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8010" windowHeight="6645"/>
  </bookViews>
  <sheets>
    <sheet name="Instructions" sheetId="338" r:id="rId1"/>
    <sheet name="MASTER SHEET" sheetId="335" r:id="rId2"/>
    <sheet name="Adjustments" sheetId="337" r:id="rId3"/>
    <sheet name="Real Time Draft Tool" sheetId="336" r:id="rId4"/>
    <sheet name="R 12-0.5" sheetId="298" r:id="rId5"/>
  </sheets>
  <externalReferences>
    <externalReference r:id="rId6"/>
    <externalReference r:id="rId7"/>
  </externalReferences>
  <definedNames>
    <definedName name="_xlnm._FilterDatabase" localSheetId="1" hidden="1">'MASTER SHEET'!$AP$5:$BI$5</definedName>
    <definedName name="BN" localSheetId="1">'[1]DATA INPUT'!$C$9</definedName>
    <definedName name="BN" localSheetId="3">'[1]DATA INPUT'!$C$9</definedName>
    <definedName name="BN">'[2]DATA INPUT'!$C$9</definedName>
    <definedName name="DST" localSheetId="1">'[1]DATA INPUT'!$C$7</definedName>
    <definedName name="DST" localSheetId="3">'[1]DATA INPUT'!$C$7</definedName>
    <definedName name="DST">'[2]DATA INPUT'!$C$7</definedName>
    <definedName name="FUMB" localSheetId="1">'[1]DATA INPUT'!$G$10</definedName>
    <definedName name="FUMB" localSheetId="3">'[1]DATA INPUT'!$G$10</definedName>
    <definedName name="FUMB">'[2]DATA INPUT'!$G$10</definedName>
    <definedName name="Int" localSheetId="1">'[1]DATA INPUT'!$G$8</definedName>
    <definedName name="Int" localSheetId="3">'[1]DATA INPUT'!$G$8</definedName>
    <definedName name="Int">'[2]DATA INPUT'!$G$8</definedName>
    <definedName name="NUMFLX" localSheetId="1">'[1]DATA INPUT'!$C$8</definedName>
    <definedName name="NUMFLX" localSheetId="3">'[1]DATA INPUT'!$C$8</definedName>
    <definedName name="NUMFLX">'[2]DATA INPUT'!$C$8</definedName>
    <definedName name="NUMQB" localSheetId="1">'[1]DATA INPUT'!$C$2</definedName>
    <definedName name="NUMQB" localSheetId="3">'[1]DATA INPUT'!$C$2</definedName>
    <definedName name="NUMQB">'[2]DATA INPUT'!$C$2</definedName>
    <definedName name="NUMRB" localSheetId="1">'[1]DATA INPUT'!$C$3</definedName>
    <definedName name="NUMRB" localSheetId="3">'[1]DATA INPUT'!$C$3</definedName>
    <definedName name="NUMRB">'[2]DATA INPUT'!$C$3</definedName>
    <definedName name="NUMTE" localSheetId="1">'[1]DATA INPUT'!$C$5</definedName>
    <definedName name="NUMTE" localSheetId="3">'[1]DATA INPUT'!$C$5</definedName>
    <definedName name="NUMTE">'[2]DATA INPUT'!$C$5</definedName>
    <definedName name="NUMWR" localSheetId="1">'[1]DATA INPUT'!$C$4</definedName>
    <definedName name="NUMWR" localSheetId="3">'[1]DATA INPUT'!$C$4</definedName>
    <definedName name="NUMWR">'[2]DATA INPUT'!$C$4</definedName>
    <definedName name="PaTD" localSheetId="1">'[1]DATA INPUT'!$G$2</definedName>
    <definedName name="PaTD" localSheetId="3">'[1]DATA INPUT'!$G$2</definedName>
    <definedName name="PaTD">'[2]DATA INPUT'!$G$2</definedName>
    <definedName name="PaY" localSheetId="1">'[1]DATA INPUT'!$G$5</definedName>
    <definedName name="PaY" localSheetId="3">'[1]DATA INPUT'!$G$5</definedName>
    <definedName name="PaY">'[2]DATA INPUT'!$G$5</definedName>
    <definedName name="PK" localSheetId="1">'[1]DATA INPUT'!$C$6</definedName>
    <definedName name="PK" localSheetId="3">'[1]DATA INPUT'!$C$6</definedName>
    <definedName name="PK">'[2]DATA INPUT'!$C$6</definedName>
    <definedName name="PPC" localSheetId="1">'[1]DATA INPUT'!$G$9</definedName>
    <definedName name="PPC" localSheetId="3">'[1]DATA INPUT'!$G$9</definedName>
    <definedName name="PPC">'[2]DATA INPUT'!$G$9</definedName>
    <definedName name="PPR" localSheetId="1">'[1]DATA INPUT'!$B$11</definedName>
    <definedName name="PPR" localSheetId="3">'[1]DATA INPUT'!$B$11</definedName>
    <definedName name="PPR">'[2]DATA INPUT'!$B$11</definedName>
    <definedName name="_xlnm.Print_Area" localSheetId="4">'R 12-0.5'!$B$1:$AC$76</definedName>
    <definedName name="QB" localSheetId="1">'[1]DATA INPUT'!$A$2</definedName>
    <definedName name="QB" localSheetId="3">'[1]DATA INPUT'!$A$2</definedName>
    <definedName name="QB">'[2]DATA INPUT'!$A$2</definedName>
    <definedName name="RB" localSheetId="1">'[1]DATA INPUT'!$A$3</definedName>
    <definedName name="RB" localSheetId="3">'[1]DATA INPUT'!$A$3</definedName>
    <definedName name="RB">'[2]DATA INPUT'!$A$3</definedName>
    <definedName name="ReTD" localSheetId="1">'[1]DATA INPUT'!$G$3</definedName>
    <definedName name="ReTD" localSheetId="3">'[1]DATA INPUT'!$G$3</definedName>
    <definedName name="ReTD">'[2]DATA INPUT'!$G$3</definedName>
    <definedName name="ReY" localSheetId="1">'[1]DATA INPUT'!$G$6</definedName>
    <definedName name="ReY" localSheetId="3">'[1]DATA INPUT'!$G$6</definedName>
    <definedName name="ReY">'[2]DATA INPUT'!$G$6</definedName>
    <definedName name="RuTD" localSheetId="1">'[1]DATA INPUT'!$G$4</definedName>
    <definedName name="RuTD" localSheetId="3">'[1]DATA INPUT'!$G$4</definedName>
    <definedName name="RuTD">'[2]DATA INPUT'!$G$4</definedName>
    <definedName name="RuY" localSheetId="1">'[1]DATA INPUT'!$G$7</definedName>
    <definedName name="RuY" localSheetId="3">'[1]DATA INPUT'!$G$7</definedName>
    <definedName name="RuY">'[2]DATA INPUT'!$G$7</definedName>
    <definedName name="TE" localSheetId="1">'[1]DATA INPUT'!$A$5</definedName>
    <definedName name="TE" localSheetId="3">'[1]DATA INPUT'!$A$5</definedName>
    <definedName name="TE">'[2]DATA INPUT'!$A$5</definedName>
    <definedName name="TMS" localSheetId="1">'[1]DATA INPUT'!$B$10</definedName>
    <definedName name="TMS" localSheetId="3">'[1]DATA INPUT'!$B$10</definedName>
    <definedName name="TMS">'[2]DATA INPUT'!$B$10</definedName>
    <definedName name="UPDATED" localSheetId="1">'[1]DATA INPUT'!$B$12</definedName>
    <definedName name="UPDATED" localSheetId="3">'[1]DATA INPUT'!$B$12</definedName>
    <definedName name="UPDATED">'[2]DATA INPUT'!$B$12</definedName>
    <definedName name="WR" localSheetId="1">'[1]DATA INPUT'!$A$4</definedName>
    <definedName name="WR" localSheetId="3">'[1]DATA INPUT'!$A$4</definedName>
    <definedName name="WR">'[2]DATA INPUT'!$A$4</definedName>
  </definedNames>
  <calcPr calcId="145621" iterate="1"/>
</workbook>
</file>

<file path=xl/calcChain.xml><?xml version="1.0" encoding="utf-8"?>
<calcChain xmlns="http://schemas.openxmlformats.org/spreadsheetml/2006/main">
  <c r="AZ182" i="335" l="1"/>
  <c r="AZ181" i="335"/>
  <c r="AZ180" i="335"/>
  <c r="AZ179" i="335"/>
  <c r="AZ178" i="335"/>
  <c r="AZ177" i="335"/>
  <c r="AZ176" i="335"/>
  <c r="AZ175" i="335"/>
  <c r="AZ174" i="335"/>
  <c r="AZ173" i="335"/>
  <c r="AZ172" i="335"/>
  <c r="AZ171" i="335"/>
  <c r="AZ170" i="335"/>
  <c r="AZ169" i="335"/>
  <c r="AZ168" i="335"/>
  <c r="AZ167" i="335"/>
  <c r="AZ166" i="335"/>
  <c r="AZ165" i="335"/>
  <c r="AZ164" i="335"/>
  <c r="AZ163" i="335"/>
  <c r="AZ162" i="335"/>
  <c r="AZ161" i="335"/>
  <c r="AZ160" i="335"/>
  <c r="AZ159" i="335"/>
  <c r="AZ158" i="335"/>
  <c r="AZ157" i="335"/>
  <c r="AZ156" i="335"/>
  <c r="AZ155" i="335"/>
  <c r="AZ154" i="335"/>
  <c r="AZ153" i="335"/>
  <c r="AZ152" i="335"/>
  <c r="AZ151" i="335"/>
  <c r="AZ150" i="335"/>
  <c r="AZ149" i="335"/>
  <c r="AZ148" i="335"/>
  <c r="AZ147" i="335"/>
  <c r="AZ146" i="335"/>
  <c r="AZ145" i="335"/>
  <c r="AZ144" i="335"/>
  <c r="AZ143" i="335"/>
  <c r="AZ142" i="335"/>
  <c r="AZ141" i="335"/>
  <c r="AZ140" i="335"/>
  <c r="AZ139" i="335"/>
  <c r="AZ138" i="335"/>
  <c r="AZ137" i="335"/>
  <c r="AZ136" i="335"/>
  <c r="AZ135" i="335"/>
  <c r="AZ134" i="335"/>
  <c r="AZ133" i="335"/>
  <c r="AZ132" i="335"/>
  <c r="AZ131" i="335"/>
  <c r="AZ130" i="335"/>
  <c r="AZ129" i="335"/>
  <c r="AZ128" i="335"/>
  <c r="AZ127" i="335"/>
  <c r="AZ126" i="335"/>
  <c r="AZ125" i="335"/>
  <c r="AZ124" i="335"/>
  <c r="AZ123" i="335"/>
  <c r="AZ122" i="335"/>
  <c r="AZ121" i="335"/>
  <c r="AZ120" i="335"/>
  <c r="AZ119" i="335"/>
  <c r="AZ118" i="335"/>
  <c r="AZ117" i="335"/>
  <c r="AZ116" i="335"/>
  <c r="AZ115" i="335"/>
  <c r="AZ114" i="335"/>
  <c r="AZ113" i="335"/>
  <c r="AZ112" i="335"/>
  <c r="AZ111" i="335"/>
  <c r="AZ110" i="335"/>
  <c r="AZ109" i="335"/>
  <c r="AZ108" i="335"/>
  <c r="AZ107" i="335"/>
  <c r="AZ106" i="335"/>
  <c r="AZ105" i="335"/>
  <c r="AZ104" i="335"/>
  <c r="AZ103" i="335"/>
  <c r="AZ102" i="335"/>
  <c r="AZ101" i="335"/>
  <c r="AZ100" i="335"/>
  <c r="AZ99" i="335"/>
  <c r="AZ98" i="335"/>
  <c r="AZ97" i="335"/>
  <c r="AZ96" i="335"/>
  <c r="AZ95" i="335"/>
  <c r="AZ94" i="335"/>
  <c r="AZ93" i="335"/>
  <c r="AZ92" i="335"/>
  <c r="AZ91" i="335"/>
  <c r="AZ90" i="335"/>
  <c r="AZ89" i="335"/>
  <c r="AZ88" i="335"/>
  <c r="AZ87" i="335"/>
  <c r="AZ86" i="335"/>
  <c r="AZ85" i="335"/>
  <c r="AZ84" i="335"/>
  <c r="AZ83" i="335"/>
  <c r="AZ82" i="335"/>
  <c r="AZ81" i="335"/>
  <c r="AZ80" i="335"/>
  <c r="AZ79" i="335"/>
  <c r="AZ78" i="335"/>
  <c r="AZ77" i="335"/>
  <c r="AZ76" i="335"/>
  <c r="AZ75" i="335"/>
  <c r="AZ74" i="335"/>
  <c r="AZ73" i="335"/>
  <c r="AZ72" i="335"/>
  <c r="AZ71" i="335"/>
  <c r="AZ70" i="335"/>
  <c r="AZ69" i="335"/>
  <c r="AZ68" i="335"/>
  <c r="AZ67" i="335"/>
  <c r="AZ66" i="335"/>
  <c r="AZ65" i="335"/>
  <c r="AZ64" i="335"/>
  <c r="AZ63" i="335"/>
  <c r="AZ62" i="335"/>
  <c r="AZ61" i="335"/>
  <c r="AZ60" i="335"/>
  <c r="AZ59" i="335"/>
  <c r="AZ58" i="335"/>
  <c r="AZ57" i="335"/>
  <c r="AZ56" i="335"/>
  <c r="AZ55" i="335"/>
  <c r="AZ54" i="335"/>
  <c r="AZ53" i="335"/>
  <c r="AZ52" i="335"/>
  <c r="AZ51" i="335"/>
  <c r="AZ50" i="335"/>
  <c r="AZ49" i="335"/>
  <c r="AZ48" i="335"/>
  <c r="AZ47" i="335"/>
  <c r="AZ46" i="335"/>
  <c r="AZ45" i="335"/>
  <c r="AZ44" i="335"/>
  <c r="AZ43" i="335"/>
  <c r="AZ42" i="335"/>
  <c r="AZ41" i="335"/>
  <c r="AZ40" i="335"/>
  <c r="AZ39" i="335"/>
  <c r="AZ38" i="335"/>
  <c r="AZ37" i="335"/>
  <c r="AZ36" i="335"/>
  <c r="AZ35" i="335"/>
  <c r="AZ34" i="335"/>
  <c r="AZ33" i="335"/>
  <c r="AZ32" i="335"/>
  <c r="AZ31" i="335"/>
  <c r="AZ30" i="335"/>
  <c r="AZ29" i="335"/>
  <c r="AZ28" i="335"/>
  <c r="AZ27" i="335"/>
  <c r="AZ26" i="335"/>
  <c r="AZ25" i="335"/>
  <c r="AZ24" i="335"/>
  <c r="AZ23" i="335"/>
  <c r="AZ22" i="335"/>
  <c r="AZ21" i="335"/>
  <c r="AZ20" i="335"/>
  <c r="AZ19" i="335"/>
  <c r="AZ18" i="335"/>
  <c r="AZ17" i="335"/>
  <c r="AZ16" i="335"/>
  <c r="AZ15" i="335"/>
  <c r="AZ14" i="335"/>
  <c r="AZ13" i="335"/>
  <c r="AZ12" i="335"/>
  <c r="AZ11" i="335"/>
  <c r="AZ10" i="335"/>
  <c r="AZ9" i="335"/>
  <c r="AZ8" i="335"/>
  <c r="AZ7" i="335"/>
  <c r="AZ6" i="335"/>
  <c r="BA182" i="335"/>
  <c r="BA181" i="335"/>
  <c r="BA180" i="335"/>
  <c r="BA179" i="335"/>
  <c r="BA178" i="335"/>
  <c r="BA177" i="335"/>
  <c r="BA176" i="335"/>
  <c r="BA175" i="335"/>
  <c r="BA171" i="335"/>
  <c r="BA169" i="335"/>
  <c r="BA168" i="335"/>
  <c r="BA167" i="335"/>
  <c r="BA166" i="335"/>
  <c r="BA164" i="335"/>
  <c r="BA163" i="335"/>
  <c r="BA162" i="335"/>
  <c r="BA157" i="335"/>
  <c r="BA161" i="335"/>
  <c r="BA174" i="335"/>
  <c r="BA160" i="335"/>
  <c r="BA173" i="335"/>
  <c r="BA172" i="335"/>
  <c r="BA159" i="335"/>
  <c r="BA170" i="335"/>
  <c r="BA156" i="335"/>
  <c r="BA165" i="335"/>
  <c r="BA155" i="335"/>
  <c r="BA158" i="335"/>
  <c r="BA154" i="335"/>
  <c r="BA134" i="335"/>
  <c r="BA152" i="335"/>
  <c r="BA140" i="335"/>
  <c r="BA150" i="335"/>
  <c r="BA153" i="335"/>
  <c r="BA146" i="335"/>
  <c r="BA145" i="335"/>
  <c r="BA151" i="335"/>
  <c r="BA143" i="335"/>
  <c r="BA142" i="335"/>
  <c r="BA141" i="335"/>
  <c r="BA149" i="335"/>
  <c r="BA139" i="335"/>
  <c r="BA148" i="335"/>
  <c r="BA135" i="335"/>
  <c r="BA147" i="335"/>
  <c r="BA144" i="335"/>
  <c r="BA132" i="335"/>
  <c r="BA114" i="335"/>
  <c r="BA130" i="335"/>
  <c r="BA136" i="335"/>
  <c r="BA129" i="335"/>
  <c r="BA128" i="335"/>
  <c r="BA125" i="335"/>
  <c r="BA127" i="335"/>
  <c r="BA133" i="335"/>
  <c r="BA138" i="335"/>
  <c r="BA137" i="335"/>
  <c r="BA126" i="335"/>
  <c r="BA102" i="335"/>
  <c r="BA131" i="335"/>
  <c r="BA123" i="335"/>
  <c r="BA120" i="335"/>
  <c r="BA121" i="335"/>
  <c r="BA113" i="335"/>
  <c r="BA115" i="335"/>
  <c r="BA119" i="335"/>
  <c r="BA110" i="335"/>
  <c r="BA109" i="335"/>
  <c r="BA118" i="335"/>
  <c r="BA117" i="335"/>
  <c r="BA124" i="335"/>
  <c r="BA108" i="335"/>
  <c r="BA112" i="335"/>
  <c r="BA122" i="335"/>
  <c r="BA100" i="335"/>
  <c r="BA91" i="335"/>
  <c r="BA101" i="335"/>
  <c r="BA107" i="335"/>
  <c r="BA111" i="335"/>
  <c r="BA106" i="335"/>
  <c r="BA93" i="335"/>
  <c r="BA116" i="335"/>
  <c r="BA95" i="335"/>
  <c r="BA94" i="335"/>
  <c r="BA89" i="335"/>
  <c r="BA104" i="335"/>
  <c r="BA105" i="335"/>
  <c r="BA97" i="335"/>
  <c r="BA98" i="335"/>
  <c r="BA88" i="335"/>
  <c r="BA103" i="335"/>
  <c r="BA79" i="335"/>
  <c r="BA87" i="335"/>
  <c r="BA99" i="335"/>
  <c r="BA96" i="335"/>
  <c r="BA82" i="335"/>
  <c r="BA70" i="335"/>
  <c r="BA72" i="335"/>
  <c r="BA81" i="335"/>
  <c r="BA84" i="335"/>
  <c r="BA85" i="335"/>
  <c r="BA74" i="335"/>
  <c r="BA90" i="335"/>
  <c r="BA86" i="335"/>
  <c r="BA68" i="335"/>
  <c r="BA77" i="335"/>
  <c r="BA92" i="335"/>
  <c r="BA78" i="335"/>
  <c r="BA73" i="335"/>
  <c r="BA75" i="335"/>
  <c r="BA65" i="335"/>
  <c r="BA80" i="335"/>
  <c r="BA71" i="335"/>
  <c r="BA56" i="335"/>
  <c r="BA76" i="335"/>
  <c r="BA63" i="335"/>
  <c r="BA64" i="335"/>
  <c r="BA52" i="335"/>
  <c r="BA61" i="335"/>
  <c r="BA60" i="335"/>
  <c r="BA83" i="335"/>
  <c r="BA58" i="335"/>
  <c r="BA57" i="335"/>
  <c r="BA66" i="335"/>
  <c r="BA40" i="335"/>
  <c r="BA53" i="335"/>
  <c r="BA67" i="335"/>
  <c r="BA62" i="335"/>
  <c r="BA54" i="335"/>
  <c r="BA49" i="335"/>
  <c r="BA59" i="335"/>
  <c r="BA51" i="335"/>
  <c r="BA55" i="335"/>
  <c r="BA69" i="335"/>
  <c r="BA47" i="335"/>
  <c r="BA50" i="335"/>
  <c r="BA48" i="335"/>
  <c r="BA46" i="335"/>
  <c r="BA44" i="335"/>
  <c r="BA34" i="335"/>
  <c r="BA35" i="335"/>
  <c r="BA39" i="335"/>
  <c r="BA41" i="335"/>
  <c r="BA43" i="335"/>
  <c r="BA45" i="335"/>
  <c r="BA38" i="335"/>
  <c r="BA24" i="335"/>
  <c r="BA42" i="335"/>
  <c r="BA29" i="335"/>
  <c r="BA33" i="335"/>
  <c r="BA37" i="335"/>
  <c r="BA36" i="335"/>
  <c r="BA32" i="335"/>
  <c r="BA31" i="335"/>
  <c r="BA30" i="335"/>
  <c r="BA27" i="335"/>
  <c r="BA28" i="335"/>
  <c r="BA26" i="335"/>
  <c r="BA23" i="335"/>
  <c r="BA25" i="335"/>
  <c r="BA19" i="335"/>
  <c r="BA18" i="335"/>
  <c r="BA21" i="335"/>
  <c r="BA20" i="335"/>
  <c r="BA22" i="335"/>
  <c r="BA16" i="335"/>
  <c r="BA15" i="335"/>
  <c r="BA14" i="335"/>
  <c r="BA17" i="335"/>
  <c r="BA12" i="335"/>
  <c r="BA13" i="335"/>
  <c r="BA11" i="335"/>
  <c r="BA10" i="335"/>
  <c r="BA9" i="335"/>
  <c r="BA8" i="335"/>
  <c r="BA7" i="335"/>
  <c r="BA6" i="335"/>
  <c r="AV6" i="335" l="1"/>
  <c r="BH85" i="335"/>
  <c r="BH157" i="335"/>
  <c r="BH156" i="335"/>
  <c r="BH155" i="335"/>
  <c r="BH146" i="335"/>
  <c r="BH143" i="335"/>
  <c r="BH136" i="335"/>
  <c r="BH134" i="335"/>
  <c r="BH128" i="335"/>
  <c r="BH125" i="335"/>
  <c r="BH118" i="335"/>
  <c r="BH117" i="335"/>
  <c r="BH110" i="335"/>
  <c r="BH120" i="335"/>
  <c r="BH104" i="335"/>
  <c r="BH112" i="335"/>
  <c r="BH90" i="335"/>
  <c r="BH87" i="335"/>
  <c r="BH75" i="335"/>
  <c r="BH74" i="335"/>
  <c r="BH61" i="335"/>
  <c r="BH66" i="335"/>
  <c r="BH45" i="335"/>
  <c r="BH35" i="335"/>
  <c r="BH12" i="335"/>
  <c r="BH142" i="335"/>
  <c r="BH144" i="335"/>
  <c r="BH141" i="335"/>
  <c r="BH147" i="335"/>
  <c r="BH130" i="335"/>
  <c r="BH137" i="335"/>
  <c r="BH133" i="335"/>
  <c r="BH126" i="335"/>
  <c r="BH129" i="335"/>
  <c r="BH131" i="335"/>
  <c r="BH132" i="335"/>
  <c r="BH121" i="335"/>
  <c r="BH124" i="335"/>
  <c r="BH123" i="335"/>
  <c r="BH122" i="335"/>
  <c r="BH113" i="335"/>
  <c r="BH111" i="335"/>
  <c r="BH109" i="335"/>
  <c r="BH116" i="335"/>
  <c r="BH107" i="335"/>
  <c r="BH105" i="335"/>
  <c r="BH103" i="335"/>
  <c r="BH94" i="335"/>
  <c r="BH91" i="335"/>
  <c r="BH97" i="335"/>
  <c r="BH89" i="335"/>
  <c r="BH96" i="335"/>
  <c r="BH92" i="335"/>
  <c r="BH88" i="335"/>
  <c r="BH84" i="335"/>
  <c r="BH78" i="335"/>
  <c r="BH83" i="335"/>
  <c r="BH80" i="335"/>
  <c r="BH77" i="335"/>
  <c r="BH64" i="335"/>
  <c r="BH79" i="335"/>
  <c r="BH65" i="335"/>
  <c r="BH69" i="335"/>
  <c r="BH62" i="335"/>
  <c r="BH59" i="335"/>
  <c r="BH50" i="335"/>
  <c r="BH53" i="335"/>
  <c r="BH52" i="335"/>
  <c r="BH46" i="335"/>
  <c r="BH43" i="335"/>
  <c r="BH39" i="335"/>
  <c r="BH44" i="335"/>
  <c r="BH36" i="335"/>
  <c r="BH33" i="335"/>
  <c r="BH37" i="335"/>
  <c r="BH31" i="335"/>
  <c r="BH27" i="335"/>
  <c r="BH25" i="335"/>
  <c r="BH22" i="335"/>
  <c r="BH17" i="335"/>
  <c r="BH16" i="335"/>
  <c r="BH14" i="335"/>
  <c r="BH13" i="335"/>
  <c r="BH11" i="335"/>
  <c r="BH9" i="335"/>
  <c r="BH171" i="335"/>
  <c r="BH170" i="335"/>
  <c r="BH174" i="335"/>
  <c r="BH164" i="335"/>
  <c r="BH173" i="335"/>
  <c r="BH172" i="335"/>
  <c r="BH163" i="335"/>
  <c r="BH162" i="335"/>
  <c r="BH161" i="335"/>
  <c r="BH165" i="335"/>
  <c r="BH169" i="335"/>
  <c r="BH168" i="335"/>
  <c r="BH166" i="335"/>
  <c r="BH160" i="335"/>
  <c r="BH167" i="335"/>
  <c r="BH158" i="335"/>
  <c r="BH153" i="335"/>
  <c r="BH151" i="335"/>
  <c r="BH149" i="335"/>
  <c r="BH148" i="335"/>
  <c r="BH140" i="335"/>
  <c r="BH139" i="335"/>
  <c r="BH135" i="335"/>
  <c r="BH115" i="335"/>
  <c r="BH114" i="335"/>
  <c r="BH106" i="335"/>
  <c r="BH99" i="335"/>
  <c r="BH98" i="335"/>
  <c r="BH102" i="335"/>
  <c r="BH93" i="335"/>
  <c r="BH86" i="335"/>
  <c r="BH70" i="335"/>
  <c r="BH72" i="335"/>
  <c r="BH67" i="335"/>
  <c r="BH68" i="335"/>
  <c r="BH55" i="335"/>
  <c r="BH60" i="335"/>
  <c r="BH54" i="335"/>
  <c r="BH56" i="335"/>
  <c r="BH48" i="335"/>
  <c r="BH49" i="335"/>
  <c r="BH47" i="335"/>
  <c r="BH42" i="335"/>
  <c r="BH41" i="335"/>
  <c r="BH40" i="335"/>
  <c r="BH34" i="335"/>
  <c r="BH38" i="335"/>
  <c r="BH32" i="335"/>
  <c r="BH29" i="335"/>
  <c r="BH26" i="335"/>
  <c r="BH23" i="335"/>
  <c r="BH24" i="335"/>
  <c r="BH21" i="335"/>
  <c r="BH20" i="335"/>
  <c r="BH18" i="335"/>
  <c r="BH15" i="335"/>
  <c r="BH10" i="335"/>
  <c r="BH8" i="335"/>
  <c r="BH7" i="335"/>
  <c r="BH6" i="335"/>
  <c r="BH182" i="335"/>
  <c r="BH181" i="335"/>
  <c r="BH180" i="335"/>
  <c r="BH179" i="335"/>
  <c r="BH178" i="335"/>
  <c r="BH177" i="335"/>
  <c r="BH176" i="335"/>
  <c r="BH175" i="335"/>
  <c r="BH159" i="335"/>
  <c r="BH152" i="335"/>
  <c r="BH154" i="335"/>
  <c r="BH150" i="335"/>
  <c r="BH145" i="335"/>
  <c r="BH138" i="335"/>
  <c r="BH127" i="335"/>
  <c r="BH119" i="335"/>
  <c r="BH108" i="335"/>
  <c r="BH101" i="335"/>
  <c r="BH100" i="335"/>
  <c r="BH95" i="335"/>
  <c r="BH82" i="335"/>
  <c r="BH81" i="335"/>
  <c r="BH76" i="335"/>
  <c r="BH71" i="335"/>
  <c r="BH73" i="335"/>
  <c r="BH63" i="335"/>
  <c r="BH58" i="335"/>
  <c r="BH57" i="335"/>
  <c r="BH51" i="335"/>
  <c r="BH30" i="335"/>
  <c r="BH28" i="335"/>
  <c r="BH19" i="335"/>
  <c r="C182" i="336"/>
  <c r="C181" i="336"/>
  <c r="C180" i="336"/>
  <c r="C179" i="336"/>
  <c r="C178" i="336"/>
  <c r="C177" i="336"/>
  <c r="C176" i="336"/>
  <c r="C175" i="336"/>
  <c r="C174" i="336"/>
  <c r="C173" i="336"/>
  <c r="C172" i="336"/>
  <c r="C171" i="336"/>
  <c r="C170" i="336"/>
  <c r="C169" i="336"/>
  <c r="C168" i="336"/>
  <c r="C167" i="336"/>
  <c r="C166" i="336"/>
  <c r="C165" i="336"/>
  <c r="C164" i="336"/>
  <c r="C163" i="336"/>
  <c r="C162" i="336"/>
  <c r="C161" i="336"/>
  <c r="C160" i="336"/>
  <c r="C159" i="336"/>
  <c r="C158" i="336"/>
  <c r="C157" i="336"/>
  <c r="C156" i="336"/>
  <c r="C155" i="336"/>
  <c r="C154" i="336"/>
  <c r="C153" i="336"/>
  <c r="C152" i="336"/>
  <c r="C151" i="336"/>
  <c r="C150" i="336"/>
  <c r="C149" i="336"/>
  <c r="C148" i="336"/>
  <c r="C147" i="336"/>
  <c r="C146" i="336"/>
  <c r="C145" i="336"/>
  <c r="C144" i="336"/>
  <c r="C143" i="336"/>
  <c r="C142" i="336"/>
  <c r="C141" i="336"/>
  <c r="C140" i="336"/>
  <c r="C139" i="336"/>
  <c r="C138" i="336"/>
  <c r="C137" i="336"/>
  <c r="C136" i="336"/>
  <c r="C135" i="336"/>
  <c r="C134" i="336"/>
  <c r="C133" i="336"/>
  <c r="C132" i="336"/>
  <c r="C131" i="336"/>
  <c r="C130" i="336"/>
  <c r="C129" i="336"/>
  <c r="C128" i="336"/>
  <c r="C127" i="336"/>
  <c r="C126" i="336"/>
  <c r="C125" i="336"/>
  <c r="C124" i="336"/>
  <c r="C123" i="336"/>
  <c r="C122" i="336"/>
  <c r="C121" i="336"/>
  <c r="C120" i="336"/>
  <c r="C119" i="336"/>
  <c r="C118" i="336"/>
  <c r="C117" i="336"/>
  <c r="C116" i="336"/>
  <c r="C115" i="336"/>
  <c r="C114" i="336"/>
  <c r="C113" i="336"/>
  <c r="C112" i="336"/>
  <c r="C111" i="336"/>
  <c r="C110" i="336"/>
  <c r="C109" i="336"/>
  <c r="C108" i="336"/>
  <c r="C107" i="336"/>
  <c r="C106" i="336"/>
  <c r="C105" i="336"/>
  <c r="C104" i="336"/>
  <c r="C103" i="336"/>
  <c r="C102" i="336"/>
  <c r="C101" i="336"/>
  <c r="C100" i="336"/>
  <c r="C99" i="336"/>
  <c r="C98" i="336"/>
  <c r="C97" i="336"/>
  <c r="C96" i="336"/>
  <c r="C95" i="336"/>
  <c r="C94" i="336"/>
  <c r="C93" i="336"/>
  <c r="C92" i="336"/>
  <c r="C91" i="336"/>
  <c r="C90" i="336"/>
  <c r="C89" i="336"/>
  <c r="C88" i="336"/>
  <c r="C87" i="336"/>
  <c r="C86" i="336"/>
  <c r="C85" i="336"/>
  <c r="C84" i="336"/>
  <c r="C83" i="336"/>
  <c r="C82" i="336"/>
  <c r="C81" i="336"/>
  <c r="C80" i="336"/>
  <c r="C79" i="336"/>
  <c r="C78" i="336"/>
  <c r="C77" i="336"/>
  <c r="C76" i="336"/>
  <c r="C75" i="336"/>
  <c r="C74" i="336"/>
  <c r="C73" i="336"/>
  <c r="C72" i="336"/>
  <c r="C71" i="336"/>
  <c r="C70" i="336"/>
  <c r="C69" i="336"/>
  <c r="C68" i="336"/>
  <c r="C67" i="336"/>
  <c r="C66" i="336"/>
  <c r="C65" i="336"/>
  <c r="C64" i="336"/>
  <c r="C63" i="336"/>
  <c r="C62" i="336"/>
  <c r="C61" i="336"/>
  <c r="C60" i="336"/>
  <c r="C59" i="336"/>
  <c r="C58" i="336"/>
  <c r="C57" i="336"/>
  <c r="C56" i="336"/>
  <c r="C55" i="336"/>
  <c r="C54" i="336"/>
  <c r="C53" i="336"/>
  <c r="C52" i="336"/>
  <c r="C51" i="336"/>
  <c r="C50" i="336"/>
  <c r="C49" i="336"/>
  <c r="C48" i="336"/>
  <c r="C47" i="336"/>
  <c r="C46" i="336"/>
  <c r="C45" i="336"/>
  <c r="C44" i="336"/>
  <c r="C43" i="336"/>
  <c r="C42" i="336"/>
  <c r="C41" i="336"/>
  <c r="C40" i="336"/>
  <c r="C39" i="336"/>
  <c r="C38" i="336"/>
  <c r="C37" i="336"/>
  <c r="C36" i="336"/>
  <c r="C35" i="336"/>
  <c r="C34" i="336"/>
  <c r="C33" i="336"/>
  <c r="C32" i="336"/>
  <c r="C31" i="336"/>
  <c r="C30" i="336"/>
  <c r="C29" i="336"/>
  <c r="C28" i="336"/>
  <c r="C27" i="336"/>
  <c r="C26" i="336"/>
  <c r="C25" i="336"/>
  <c r="C24" i="336"/>
  <c r="C23" i="336"/>
  <c r="C22" i="336"/>
  <c r="C21" i="336"/>
  <c r="C20" i="336"/>
  <c r="C19" i="336"/>
  <c r="C18" i="336"/>
  <c r="C17" i="336"/>
  <c r="C16" i="336"/>
  <c r="C15" i="336"/>
  <c r="C14" i="336"/>
  <c r="C13" i="336"/>
  <c r="C12" i="336"/>
  <c r="C11" i="336"/>
  <c r="C10" i="336"/>
  <c r="C9" i="336"/>
  <c r="C8" i="336"/>
  <c r="C7" i="336"/>
  <c r="C6" i="336"/>
  <c r="BL182" i="335"/>
  <c r="BK182" i="335" s="1"/>
  <c r="BL181" i="335"/>
  <c r="BL180" i="335"/>
  <c r="BK180" i="335" s="1"/>
  <c r="BL179" i="335"/>
  <c r="BL178" i="335"/>
  <c r="BK178" i="335" s="1"/>
  <c r="BL177" i="335"/>
  <c r="BL176" i="335"/>
  <c r="BK176" i="335" s="1"/>
  <c r="BL175" i="335"/>
  <c r="BL174" i="335"/>
  <c r="BK174" i="335" s="1"/>
  <c r="BL173" i="335"/>
  <c r="BL172" i="335"/>
  <c r="BK172" i="335" s="1"/>
  <c r="BL171" i="335"/>
  <c r="BL170" i="335"/>
  <c r="BK170" i="335" s="1"/>
  <c r="BL169" i="335"/>
  <c r="BL168" i="335"/>
  <c r="BK168" i="335" s="1"/>
  <c r="BL167" i="335"/>
  <c r="BL166" i="335"/>
  <c r="BK166" i="335" s="1"/>
  <c r="BL165" i="335"/>
  <c r="BL164" i="335"/>
  <c r="BK164" i="335" s="1"/>
  <c r="BL163" i="335"/>
  <c r="BL162" i="335"/>
  <c r="BK162" i="335" s="1"/>
  <c r="BL161" i="335"/>
  <c r="BL160" i="335"/>
  <c r="BK160" i="335" s="1"/>
  <c r="BL159" i="335"/>
  <c r="BL158" i="335"/>
  <c r="BK158" i="335" s="1"/>
  <c r="BL157" i="335"/>
  <c r="BL156" i="335"/>
  <c r="BK156" i="335" s="1"/>
  <c r="BL155" i="335"/>
  <c r="BL154" i="335"/>
  <c r="BK154" i="335" s="1"/>
  <c r="BL153" i="335"/>
  <c r="BL152" i="335"/>
  <c r="BK152" i="335" s="1"/>
  <c r="BL151" i="335"/>
  <c r="BL150" i="335"/>
  <c r="BK150" i="335" s="1"/>
  <c r="BL149" i="335"/>
  <c r="BL148" i="335"/>
  <c r="BK148" i="335" s="1"/>
  <c r="BL147" i="335"/>
  <c r="BL146" i="335"/>
  <c r="BK146" i="335" s="1"/>
  <c r="BL145" i="335"/>
  <c r="BL144" i="335"/>
  <c r="BK144" i="335" s="1"/>
  <c r="BL143" i="335"/>
  <c r="BL142" i="335"/>
  <c r="BK142" i="335" s="1"/>
  <c r="BL141" i="335"/>
  <c r="BL140" i="335"/>
  <c r="BK140" i="335" s="1"/>
  <c r="BL139" i="335"/>
  <c r="BL138" i="335"/>
  <c r="BK138" i="335" s="1"/>
  <c r="BL137" i="335"/>
  <c r="BL136" i="335"/>
  <c r="BK136" i="335" s="1"/>
  <c r="BL135" i="335"/>
  <c r="BL134" i="335"/>
  <c r="BK134" i="335" s="1"/>
  <c r="BL133" i="335"/>
  <c r="BL132" i="335"/>
  <c r="BK132" i="335" s="1"/>
  <c r="BL131" i="335"/>
  <c r="BL130" i="335"/>
  <c r="BK130" i="335" s="1"/>
  <c r="BL129" i="335"/>
  <c r="BL128" i="335"/>
  <c r="BK128" i="335" s="1"/>
  <c r="BL127" i="335"/>
  <c r="BL126" i="335"/>
  <c r="BK126" i="335" s="1"/>
  <c r="BL125" i="335"/>
  <c r="BL124" i="335"/>
  <c r="BK124" i="335" s="1"/>
  <c r="BL123" i="335"/>
  <c r="BL122" i="335"/>
  <c r="BK122" i="335" s="1"/>
  <c r="BL121" i="335"/>
  <c r="BL120" i="335"/>
  <c r="BK120" i="335" s="1"/>
  <c r="BL119" i="335"/>
  <c r="BL118" i="335"/>
  <c r="BK118" i="335" s="1"/>
  <c r="BL117" i="335"/>
  <c r="BL116" i="335"/>
  <c r="BK116" i="335" s="1"/>
  <c r="BL115" i="335"/>
  <c r="BL114" i="335"/>
  <c r="BK114" i="335" s="1"/>
  <c r="BL113" i="335"/>
  <c r="BL112" i="335"/>
  <c r="BK112" i="335" s="1"/>
  <c r="BL111" i="335"/>
  <c r="BL110" i="335"/>
  <c r="BK110" i="335" s="1"/>
  <c r="BL109" i="335"/>
  <c r="BL108" i="335"/>
  <c r="BK108" i="335" s="1"/>
  <c r="BL107" i="335"/>
  <c r="BL106" i="335"/>
  <c r="BK106" i="335" s="1"/>
  <c r="BL105" i="335"/>
  <c r="BL104" i="335"/>
  <c r="BK104" i="335" s="1"/>
  <c r="BL103" i="335"/>
  <c r="BL102" i="335"/>
  <c r="BK102" i="335" s="1"/>
  <c r="BL101" i="335"/>
  <c r="BL100" i="335"/>
  <c r="BK100" i="335" s="1"/>
  <c r="BL99" i="335"/>
  <c r="BL98" i="335"/>
  <c r="BK98" i="335" s="1"/>
  <c r="BL97" i="335"/>
  <c r="BL96" i="335"/>
  <c r="BK96" i="335" s="1"/>
  <c r="BL95" i="335"/>
  <c r="BL94" i="335"/>
  <c r="BK94" i="335" s="1"/>
  <c r="BL93" i="335"/>
  <c r="BL92" i="335"/>
  <c r="BK92" i="335" s="1"/>
  <c r="BL91" i="335"/>
  <c r="BL90" i="335"/>
  <c r="BK90" i="335" s="1"/>
  <c r="BL89" i="335"/>
  <c r="BL88" i="335"/>
  <c r="BK88" i="335" s="1"/>
  <c r="BL87" i="335"/>
  <c r="BL86" i="335"/>
  <c r="BK86" i="335" s="1"/>
  <c r="BL85" i="335"/>
  <c r="BL84" i="335"/>
  <c r="BK84" i="335" s="1"/>
  <c r="BL83" i="335"/>
  <c r="BL82" i="335"/>
  <c r="BK82" i="335" s="1"/>
  <c r="BL81" i="335"/>
  <c r="BL80" i="335"/>
  <c r="BK80" i="335" s="1"/>
  <c r="BL79" i="335"/>
  <c r="BL78" i="335"/>
  <c r="BK78" i="335" s="1"/>
  <c r="BL77" i="335"/>
  <c r="BL76" i="335"/>
  <c r="BK76" i="335" s="1"/>
  <c r="BL75" i="335"/>
  <c r="BL74" i="335"/>
  <c r="BK74" i="335" s="1"/>
  <c r="BL73" i="335"/>
  <c r="BL72" i="335"/>
  <c r="BK72" i="335" s="1"/>
  <c r="BL71" i="335"/>
  <c r="BL70" i="335"/>
  <c r="BK70" i="335" s="1"/>
  <c r="BL69" i="335"/>
  <c r="BL68" i="335"/>
  <c r="BK68" i="335" s="1"/>
  <c r="BL67" i="335"/>
  <c r="BL66" i="335"/>
  <c r="BK66" i="335" s="1"/>
  <c r="BL65" i="335"/>
  <c r="BL64" i="335"/>
  <c r="BK64" i="335" s="1"/>
  <c r="BL63" i="335"/>
  <c r="BL62" i="335"/>
  <c r="BK62" i="335" s="1"/>
  <c r="BL61" i="335"/>
  <c r="BL60" i="335"/>
  <c r="BK60" i="335" s="1"/>
  <c r="BL59" i="335"/>
  <c r="BL58" i="335"/>
  <c r="BK58" i="335" s="1"/>
  <c r="BL57" i="335"/>
  <c r="BL56" i="335"/>
  <c r="BK56" i="335" s="1"/>
  <c r="BL55" i="335"/>
  <c r="BL54" i="335"/>
  <c r="BK54" i="335" s="1"/>
  <c r="BL53" i="335"/>
  <c r="BL52" i="335"/>
  <c r="BK52" i="335" s="1"/>
  <c r="BL51" i="335"/>
  <c r="BL50" i="335"/>
  <c r="BK50" i="335" s="1"/>
  <c r="BL49" i="335"/>
  <c r="BL48" i="335"/>
  <c r="BK48" i="335" s="1"/>
  <c r="BL47" i="335"/>
  <c r="BL46" i="335"/>
  <c r="BK46" i="335" s="1"/>
  <c r="BL45" i="335"/>
  <c r="BL44" i="335"/>
  <c r="BK44" i="335" s="1"/>
  <c r="BL43" i="335"/>
  <c r="BL42" i="335"/>
  <c r="BK42" i="335" s="1"/>
  <c r="BL41" i="335"/>
  <c r="BL40" i="335"/>
  <c r="BK40" i="335" s="1"/>
  <c r="BL39" i="335"/>
  <c r="BL38" i="335"/>
  <c r="BK38" i="335" s="1"/>
  <c r="BL37" i="335"/>
  <c r="BL36" i="335"/>
  <c r="BK36" i="335" s="1"/>
  <c r="BL35" i="335"/>
  <c r="BL34" i="335"/>
  <c r="BK34" i="335" s="1"/>
  <c r="BL33" i="335"/>
  <c r="BL32" i="335"/>
  <c r="BK32" i="335" s="1"/>
  <c r="BL31" i="335"/>
  <c r="BL30" i="335"/>
  <c r="BK30" i="335" s="1"/>
  <c r="BL29" i="335"/>
  <c r="BL28" i="335"/>
  <c r="BK28" i="335" s="1"/>
  <c r="BL27" i="335"/>
  <c r="BL26" i="335"/>
  <c r="BK26" i="335" s="1"/>
  <c r="BL25" i="335"/>
  <c r="BL24" i="335"/>
  <c r="BK24" i="335" s="1"/>
  <c r="BL23" i="335"/>
  <c r="BL22" i="335"/>
  <c r="BK22" i="335" s="1"/>
  <c r="BL21" i="335"/>
  <c r="BL20" i="335"/>
  <c r="BK20" i="335" s="1"/>
  <c r="BL19" i="335"/>
  <c r="BL18" i="335"/>
  <c r="BK18" i="335" s="1"/>
  <c r="BL17" i="335"/>
  <c r="BL16" i="335"/>
  <c r="BK16" i="335" s="1"/>
  <c r="BL15" i="335"/>
  <c r="BL14" i="335"/>
  <c r="BL13" i="335"/>
  <c r="BK13" i="335" s="1"/>
  <c r="BL12" i="335"/>
  <c r="BK12" i="335" s="1"/>
  <c r="BL11" i="335"/>
  <c r="BL10" i="335"/>
  <c r="BL9" i="335"/>
  <c r="BK9" i="335" s="1"/>
  <c r="BL8" i="335"/>
  <c r="BK8" i="335" s="1"/>
  <c r="BL7" i="335"/>
  <c r="BL6" i="335"/>
  <c r="AQ157" i="335"/>
  <c r="AM182" i="335"/>
  <c r="AL182" i="335"/>
  <c r="AK182" i="335"/>
  <c r="AJ182" i="335"/>
  <c r="AI182" i="335"/>
  <c r="AH182" i="335"/>
  <c r="AG182" i="335"/>
  <c r="AF182" i="335"/>
  <c r="BK181" i="335"/>
  <c r="AQ156" i="335"/>
  <c r="AM181" i="335"/>
  <c r="AL181" i="335"/>
  <c r="AK181" i="335"/>
  <c r="AJ181" i="335"/>
  <c r="AI181" i="335"/>
  <c r="AH181" i="335"/>
  <c r="AG181" i="335"/>
  <c r="AF181" i="335"/>
  <c r="AQ155" i="335"/>
  <c r="AM180" i="335"/>
  <c r="AL180" i="335"/>
  <c r="AK180" i="335"/>
  <c r="AJ180" i="335"/>
  <c r="AI180" i="335"/>
  <c r="AH180" i="335"/>
  <c r="AG180" i="335"/>
  <c r="AF180" i="335"/>
  <c r="BK179" i="335"/>
  <c r="AQ146" i="335"/>
  <c r="AM179" i="335"/>
  <c r="AL179" i="335"/>
  <c r="AK179" i="335"/>
  <c r="AJ179" i="335"/>
  <c r="AI179" i="335"/>
  <c r="AH179" i="335"/>
  <c r="AG179" i="335"/>
  <c r="AF179" i="335"/>
  <c r="AQ143" i="335"/>
  <c r="AM178" i="335"/>
  <c r="AL178" i="335"/>
  <c r="AK178" i="335"/>
  <c r="AJ178" i="335"/>
  <c r="AI178" i="335"/>
  <c r="AH178" i="335"/>
  <c r="AG178" i="335"/>
  <c r="AF178" i="335"/>
  <c r="BK177" i="335"/>
  <c r="AQ136" i="335"/>
  <c r="AM177" i="335"/>
  <c r="AL177" i="335"/>
  <c r="AK177" i="335"/>
  <c r="AJ177" i="335"/>
  <c r="AI177" i="335"/>
  <c r="AH177" i="335"/>
  <c r="AG177" i="335"/>
  <c r="AF177" i="335"/>
  <c r="AQ134" i="335"/>
  <c r="AM176" i="335"/>
  <c r="AL176" i="335"/>
  <c r="AK176" i="335"/>
  <c r="AJ176" i="335"/>
  <c r="AI176" i="335"/>
  <c r="AH176" i="335"/>
  <c r="AG176" i="335"/>
  <c r="AF176" i="335"/>
  <c r="BK175" i="335"/>
  <c r="AQ128" i="335"/>
  <c r="AM175" i="335"/>
  <c r="AL175" i="335"/>
  <c r="AK175" i="335"/>
  <c r="AJ175" i="335"/>
  <c r="AI175" i="335"/>
  <c r="AH175" i="335"/>
  <c r="AG175" i="335"/>
  <c r="AF175" i="335"/>
  <c r="AQ125" i="335"/>
  <c r="AM174" i="335"/>
  <c r="AL174" i="335"/>
  <c r="AK174" i="335"/>
  <c r="AJ174" i="335"/>
  <c r="AI174" i="335"/>
  <c r="AH174" i="335"/>
  <c r="AG174" i="335"/>
  <c r="AF174" i="335"/>
  <c r="BK173" i="335"/>
  <c r="AQ118" i="335"/>
  <c r="AM173" i="335"/>
  <c r="AL173" i="335"/>
  <c r="AK173" i="335"/>
  <c r="AJ173" i="335"/>
  <c r="AI173" i="335"/>
  <c r="AH173" i="335"/>
  <c r="AG173" i="335"/>
  <c r="AF173" i="335"/>
  <c r="AQ117" i="335"/>
  <c r="AM172" i="335"/>
  <c r="AL172" i="335"/>
  <c r="AK172" i="335"/>
  <c r="AJ172" i="335"/>
  <c r="AI172" i="335"/>
  <c r="AH172" i="335"/>
  <c r="AG172" i="335"/>
  <c r="AF172" i="335"/>
  <c r="BK171" i="335"/>
  <c r="AQ110" i="335"/>
  <c r="AM171" i="335"/>
  <c r="AL171" i="335"/>
  <c r="AK171" i="335"/>
  <c r="AJ171" i="335"/>
  <c r="AI171" i="335"/>
  <c r="AH171" i="335"/>
  <c r="AG171" i="335"/>
  <c r="AF171" i="335"/>
  <c r="AQ120" i="335"/>
  <c r="AM170" i="335"/>
  <c r="AL170" i="335"/>
  <c r="AK170" i="335"/>
  <c r="AJ170" i="335"/>
  <c r="AI170" i="335"/>
  <c r="AH170" i="335"/>
  <c r="AG170" i="335"/>
  <c r="AF170" i="335"/>
  <c r="BK169" i="335"/>
  <c r="AQ104" i="335"/>
  <c r="AM169" i="335"/>
  <c r="AL169" i="335"/>
  <c r="AK169" i="335"/>
  <c r="AJ169" i="335"/>
  <c r="AI169" i="335"/>
  <c r="AH169" i="335"/>
  <c r="AG169" i="335"/>
  <c r="AF169" i="335"/>
  <c r="AQ112" i="335"/>
  <c r="AM168" i="335"/>
  <c r="AL168" i="335"/>
  <c r="AK168" i="335"/>
  <c r="AJ168" i="335"/>
  <c r="AI168" i="335"/>
  <c r="AH168" i="335"/>
  <c r="AG168" i="335"/>
  <c r="AF168" i="335"/>
  <c r="BK167" i="335"/>
  <c r="AQ90" i="335"/>
  <c r="AM167" i="335"/>
  <c r="AL167" i="335"/>
  <c r="AK167" i="335"/>
  <c r="AJ167" i="335"/>
  <c r="AI167" i="335"/>
  <c r="AH167" i="335"/>
  <c r="AG167" i="335"/>
  <c r="AF167" i="335"/>
  <c r="AQ85" i="335"/>
  <c r="AM166" i="335"/>
  <c r="AL166" i="335"/>
  <c r="AK166" i="335"/>
  <c r="AJ166" i="335"/>
  <c r="AI166" i="335"/>
  <c r="AH166" i="335"/>
  <c r="AG166" i="335"/>
  <c r="AF166" i="335"/>
  <c r="BK165" i="335"/>
  <c r="AQ87" i="335"/>
  <c r="AM165" i="335"/>
  <c r="AL165" i="335"/>
  <c r="AK165" i="335"/>
  <c r="AJ165" i="335"/>
  <c r="AI165" i="335"/>
  <c r="AH165" i="335"/>
  <c r="AG165" i="335"/>
  <c r="AF165" i="335"/>
  <c r="AQ75" i="335"/>
  <c r="AM164" i="335"/>
  <c r="AL164" i="335"/>
  <c r="AK164" i="335"/>
  <c r="AJ164" i="335"/>
  <c r="AI164" i="335"/>
  <c r="AH164" i="335"/>
  <c r="AG164" i="335"/>
  <c r="AF164" i="335"/>
  <c r="BK163" i="335"/>
  <c r="AQ74" i="335"/>
  <c r="AM163" i="335"/>
  <c r="AL163" i="335"/>
  <c r="AK163" i="335"/>
  <c r="AJ163" i="335"/>
  <c r="AI163" i="335"/>
  <c r="AH163" i="335"/>
  <c r="AG163" i="335"/>
  <c r="AF163" i="335"/>
  <c r="AQ61" i="335"/>
  <c r="AM162" i="335"/>
  <c r="AL162" i="335"/>
  <c r="AK162" i="335"/>
  <c r="AJ162" i="335"/>
  <c r="AI162" i="335"/>
  <c r="AH162" i="335"/>
  <c r="AG162" i="335"/>
  <c r="AF162" i="335"/>
  <c r="BK161" i="335"/>
  <c r="AQ66" i="335"/>
  <c r="AM161" i="335"/>
  <c r="AL161" i="335"/>
  <c r="AK161" i="335"/>
  <c r="AJ161" i="335"/>
  <c r="AI161" i="335"/>
  <c r="AH161" i="335"/>
  <c r="AG161" i="335"/>
  <c r="AF161" i="335"/>
  <c r="AQ45" i="335"/>
  <c r="AM160" i="335"/>
  <c r="AL160" i="335"/>
  <c r="AK160" i="335"/>
  <c r="AJ160" i="335"/>
  <c r="AI160" i="335"/>
  <c r="AH160" i="335"/>
  <c r="AG160" i="335"/>
  <c r="AF160" i="335"/>
  <c r="BK159" i="335"/>
  <c r="AQ35" i="335"/>
  <c r="AM159" i="335"/>
  <c r="AL159" i="335"/>
  <c r="AK159" i="335"/>
  <c r="AJ159" i="335"/>
  <c r="AI159" i="335"/>
  <c r="AH159" i="335"/>
  <c r="AG159" i="335"/>
  <c r="AF159" i="335"/>
  <c r="AQ12" i="335"/>
  <c r="AM158" i="335"/>
  <c r="AL158" i="335"/>
  <c r="AK158" i="335"/>
  <c r="AJ158" i="335"/>
  <c r="AI158" i="335"/>
  <c r="AH158" i="335"/>
  <c r="AG158" i="335"/>
  <c r="AF158" i="335"/>
  <c r="BK157" i="335"/>
  <c r="AQ141" i="335"/>
  <c r="AM157" i="335"/>
  <c r="AL157" i="335"/>
  <c r="AK157" i="335"/>
  <c r="AJ157" i="335"/>
  <c r="AI157" i="335"/>
  <c r="AH157" i="335"/>
  <c r="AG157" i="335"/>
  <c r="AF157" i="335"/>
  <c r="AQ130" i="335"/>
  <c r="AM156" i="335"/>
  <c r="AL156" i="335"/>
  <c r="AK156" i="335"/>
  <c r="AJ156" i="335"/>
  <c r="AI156" i="335"/>
  <c r="AH156" i="335"/>
  <c r="AG156" i="335"/>
  <c r="AF156" i="335"/>
  <c r="BK155" i="335"/>
  <c r="AQ137" i="335"/>
  <c r="AM155" i="335"/>
  <c r="AL155" i="335"/>
  <c r="AK155" i="335"/>
  <c r="AJ155" i="335"/>
  <c r="AI155" i="335"/>
  <c r="AH155" i="335"/>
  <c r="AG155" i="335"/>
  <c r="AF155" i="335"/>
  <c r="AQ133" i="335"/>
  <c r="AM154" i="335"/>
  <c r="AL154" i="335"/>
  <c r="AK154" i="335"/>
  <c r="AJ154" i="335"/>
  <c r="AI154" i="335"/>
  <c r="AH154" i="335"/>
  <c r="AG154" i="335"/>
  <c r="AF154" i="335"/>
  <c r="BK153" i="335"/>
  <c r="AQ126" i="335"/>
  <c r="AM153" i="335"/>
  <c r="AL153" i="335"/>
  <c r="AK153" i="335"/>
  <c r="AJ153" i="335"/>
  <c r="AI153" i="335"/>
  <c r="AH153" i="335"/>
  <c r="AG153" i="335"/>
  <c r="AF153" i="335"/>
  <c r="AQ129" i="335"/>
  <c r="AM152" i="335"/>
  <c r="AL152" i="335"/>
  <c r="AK152" i="335"/>
  <c r="AJ152" i="335"/>
  <c r="AI152" i="335"/>
  <c r="AH152" i="335"/>
  <c r="AG152" i="335"/>
  <c r="AF152" i="335"/>
  <c r="BK151" i="335"/>
  <c r="AQ131" i="335"/>
  <c r="AM151" i="335"/>
  <c r="AL151" i="335"/>
  <c r="AK151" i="335"/>
  <c r="AJ151" i="335"/>
  <c r="AI151" i="335"/>
  <c r="AH151" i="335"/>
  <c r="AG151" i="335"/>
  <c r="AF151" i="335"/>
  <c r="AQ132" i="335"/>
  <c r="AM150" i="335"/>
  <c r="AL150" i="335"/>
  <c r="AK150" i="335"/>
  <c r="AJ150" i="335"/>
  <c r="AI150" i="335"/>
  <c r="AH150" i="335"/>
  <c r="AG150" i="335"/>
  <c r="AF150" i="335"/>
  <c r="BK149" i="335"/>
  <c r="AQ121" i="335"/>
  <c r="AM149" i="335"/>
  <c r="AL149" i="335"/>
  <c r="AK149" i="335"/>
  <c r="AJ149" i="335"/>
  <c r="AI149" i="335"/>
  <c r="AH149" i="335"/>
  <c r="AG149" i="335"/>
  <c r="AF149" i="335"/>
  <c r="AQ124" i="335"/>
  <c r="AM148" i="335"/>
  <c r="AL148" i="335"/>
  <c r="AK148" i="335"/>
  <c r="AJ148" i="335"/>
  <c r="AI148" i="335"/>
  <c r="AH148" i="335"/>
  <c r="AG148" i="335"/>
  <c r="AF148" i="335"/>
  <c r="BK147" i="335"/>
  <c r="AQ122" i="335"/>
  <c r="AM147" i="335"/>
  <c r="AL147" i="335"/>
  <c r="AK147" i="335"/>
  <c r="AJ147" i="335"/>
  <c r="AI147" i="335"/>
  <c r="AH147" i="335"/>
  <c r="AG147" i="335"/>
  <c r="AF147" i="335"/>
  <c r="AQ113" i="335"/>
  <c r="AM146" i="335"/>
  <c r="AL146" i="335"/>
  <c r="AK146" i="335"/>
  <c r="AJ146" i="335"/>
  <c r="AI146" i="335"/>
  <c r="AH146" i="335"/>
  <c r="AG146" i="335"/>
  <c r="AF146" i="335"/>
  <c r="BK145" i="335"/>
  <c r="AQ109" i="335"/>
  <c r="AM145" i="335"/>
  <c r="AL145" i="335"/>
  <c r="AK145" i="335"/>
  <c r="AJ145" i="335"/>
  <c r="AI145" i="335"/>
  <c r="AH145" i="335"/>
  <c r="AG145" i="335"/>
  <c r="AF145" i="335"/>
  <c r="AQ107" i="335"/>
  <c r="AM144" i="335"/>
  <c r="AL144" i="335"/>
  <c r="AK144" i="335"/>
  <c r="AJ144" i="335"/>
  <c r="AI144" i="335"/>
  <c r="AH144" i="335"/>
  <c r="AG144" i="335"/>
  <c r="AF144" i="335"/>
  <c r="BK143" i="335"/>
  <c r="AQ103" i="335"/>
  <c r="AM143" i="335"/>
  <c r="AL143" i="335"/>
  <c r="AK143" i="335"/>
  <c r="AJ143" i="335"/>
  <c r="AI143" i="335"/>
  <c r="AH143" i="335"/>
  <c r="AG143" i="335"/>
  <c r="AF143" i="335"/>
  <c r="AQ94" i="335"/>
  <c r="AM142" i="335"/>
  <c r="AL142" i="335"/>
  <c r="AK142" i="335"/>
  <c r="AJ142" i="335"/>
  <c r="AI142" i="335"/>
  <c r="AH142" i="335"/>
  <c r="AG142" i="335"/>
  <c r="AF142" i="335"/>
  <c r="BK141" i="335"/>
  <c r="AQ91" i="335"/>
  <c r="AM141" i="335"/>
  <c r="AL141" i="335"/>
  <c r="AK141" i="335"/>
  <c r="AJ141" i="335"/>
  <c r="AI141" i="335"/>
  <c r="AH141" i="335"/>
  <c r="AG141" i="335"/>
  <c r="AF141" i="335"/>
  <c r="AQ97" i="335"/>
  <c r="AM140" i="335"/>
  <c r="AL140" i="335"/>
  <c r="AK140" i="335"/>
  <c r="AJ140" i="335"/>
  <c r="AI140" i="335"/>
  <c r="AH140" i="335"/>
  <c r="AG140" i="335"/>
  <c r="AF140" i="335"/>
  <c r="BK139" i="335"/>
  <c r="AQ89" i="335"/>
  <c r="AM139" i="335"/>
  <c r="AL139" i="335"/>
  <c r="AK139" i="335"/>
  <c r="AJ139" i="335"/>
  <c r="AI139" i="335"/>
  <c r="AH139" i="335"/>
  <c r="AG139" i="335"/>
  <c r="AF139" i="335"/>
  <c r="AQ96" i="335"/>
  <c r="AM138" i="335"/>
  <c r="AL138" i="335"/>
  <c r="AK138" i="335"/>
  <c r="AJ138" i="335"/>
  <c r="AI138" i="335"/>
  <c r="AH138" i="335"/>
  <c r="AG138" i="335"/>
  <c r="AF138" i="335"/>
  <c r="BK137" i="335"/>
  <c r="AQ92" i="335"/>
  <c r="AM137" i="335"/>
  <c r="AL137" i="335"/>
  <c r="AK137" i="335"/>
  <c r="AJ137" i="335"/>
  <c r="AI137" i="335"/>
  <c r="AH137" i="335"/>
  <c r="AG137" i="335"/>
  <c r="AF137" i="335"/>
  <c r="AQ84" i="335"/>
  <c r="AM136" i="335"/>
  <c r="AL136" i="335"/>
  <c r="AK136" i="335"/>
  <c r="AJ136" i="335"/>
  <c r="AI136" i="335"/>
  <c r="AH136" i="335"/>
  <c r="AG136" i="335"/>
  <c r="AF136" i="335"/>
  <c r="BK135" i="335"/>
  <c r="AQ78" i="335"/>
  <c r="AM135" i="335"/>
  <c r="AL135" i="335"/>
  <c r="AK135" i="335"/>
  <c r="AJ135" i="335"/>
  <c r="AI135" i="335"/>
  <c r="AH135" i="335"/>
  <c r="AG135" i="335"/>
  <c r="AF135" i="335"/>
  <c r="AQ83" i="335"/>
  <c r="AM134" i="335"/>
  <c r="AL134" i="335"/>
  <c r="AK134" i="335"/>
  <c r="AJ134" i="335"/>
  <c r="AI134" i="335"/>
  <c r="AH134" i="335"/>
  <c r="AG134" i="335"/>
  <c r="AF134" i="335"/>
  <c r="BK133" i="335"/>
  <c r="AQ80" i="335"/>
  <c r="AM133" i="335"/>
  <c r="AL133" i="335"/>
  <c r="AK133" i="335"/>
  <c r="AJ133" i="335"/>
  <c r="AI133" i="335"/>
  <c r="AH133" i="335"/>
  <c r="AG133" i="335"/>
  <c r="AF133" i="335"/>
  <c r="AQ77" i="335"/>
  <c r="AM132" i="335"/>
  <c r="AL132" i="335"/>
  <c r="AK132" i="335"/>
  <c r="AJ132" i="335"/>
  <c r="AI132" i="335"/>
  <c r="AH132" i="335"/>
  <c r="AG132" i="335"/>
  <c r="AF132" i="335"/>
  <c r="BK131" i="335"/>
  <c r="AQ64" i="335"/>
  <c r="AM131" i="335"/>
  <c r="AL131" i="335"/>
  <c r="AK131" i="335"/>
  <c r="AJ131" i="335"/>
  <c r="AI131" i="335"/>
  <c r="AH131" i="335"/>
  <c r="AG131" i="335"/>
  <c r="AF131" i="335"/>
  <c r="AQ79" i="335"/>
  <c r="AM130" i="335"/>
  <c r="AL130" i="335"/>
  <c r="AK130" i="335"/>
  <c r="AJ130" i="335"/>
  <c r="AI130" i="335"/>
  <c r="AH130" i="335"/>
  <c r="AG130" i="335"/>
  <c r="AF130" i="335"/>
  <c r="BK129" i="335"/>
  <c r="AQ65" i="335"/>
  <c r="AM129" i="335"/>
  <c r="AL129" i="335"/>
  <c r="AK129" i="335"/>
  <c r="AJ129" i="335"/>
  <c r="AI129" i="335"/>
  <c r="AH129" i="335"/>
  <c r="AG129" i="335"/>
  <c r="AF129" i="335"/>
  <c r="AQ69" i="335"/>
  <c r="AM128" i="335"/>
  <c r="AL128" i="335"/>
  <c r="AK128" i="335"/>
  <c r="AJ128" i="335"/>
  <c r="AI128" i="335"/>
  <c r="AH128" i="335"/>
  <c r="AG128" i="335"/>
  <c r="AF128" i="335"/>
  <c r="BK127" i="335"/>
  <c r="AQ62" i="335"/>
  <c r="AM127" i="335"/>
  <c r="AL127" i="335"/>
  <c r="AK127" i="335"/>
  <c r="AJ127" i="335"/>
  <c r="AI127" i="335"/>
  <c r="AH127" i="335"/>
  <c r="AG127" i="335"/>
  <c r="AF127" i="335"/>
  <c r="AQ114" i="335"/>
  <c r="AM126" i="335"/>
  <c r="AL126" i="335"/>
  <c r="AK126" i="335"/>
  <c r="AJ126" i="335"/>
  <c r="AI126" i="335"/>
  <c r="AH126" i="335"/>
  <c r="AG126" i="335"/>
  <c r="AF126" i="335"/>
  <c r="BK125" i="335"/>
  <c r="AQ139" i="335"/>
  <c r="AM125" i="335"/>
  <c r="AL125" i="335"/>
  <c r="AK125" i="335"/>
  <c r="AJ125" i="335"/>
  <c r="AI125" i="335"/>
  <c r="AH125" i="335"/>
  <c r="AG125" i="335"/>
  <c r="AF125" i="335"/>
  <c r="AQ111" i="335"/>
  <c r="AM124" i="335"/>
  <c r="AL124" i="335"/>
  <c r="AK124" i="335"/>
  <c r="AJ124" i="335"/>
  <c r="AI124" i="335"/>
  <c r="AH124" i="335"/>
  <c r="AG124" i="335"/>
  <c r="AF124" i="335"/>
  <c r="BK123" i="335"/>
  <c r="AQ144" i="335"/>
  <c r="AM123" i="335"/>
  <c r="AL123" i="335"/>
  <c r="AK123" i="335"/>
  <c r="AJ123" i="335"/>
  <c r="AI123" i="335"/>
  <c r="AH123" i="335"/>
  <c r="AG123" i="335"/>
  <c r="AF123" i="335"/>
  <c r="AQ60" i="335"/>
  <c r="AM122" i="335"/>
  <c r="AL122" i="335"/>
  <c r="AK122" i="335"/>
  <c r="AJ122" i="335"/>
  <c r="AI122" i="335"/>
  <c r="AH122" i="335"/>
  <c r="AG122" i="335"/>
  <c r="AF122" i="335"/>
  <c r="BK121" i="335"/>
  <c r="AQ142" i="335"/>
  <c r="AM121" i="335"/>
  <c r="AL121" i="335"/>
  <c r="AK121" i="335"/>
  <c r="AJ121" i="335"/>
  <c r="AI121" i="335"/>
  <c r="AH121" i="335"/>
  <c r="AG121" i="335"/>
  <c r="AF121" i="335"/>
  <c r="AQ52" i="335"/>
  <c r="AM120" i="335"/>
  <c r="AL120" i="335"/>
  <c r="AK120" i="335"/>
  <c r="AJ120" i="335"/>
  <c r="AI120" i="335"/>
  <c r="AH120" i="335"/>
  <c r="AG120" i="335"/>
  <c r="AF120" i="335"/>
  <c r="BK119" i="335"/>
  <c r="AQ17" i="335"/>
  <c r="AM119" i="335"/>
  <c r="AL119" i="335"/>
  <c r="AK119" i="335"/>
  <c r="AJ119" i="335"/>
  <c r="AI119" i="335"/>
  <c r="AH119" i="335"/>
  <c r="AG119" i="335"/>
  <c r="AF119" i="335"/>
  <c r="AQ147" i="335"/>
  <c r="AM118" i="335"/>
  <c r="AL118" i="335"/>
  <c r="AK118" i="335"/>
  <c r="AJ118" i="335"/>
  <c r="AI118" i="335"/>
  <c r="AH118" i="335"/>
  <c r="AG118" i="335"/>
  <c r="AF118" i="335"/>
  <c r="BK117" i="335"/>
  <c r="AQ39" i="335"/>
  <c r="AM117" i="335"/>
  <c r="AL117" i="335"/>
  <c r="AK117" i="335"/>
  <c r="AJ117" i="335"/>
  <c r="AI117" i="335"/>
  <c r="AH117" i="335"/>
  <c r="AG117" i="335"/>
  <c r="AF117" i="335"/>
  <c r="AQ163" i="335"/>
  <c r="AM116" i="335"/>
  <c r="AL116" i="335"/>
  <c r="AK116" i="335"/>
  <c r="AJ116" i="335"/>
  <c r="AI116" i="335"/>
  <c r="AH116" i="335"/>
  <c r="AG116" i="335"/>
  <c r="AF116" i="335"/>
  <c r="BK115" i="335"/>
  <c r="AQ105" i="335"/>
  <c r="AM115" i="335"/>
  <c r="AL115" i="335"/>
  <c r="AK115" i="335"/>
  <c r="AJ115" i="335"/>
  <c r="AI115" i="335"/>
  <c r="AH115" i="335"/>
  <c r="AG115" i="335"/>
  <c r="AF115" i="335"/>
  <c r="AQ27" i="335"/>
  <c r="AM114" i="335"/>
  <c r="AL114" i="335"/>
  <c r="AK114" i="335"/>
  <c r="AJ114" i="335"/>
  <c r="AI114" i="335"/>
  <c r="AH114" i="335"/>
  <c r="AG114" i="335"/>
  <c r="AF114" i="335"/>
  <c r="BK113" i="335"/>
  <c r="AQ53" i="335"/>
  <c r="AM113" i="335"/>
  <c r="AL113" i="335"/>
  <c r="AK113" i="335"/>
  <c r="AJ113" i="335"/>
  <c r="AI113" i="335"/>
  <c r="AH113" i="335"/>
  <c r="AG113" i="335"/>
  <c r="AF113" i="335"/>
  <c r="AQ9" i="335"/>
  <c r="AM112" i="335"/>
  <c r="AL112" i="335"/>
  <c r="AK112" i="335"/>
  <c r="AJ112" i="335"/>
  <c r="AI112" i="335"/>
  <c r="AH112" i="335"/>
  <c r="AG112" i="335"/>
  <c r="AF112" i="335"/>
  <c r="BK111" i="335"/>
  <c r="AQ123" i="335"/>
  <c r="AM111" i="335"/>
  <c r="AL111" i="335"/>
  <c r="AK111" i="335"/>
  <c r="AJ111" i="335"/>
  <c r="AI111" i="335"/>
  <c r="AH111" i="335"/>
  <c r="AG111" i="335"/>
  <c r="AF111" i="335"/>
  <c r="AQ162" i="335"/>
  <c r="AM110" i="335"/>
  <c r="AL110" i="335"/>
  <c r="AK110" i="335"/>
  <c r="AJ110" i="335"/>
  <c r="AI110" i="335"/>
  <c r="AH110" i="335"/>
  <c r="AG110" i="335"/>
  <c r="AF110" i="335"/>
  <c r="BK109" i="335"/>
  <c r="AQ25" i="335"/>
  <c r="AM109" i="335"/>
  <c r="AL109" i="335"/>
  <c r="AK109" i="335"/>
  <c r="AJ109" i="335"/>
  <c r="AI109" i="335"/>
  <c r="AH109" i="335"/>
  <c r="AG109" i="335"/>
  <c r="AF109" i="335"/>
  <c r="AQ50" i="335"/>
  <c r="AM108" i="335"/>
  <c r="AL108" i="335"/>
  <c r="AK108" i="335"/>
  <c r="AJ108" i="335"/>
  <c r="AI108" i="335"/>
  <c r="AH108" i="335"/>
  <c r="AG108" i="335"/>
  <c r="AF108" i="335"/>
  <c r="BK107" i="335"/>
  <c r="AQ88" i="335"/>
  <c r="AM107" i="335"/>
  <c r="AL107" i="335"/>
  <c r="AK107" i="335"/>
  <c r="AJ107" i="335"/>
  <c r="AI107" i="335"/>
  <c r="AH107" i="335"/>
  <c r="AG107" i="335"/>
  <c r="AF107" i="335"/>
  <c r="AQ46" i="335"/>
  <c r="AM106" i="335"/>
  <c r="AL106" i="335"/>
  <c r="AK106" i="335"/>
  <c r="AJ106" i="335"/>
  <c r="AI106" i="335"/>
  <c r="AH106" i="335"/>
  <c r="AG106" i="335"/>
  <c r="AF106" i="335"/>
  <c r="BK105" i="335"/>
  <c r="AQ44" i="335"/>
  <c r="AM105" i="335"/>
  <c r="AL105" i="335"/>
  <c r="AK105" i="335"/>
  <c r="AJ105" i="335"/>
  <c r="AI105" i="335"/>
  <c r="AH105" i="335"/>
  <c r="AG105" i="335"/>
  <c r="AF105" i="335"/>
  <c r="AQ116" i="335"/>
  <c r="AM104" i="335"/>
  <c r="AL104" i="335"/>
  <c r="AK104" i="335"/>
  <c r="AJ104" i="335"/>
  <c r="AI104" i="335"/>
  <c r="AH104" i="335"/>
  <c r="AG104" i="335"/>
  <c r="AF104" i="335"/>
  <c r="BK103" i="335"/>
  <c r="AQ171" i="335"/>
  <c r="AM103" i="335"/>
  <c r="AL103" i="335"/>
  <c r="AK103" i="335"/>
  <c r="AJ103" i="335"/>
  <c r="AI103" i="335"/>
  <c r="AH103" i="335"/>
  <c r="AG103" i="335"/>
  <c r="AF103" i="335"/>
  <c r="AQ43" i="335"/>
  <c r="AM102" i="335"/>
  <c r="AL102" i="335"/>
  <c r="AK102" i="335"/>
  <c r="AJ102" i="335"/>
  <c r="AI102" i="335"/>
  <c r="AH102" i="335"/>
  <c r="AG102" i="335"/>
  <c r="AF102" i="335"/>
  <c r="BK101" i="335"/>
  <c r="AQ170" i="335"/>
  <c r="AM101" i="335"/>
  <c r="AL101" i="335"/>
  <c r="AK101" i="335"/>
  <c r="AJ101" i="335"/>
  <c r="AI101" i="335"/>
  <c r="AH101" i="335"/>
  <c r="AG101" i="335"/>
  <c r="AF101" i="335"/>
  <c r="AQ59" i="335"/>
  <c r="AM100" i="335"/>
  <c r="AL100" i="335"/>
  <c r="AK100" i="335"/>
  <c r="AJ100" i="335"/>
  <c r="AI100" i="335"/>
  <c r="AH100" i="335"/>
  <c r="AG100" i="335"/>
  <c r="AF100" i="335"/>
  <c r="BK99" i="335"/>
  <c r="AQ174" i="335"/>
  <c r="AM99" i="335"/>
  <c r="AL99" i="335"/>
  <c r="AK99" i="335"/>
  <c r="AJ99" i="335"/>
  <c r="AI99" i="335"/>
  <c r="AH99" i="335"/>
  <c r="AG99" i="335"/>
  <c r="AF99" i="335"/>
  <c r="AQ173" i="335"/>
  <c r="AM98" i="335"/>
  <c r="AL98" i="335"/>
  <c r="AK98" i="335"/>
  <c r="AJ98" i="335"/>
  <c r="AI98" i="335"/>
  <c r="AH98" i="335"/>
  <c r="AG98" i="335"/>
  <c r="AF98" i="335"/>
  <c r="BK97" i="335"/>
  <c r="AQ13" i="335"/>
  <c r="AM97" i="335"/>
  <c r="AL97" i="335"/>
  <c r="AK97" i="335"/>
  <c r="AJ97" i="335"/>
  <c r="AI97" i="335"/>
  <c r="AH97" i="335"/>
  <c r="AG97" i="335"/>
  <c r="AF97" i="335"/>
  <c r="AQ36" i="335"/>
  <c r="AM96" i="335"/>
  <c r="AL96" i="335"/>
  <c r="AK96" i="335"/>
  <c r="AJ96" i="335"/>
  <c r="AI96" i="335"/>
  <c r="AH96" i="335"/>
  <c r="AG96" i="335"/>
  <c r="AF96" i="335"/>
  <c r="BK95" i="335"/>
  <c r="AQ11" i="335"/>
  <c r="AM95" i="335"/>
  <c r="AL95" i="335"/>
  <c r="AK95" i="335"/>
  <c r="AJ95" i="335"/>
  <c r="AI95" i="335"/>
  <c r="AH95" i="335"/>
  <c r="AG95" i="335"/>
  <c r="AF95" i="335"/>
  <c r="AQ165" i="335"/>
  <c r="AM94" i="335"/>
  <c r="AL94" i="335"/>
  <c r="AK94" i="335"/>
  <c r="AJ94" i="335"/>
  <c r="AI94" i="335"/>
  <c r="AH94" i="335"/>
  <c r="AG94" i="335"/>
  <c r="AF94" i="335"/>
  <c r="BK93" i="335"/>
  <c r="AQ16" i="335"/>
  <c r="AM93" i="335"/>
  <c r="AL93" i="335"/>
  <c r="AK93" i="335"/>
  <c r="AJ93" i="335"/>
  <c r="AI93" i="335"/>
  <c r="AH93" i="335"/>
  <c r="AG93" i="335"/>
  <c r="AF93" i="335"/>
  <c r="AQ33" i="335"/>
  <c r="AM92" i="335"/>
  <c r="AL92" i="335"/>
  <c r="AK92" i="335"/>
  <c r="AJ92" i="335"/>
  <c r="AI92" i="335"/>
  <c r="AH92" i="335"/>
  <c r="AG92" i="335"/>
  <c r="AF92" i="335"/>
  <c r="BK91" i="335"/>
  <c r="AQ168" i="335"/>
  <c r="AM91" i="335"/>
  <c r="AL91" i="335"/>
  <c r="AK91" i="335"/>
  <c r="AJ91" i="335"/>
  <c r="AI91" i="335"/>
  <c r="AH91" i="335"/>
  <c r="AG91" i="335"/>
  <c r="AF91" i="335"/>
  <c r="AQ167" i="335"/>
  <c r="AM90" i="335"/>
  <c r="AL90" i="335"/>
  <c r="AK90" i="335"/>
  <c r="AJ90" i="335"/>
  <c r="AI90" i="335"/>
  <c r="AH90" i="335"/>
  <c r="AG90" i="335"/>
  <c r="AF90" i="335"/>
  <c r="BK89" i="335"/>
  <c r="AQ22" i="335"/>
  <c r="AM89" i="335"/>
  <c r="AL89" i="335"/>
  <c r="AK89" i="335"/>
  <c r="AJ89" i="335"/>
  <c r="AI89" i="335"/>
  <c r="AH89" i="335"/>
  <c r="AG89" i="335"/>
  <c r="AF89" i="335"/>
  <c r="AQ161" i="335"/>
  <c r="AM88" i="335"/>
  <c r="AL88" i="335"/>
  <c r="AK88" i="335"/>
  <c r="AJ88" i="335"/>
  <c r="AI88" i="335"/>
  <c r="AH88" i="335"/>
  <c r="AG88" i="335"/>
  <c r="AF88" i="335"/>
  <c r="BK87" i="335"/>
  <c r="AQ166" i="335"/>
  <c r="AM87" i="335"/>
  <c r="AL87" i="335"/>
  <c r="AK87" i="335"/>
  <c r="AJ87" i="335"/>
  <c r="AI87" i="335"/>
  <c r="AH87" i="335"/>
  <c r="AG87" i="335"/>
  <c r="AF87" i="335"/>
  <c r="AQ14" i="335"/>
  <c r="AM86" i="335"/>
  <c r="AL86" i="335"/>
  <c r="AK86" i="335"/>
  <c r="AJ86" i="335"/>
  <c r="AI86" i="335"/>
  <c r="AH86" i="335"/>
  <c r="AG86" i="335"/>
  <c r="AF86" i="335"/>
  <c r="BK85" i="335"/>
  <c r="AQ72" i="335"/>
  <c r="AM85" i="335"/>
  <c r="AL85" i="335"/>
  <c r="AK85" i="335"/>
  <c r="AJ85" i="335"/>
  <c r="AI85" i="335"/>
  <c r="AH85" i="335"/>
  <c r="AG85" i="335"/>
  <c r="AF85" i="335"/>
  <c r="AQ37" i="335"/>
  <c r="AM84" i="335"/>
  <c r="AL84" i="335"/>
  <c r="AK84" i="335"/>
  <c r="AJ84" i="335"/>
  <c r="AI84" i="335"/>
  <c r="AH84" i="335"/>
  <c r="AG84" i="335"/>
  <c r="AF84" i="335"/>
  <c r="BK83" i="335"/>
  <c r="AQ54" i="335"/>
  <c r="AM83" i="335"/>
  <c r="AL83" i="335"/>
  <c r="AK83" i="335"/>
  <c r="AJ83" i="335"/>
  <c r="AI83" i="335"/>
  <c r="AH83" i="335"/>
  <c r="AG83" i="335"/>
  <c r="AF83" i="335"/>
  <c r="AQ31" i="335"/>
  <c r="AM82" i="335"/>
  <c r="AL82" i="335"/>
  <c r="AK82" i="335"/>
  <c r="AJ82" i="335"/>
  <c r="AI82" i="335"/>
  <c r="AH82" i="335"/>
  <c r="AG82" i="335"/>
  <c r="AF82" i="335"/>
  <c r="BK81" i="335"/>
  <c r="AQ93" i="335"/>
  <c r="AM81" i="335"/>
  <c r="AL81" i="335"/>
  <c r="AK81" i="335"/>
  <c r="AJ81" i="335"/>
  <c r="AI81" i="335"/>
  <c r="AH81" i="335"/>
  <c r="AG81" i="335"/>
  <c r="AF81" i="335"/>
  <c r="AQ172" i="335"/>
  <c r="AM80" i="335"/>
  <c r="AL80" i="335"/>
  <c r="AK80" i="335"/>
  <c r="AJ80" i="335"/>
  <c r="AI80" i="335"/>
  <c r="AH80" i="335"/>
  <c r="AG80" i="335"/>
  <c r="AF80" i="335"/>
  <c r="BK79" i="335"/>
  <c r="AQ86" i="335"/>
  <c r="AM79" i="335"/>
  <c r="AL79" i="335"/>
  <c r="AK79" i="335"/>
  <c r="AJ79" i="335"/>
  <c r="AI79" i="335"/>
  <c r="AH79" i="335"/>
  <c r="AG79" i="335"/>
  <c r="AF79" i="335"/>
  <c r="AQ164" i="335"/>
  <c r="AM78" i="335"/>
  <c r="AL78" i="335"/>
  <c r="AK78" i="335"/>
  <c r="AJ78" i="335"/>
  <c r="AI78" i="335"/>
  <c r="AH78" i="335"/>
  <c r="AG78" i="335"/>
  <c r="AF78" i="335"/>
  <c r="BK77" i="335"/>
  <c r="AQ160" i="335"/>
  <c r="AM77" i="335"/>
  <c r="AL77" i="335"/>
  <c r="AK77" i="335"/>
  <c r="AJ77" i="335"/>
  <c r="AI77" i="335"/>
  <c r="AH77" i="335"/>
  <c r="AG77" i="335"/>
  <c r="AF77" i="335"/>
  <c r="AQ151" i="335"/>
  <c r="AM76" i="335"/>
  <c r="AL76" i="335"/>
  <c r="AK76" i="335"/>
  <c r="AJ76" i="335"/>
  <c r="AI76" i="335"/>
  <c r="AH76" i="335"/>
  <c r="AG76" i="335"/>
  <c r="AF76" i="335"/>
  <c r="BK75" i="335"/>
  <c r="AQ158" i="335"/>
  <c r="AM75" i="335"/>
  <c r="AL75" i="335"/>
  <c r="AK75" i="335"/>
  <c r="AJ75" i="335"/>
  <c r="AI75" i="335"/>
  <c r="AH75" i="335"/>
  <c r="AG75" i="335"/>
  <c r="AF75" i="335"/>
  <c r="AQ169" i="335"/>
  <c r="AM74" i="335"/>
  <c r="AL74" i="335"/>
  <c r="AK74" i="335"/>
  <c r="AJ74" i="335"/>
  <c r="AI74" i="335"/>
  <c r="AH74" i="335"/>
  <c r="AG74" i="335"/>
  <c r="AF74" i="335"/>
  <c r="BK73" i="335"/>
  <c r="AQ153" i="335"/>
  <c r="AM73" i="335"/>
  <c r="AL73" i="335"/>
  <c r="AK73" i="335"/>
  <c r="AJ73" i="335"/>
  <c r="AI73" i="335"/>
  <c r="AH73" i="335"/>
  <c r="AG73" i="335"/>
  <c r="AF73" i="335"/>
  <c r="AQ149" i="335"/>
  <c r="AM72" i="335"/>
  <c r="AL72" i="335"/>
  <c r="AK72" i="335"/>
  <c r="AJ72" i="335"/>
  <c r="AI72" i="335"/>
  <c r="AH72" i="335"/>
  <c r="AG72" i="335"/>
  <c r="AF72" i="335"/>
  <c r="BK71" i="335"/>
  <c r="AQ148" i="335"/>
  <c r="AM71" i="335"/>
  <c r="AL71" i="335"/>
  <c r="AK71" i="335"/>
  <c r="AJ71" i="335"/>
  <c r="AI71" i="335"/>
  <c r="AH71" i="335"/>
  <c r="AG71" i="335"/>
  <c r="AF71" i="335"/>
  <c r="AQ140" i="335"/>
  <c r="AM70" i="335"/>
  <c r="AL70" i="335"/>
  <c r="AK70" i="335"/>
  <c r="AJ70" i="335"/>
  <c r="AI70" i="335"/>
  <c r="AH70" i="335"/>
  <c r="AG70" i="335"/>
  <c r="AF70" i="335"/>
  <c r="BK69" i="335"/>
  <c r="AQ135" i="335"/>
  <c r="AM69" i="335"/>
  <c r="AL69" i="335"/>
  <c r="AK69" i="335"/>
  <c r="AJ69" i="335"/>
  <c r="AI69" i="335"/>
  <c r="AH69" i="335"/>
  <c r="AG69" i="335"/>
  <c r="AF69" i="335"/>
  <c r="AQ115" i="335"/>
  <c r="AM68" i="335"/>
  <c r="AL68" i="335"/>
  <c r="AK68" i="335"/>
  <c r="AJ68" i="335"/>
  <c r="AI68" i="335"/>
  <c r="AH68" i="335"/>
  <c r="AG68" i="335"/>
  <c r="AF68" i="335"/>
  <c r="BK67" i="335"/>
  <c r="AQ106" i="335"/>
  <c r="AM67" i="335"/>
  <c r="AL67" i="335"/>
  <c r="AK67" i="335"/>
  <c r="AJ67" i="335"/>
  <c r="AI67" i="335"/>
  <c r="AH67" i="335"/>
  <c r="AG67" i="335"/>
  <c r="AF67" i="335"/>
  <c r="AQ99" i="335"/>
  <c r="AM66" i="335"/>
  <c r="AL66" i="335"/>
  <c r="AK66" i="335"/>
  <c r="AJ66" i="335"/>
  <c r="AI66" i="335"/>
  <c r="AH66" i="335"/>
  <c r="AG66" i="335"/>
  <c r="AF66" i="335"/>
  <c r="BK65" i="335"/>
  <c r="AQ98" i="335"/>
  <c r="AM65" i="335"/>
  <c r="AL65" i="335"/>
  <c r="AK65" i="335"/>
  <c r="AJ65" i="335"/>
  <c r="AI65" i="335"/>
  <c r="AH65" i="335"/>
  <c r="AG65" i="335"/>
  <c r="AF65" i="335"/>
  <c r="AQ102" i="335"/>
  <c r="AM64" i="335"/>
  <c r="AL64" i="335"/>
  <c r="AK64" i="335"/>
  <c r="AJ64" i="335"/>
  <c r="AI64" i="335"/>
  <c r="AH64" i="335"/>
  <c r="AG64" i="335"/>
  <c r="AF64" i="335"/>
  <c r="BK63" i="335"/>
  <c r="AQ70" i="335"/>
  <c r="AM63" i="335"/>
  <c r="AL63" i="335"/>
  <c r="AK63" i="335"/>
  <c r="AJ63" i="335"/>
  <c r="AI63" i="335"/>
  <c r="AH63" i="335"/>
  <c r="AG63" i="335"/>
  <c r="AF63" i="335"/>
  <c r="AQ67" i="335"/>
  <c r="AM62" i="335"/>
  <c r="AL62" i="335"/>
  <c r="AK62" i="335"/>
  <c r="AJ62" i="335"/>
  <c r="AI62" i="335"/>
  <c r="AH62" i="335"/>
  <c r="AG62" i="335"/>
  <c r="AF62" i="335"/>
  <c r="BK61" i="335"/>
  <c r="AQ68" i="335"/>
  <c r="AM61" i="335"/>
  <c r="AL61" i="335"/>
  <c r="AK61" i="335"/>
  <c r="AJ61" i="335"/>
  <c r="AI61" i="335"/>
  <c r="AH61" i="335"/>
  <c r="AG61" i="335"/>
  <c r="AF61" i="335"/>
  <c r="AQ55" i="335"/>
  <c r="AM60" i="335"/>
  <c r="AL60" i="335"/>
  <c r="AK60" i="335"/>
  <c r="AJ60" i="335"/>
  <c r="AI60" i="335"/>
  <c r="AH60" i="335"/>
  <c r="AG60" i="335"/>
  <c r="AF60" i="335"/>
  <c r="BK59" i="335"/>
  <c r="AQ56" i="335"/>
  <c r="AM59" i="335"/>
  <c r="AL59" i="335"/>
  <c r="AK59" i="335"/>
  <c r="AJ59" i="335"/>
  <c r="AI59" i="335"/>
  <c r="AH59" i="335"/>
  <c r="AG59" i="335"/>
  <c r="AF59" i="335"/>
  <c r="AQ48" i="335"/>
  <c r="AM58" i="335"/>
  <c r="AL58" i="335"/>
  <c r="AK58" i="335"/>
  <c r="AJ58" i="335"/>
  <c r="AI58" i="335"/>
  <c r="AH58" i="335"/>
  <c r="AG58" i="335"/>
  <c r="AF58" i="335"/>
  <c r="BK57" i="335"/>
  <c r="AQ49" i="335"/>
  <c r="AM57" i="335"/>
  <c r="AL57" i="335"/>
  <c r="AK57" i="335"/>
  <c r="AJ57" i="335"/>
  <c r="AI57" i="335"/>
  <c r="AH57" i="335"/>
  <c r="AG57" i="335"/>
  <c r="AF57" i="335"/>
  <c r="AQ47" i="335"/>
  <c r="AM56" i="335"/>
  <c r="AL56" i="335"/>
  <c r="AK56" i="335"/>
  <c r="AJ56" i="335"/>
  <c r="AI56" i="335"/>
  <c r="AH56" i="335"/>
  <c r="AG56" i="335"/>
  <c r="AF56" i="335"/>
  <c r="BK55" i="335"/>
  <c r="AQ42" i="335"/>
  <c r="AM55" i="335"/>
  <c r="AL55" i="335"/>
  <c r="AK55" i="335"/>
  <c r="AJ55" i="335"/>
  <c r="AI55" i="335"/>
  <c r="AH55" i="335"/>
  <c r="AG55" i="335"/>
  <c r="AF55" i="335"/>
  <c r="AQ41" i="335"/>
  <c r="AM54" i="335"/>
  <c r="AL54" i="335"/>
  <c r="AK54" i="335"/>
  <c r="AJ54" i="335"/>
  <c r="AI54" i="335"/>
  <c r="AH54" i="335"/>
  <c r="AG54" i="335"/>
  <c r="AF54" i="335"/>
  <c r="BK53" i="335"/>
  <c r="AQ40" i="335"/>
  <c r="AM53" i="335"/>
  <c r="AL53" i="335"/>
  <c r="AK53" i="335"/>
  <c r="AJ53" i="335"/>
  <c r="AI53" i="335"/>
  <c r="AH53" i="335"/>
  <c r="AG53" i="335"/>
  <c r="AF53" i="335"/>
  <c r="AQ34" i="335"/>
  <c r="AM52" i="335"/>
  <c r="AL52" i="335"/>
  <c r="AK52" i="335"/>
  <c r="AJ52" i="335"/>
  <c r="AI52" i="335"/>
  <c r="AH52" i="335"/>
  <c r="AG52" i="335"/>
  <c r="AF52" i="335"/>
  <c r="BK51" i="335"/>
  <c r="AQ38" i="335"/>
  <c r="AM51" i="335"/>
  <c r="AL51" i="335"/>
  <c r="AK51" i="335"/>
  <c r="AJ51" i="335"/>
  <c r="AI51" i="335"/>
  <c r="AH51" i="335"/>
  <c r="AG51" i="335"/>
  <c r="AF51" i="335"/>
  <c r="AQ32" i="335"/>
  <c r="AM50" i="335"/>
  <c r="AL50" i="335"/>
  <c r="AK50" i="335"/>
  <c r="AJ50" i="335"/>
  <c r="AI50" i="335"/>
  <c r="AH50" i="335"/>
  <c r="AG50" i="335"/>
  <c r="AF50" i="335"/>
  <c r="BK49" i="335"/>
  <c r="AQ29" i="335"/>
  <c r="AM49" i="335"/>
  <c r="AL49" i="335"/>
  <c r="AK49" i="335"/>
  <c r="AJ49" i="335"/>
  <c r="AI49" i="335"/>
  <c r="AH49" i="335"/>
  <c r="AG49" i="335"/>
  <c r="AF49" i="335"/>
  <c r="AQ26" i="335"/>
  <c r="AM48" i="335"/>
  <c r="AL48" i="335"/>
  <c r="AK48" i="335"/>
  <c r="AJ48" i="335"/>
  <c r="AI48" i="335"/>
  <c r="AH48" i="335"/>
  <c r="AG48" i="335"/>
  <c r="AF48" i="335"/>
  <c r="BK47" i="335"/>
  <c r="AQ23" i="335"/>
  <c r="AM47" i="335"/>
  <c r="AL47" i="335"/>
  <c r="AK47" i="335"/>
  <c r="AJ47" i="335"/>
  <c r="AI47" i="335"/>
  <c r="AH47" i="335"/>
  <c r="AG47" i="335"/>
  <c r="AF47" i="335"/>
  <c r="AQ24" i="335"/>
  <c r="AM46" i="335"/>
  <c r="AL46" i="335"/>
  <c r="AK46" i="335"/>
  <c r="AJ46" i="335"/>
  <c r="AI46" i="335"/>
  <c r="AH46" i="335"/>
  <c r="AG46" i="335"/>
  <c r="AF46" i="335"/>
  <c r="BK45" i="335"/>
  <c r="AQ21" i="335"/>
  <c r="AM45" i="335"/>
  <c r="AL45" i="335"/>
  <c r="AK45" i="335"/>
  <c r="AJ45" i="335"/>
  <c r="AI45" i="335"/>
  <c r="AH45" i="335"/>
  <c r="AG45" i="335"/>
  <c r="AF45" i="335"/>
  <c r="AQ20" i="335"/>
  <c r="AM44" i="335"/>
  <c r="AL44" i="335"/>
  <c r="AK44" i="335"/>
  <c r="AJ44" i="335"/>
  <c r="AI44" i="335"/>
  <c r="AH44" i="335"/>
  <c r="AG44" i="335"/>
  <c r="AF44" i="335"/>
  <c r="BK43" i="335"/>
  <c r="AQ18" i="335"/>
  <c r="AM43" i="335"/>
  <c r="AL43" i="335"/>
  <c r="AK43" i="335"/>
  <c r="AJ43" i="335"/>
  <c r="AI43" i="335"/>
  <c r="AH43" i="335"/>
  <c r="AG43" i="335"/>
  <c r="AF43" i="335"/>
  <c r="AQ15" i="335"/>
  <c r="AM42" i="335"/>
  <c r="AL42" i="335"/>
  <c r="AK42" i="335"/>
  <c r="AJ42" i="335"/>
  <c r="AI42" i="335"/>
  <c r="AH42" i="335"/>
  <c r="AG42" i="335"/>
  <c r="AF42" i="335"/>
  <c r="BK41" i="335"/>
  <c r="AQ10" i="335"/>
  <c r="AM41" i="335"/>
  <c r="AL41" i="335"/>
  <c r="AK41" i="335"/>
  <c r="AJ41" i="335"/>
  <c r="AI41" i="335"/>
  <c r="AH41" i="335"/>
  <c r="AG41" i="335"/>
  <c r="AF41" i="335"/>
  <c r="AQ8" i="335"/>
  <c r="AM40" i="335"/>
  <c r="AL40" i="335"/>
  <c r="AK40" i="335"/>
  <c r="AJ40" i="335"/>
  <c r="AI40" i="335"/>
  <c r="AH40" i="335"/>
  <c r="AG40" i="335"/>
  <c r="AF40" i="335"/>
  <c r="BK39" i="335"/>
  <c r="AQ7" i="335"/>
  <c r="AM39" i="335"/>
  <c r="AL39" i="335"/>
  <c r="AK39" i="335"/>
  <c r="AJ39" i="335"/>
  <c r="AI39" i="335"/>
  <c r="AH39" i="335"/>
  <c r="AG39" i="335"/>
  <c r="AF39" i="335"/>
  <c r="AQ6" i="335"/>
  <c r="AM38" i="335"/>
  <c r="AL38" i="335"/>
  <c r="AK38" i="335"/>
  <c r="AJ38" i="335"/>
  <c r="AI38" i="335"/>
  <c r="AH38" i="335"/>
  <c r="AG38" i="335"/>
  <c r="AF38" i="335"/>
  <c r="BK37" i="335"/>
  <c r="AQ182" i="335"/>
  <c r="AM37" i="335"/>
  <c r="AL37" i="335"/>
  <c r="AK37" i="335"/>
  <c r="AJ37" i="335"/>
  <c r="AI37" i="335"/>
  <c r="AH37" i="335"/>
  <c r="AG37" i="335"/>
  <c r="AF37" i="335"/>
  <c r="AQ181" i="335"/>
  <c r="AM36" i="335"/>
  <c r="AL36" i="335"/>
  <c r="AK36" i="335"/>
  <c r="AJ36" i="335"/>
  <c r="AI36" i="335"/>
  <c r="AH36" i="335"/>
  <c r="AG36" i="335"/>
  <c r="AF36" i="335"/>
  <c r="BK35" i="335"/>
  <c r="AQ180" i="335"/>
  <c r="AM35" i="335"/>
  <c r="AL35" i="335"/>
  <c r="AK35" i="335"/>
  <c r="AJ35" i="335"/>
  <c r="AI35" i="335"/>
  <c r="AH35" i="335"/>
  <c r="AG35" i="335"/>
  <c r="AF35" i="335"/>
  <c r="AQ179" i="335"/>
  <c r="AM34" i="335"/>
  <c r="AL34" i="335"/>
  <c r="AK34" i="335"/>
  <c r="AJ34" i="335"/>
  <c r="AI34" i="335"/>
  <c r="AH34" i="335"/>
  <c r="AG34" i="335"/>
  <c r="AF34" i="335"/>
  <c r="BK33" i="335"/>
  <c r="AQ178" i="335"/>
  <c r="AM33" i="335"/>
  <c r="AL33" i="335"/>
  <c r="AK33" i="335"/>
  <c r="AJ33" i="335"/>
  <c r="AI33" i="335"/>
  <c r="AH33" i="335"/>
  <c r="AG33" i="335"/>
  <c r="AF33" i="335"/>
  <c r="AQ177" i="335"/>
  <c r="AM32" i="335"/>
  <c r="AL32" i="335"/>
  <c r="AK32" i="335"/>
  <c r="AJ32" i="335"/>
  <c r="AI32" i="335"/>
  <c r="AH32" i="335"/>
  <c r="AG32" i="335"/>
  <c r="AF32" i="335"/>
  <c r="BK31" i="335"/>
  <c r="AQ176" i="335"/>
  <c r="AM31" i="335"/>
  <c r="AL31" i="335"/>
  <c r="AK31" i="335"/>
  <c r="AJ31" i="335"/>
  <c r="AI31" i="335"/>
  <c r="AH31" i="335"/>
  <c r="AG31" i="335"/>
  <c r="AF31" i="335"/>
  <c r="AQ175" i="335"/>
  <c r="AM30" i="335"/>
  <c r="AL30" i="335"/>
  <c r="AK30" i="335"/>
  <c r="AJ30" i="335"/>
  <c r="AI30" i="335"/>
  <c r="AH30" i="335"/>
  <c r="AG30" i="335"/>
  <c r="AF30" i="335"/>
  <c r="BK29" i="335"/>
  <c r="AQ159" i="335"/>
  <c r="AM29" i="335"/>
  <c r="AL29" i="335"/>
  <c r="AK29" i="335"/>
  <c r="AJ29" i="335"/>
  <c r="AI29" i="335"/>
  <c r="AH29" i="335"/>
  <c r="AG29" i="335"/>
  <c r="AF29" i="335"/>
  <c r="AQ154" i="335"/>
  <c r="AM28" i="335"/>
  <c r="AL28" i="335"/>
  <c r="AK28" i="335"/>
  <c r="AJ28" i="335"/>
  <c r="AI28" i="335"/>
  <c r="AH28" i="335"/>
  <c r="AG28" i="335"/>
  <c r="AF28" i="335"/>
  <c r="BK27" i="335"/>
  <c r="AQ150" i="335"/>
  <c r="AM27" i="335"/>
  <c r="AL27" i="335"/>
  <c r="AK27" i="335"/>
  <c r="AJ27" i="335"/>
  <c r="AI27" i="335"/>
  <c r="AH27" i="335"/>
  <c r="AG27" i="335"/>
  <c r="AF27" i="335"/>
  <c r="AQ152" i="335"/>
  <c r="AM26" i="335"/>
  <c r="AL26" i="335"/>
  <c r="AK26" i="335"/>
  <c r="AJ26" i="335"/>
  <c r="AI26" i="335"/>
  <c r="AH26" i="335"/>
  <c r="AG26" i="335"/>
  <c r="AF26" i="335"/>
  <c r="BK25" i="335"/>
  <c r="AQ145" i="335"/>
  <c r="AM25" i="335"/>
  <c r="AL25" i="335"/>
  <c r="AK25" i="335"/>
  <c r="AJ25" i="335"/>
  <c r="AI25" i="335"/>
  <c r="AH25" i="335"/>
  <c r="AG25" i="335"/>
  <c r="AF25" i="335"/>
  <c r="AQ138" i="335"/>
  <c r="AM24" i="335"/>
  <c r="AL24" i="335"/>
  <c r="AK24" i="335"/>
  <c r="AJ24" i="335"/>
  <c r="AI24" i="335"/>
  <c r="AH24" i="335"/>
  <c r="AG24" i="335"/>
  <c r="AF24" i="335"/>
  <c r="BK23" i="335"/>
  <c r="AQ127" i="335"/>
  <c r="AM23" i="335"/>
  <c r="AL23" i="335"/>
  <c r="AK23" i="335"/>
  <c r="AJ23" i="335"/>
  <c r="AI23" i="335"/>
  <c r="AH23" i="335"/>
  <c r="AG23" i="335"/>
  <c r="AF23" i="335"/>
  <c r="AQ119" i="335"/>
  <c r="AM22" i="335"/>
  <c r="AL22" i="335"/>
  <c r="AK22" i="335"/>
  <c r="AJ22" i="335"/>
  <c r="AI22" i="335"/>
  <c r="AH22" i="335"/>
  <c r="AG22" i="335"/>
  <c r="AF22" i="335"/>
  <c r="BK21" i="335"/>
  <c r="AQ108" i="335"/>
  <c r="AM21" i="335"/>
  <c r="AL21" i="335"/>
  <c r="AK21" i="335"/>
  <c r="AJ21" i="335"/>
  <c r="AI21" i="335"/>
  <c r="AH21" i="335"/>
  <c r="AG21" i="335"/>
  <c r="AF21" i="335"/>
  <c r="AQ101" i="335"/>
  <c r="AM20" i="335"/>
  <c r="AL20" i="335"/>
  <c r="AK20" i="335"/>
  <c r="AJ20" i="335"/>
  <c r="AI20" i="335"/>
  <c r="AH20" i="335"/>
  <c r="AG20" i="335"/>
  <c r="AF20" i="335"/>
  <c r="BK19" i="335"/>
  <c r="AQ82" i="335"/>
  <c r="AM19" i="335"/>
  <c r="AL19" i="335"/>
  <c r="AK19" i="335"/>
  <c r="AJ19" i="335"/>
  <c r="AI19" i="335"/>
  <c r="AH19" i="335"/>
  <c r="AG19" i="335"/>
  <c r="AF19" i="335"/>
  <c r="AQ100" i="335"/>
  <c r="AM18" i="335"/>
  <c r="AL18" i="335"/>
  <c r="AK18" i="335"/>
  <c r="AJ18" i="335"/>
  <c r="AI18" i="335"/>
  <c r="AH18" i="335"/>
  <c r="AG18" i="335"/>
  <c r="AF18" i="335"/>
  <c r="BK17" i="335"/>
  <c r="AQ95" i="335"/>
  <c r="AM17" i="335"/>
  <c r="AL17" i="335"/>
  <c r="AK17" i="335"/>
  <c r="AJ17" i="335"/>
  <c r="AI17" i="335"/>
  <c r="AH17" i="335"/>
  <c r="AG17" i="335"/>
  <c r="AF17" i="335"/>
  <c r="AQ81" i="335"/>
  <c r="AM16" i="335"/>
  <c r="AL16" i="335"/>
  <c r="AK16" i="335"/>
  <c r="AJ16" i="335"/>
  <c r="AI16" i="335"/>
  <c r="AH16" i="335"/>
  <c r="AG16" i="335"/>
  <c r="AF16" i="335"/>
  <c r="BK15" i="335"/>
  <c r="AQ76" i="335"/>
  <c r="AM15" i="335"/>
  <c r="AL15" i="335"/>
  <c r="AK15" i="335"/>
  <c r="AJ15" i="335"/>
  <c r="AI15" i="335"/>
  <c r="AH15" i="335"/>
  <c r="AG15" i="335"/>
  <c r="AF15" i="335"/>
  <c r="BK14" i="335"/>
  <c r="AQ63" i="335"/>
  <c r="AM14" i="335"/>
  <c r="AL14" i="335"/>
  <c r="AK14" i="335"/>
  <c r="AJ14" i="335"/>
  <c r="AI14" i="335"/>
  <c r="AH14" i="335"/>
  <c r="AG14" i="335"/>
  <c r="AF14" i="335"/>
  <c r="AQ73" i="335"/>
  <c r="AM13" i="335"/>
  <c r="AL13" i="335"/>
  <c r="AK13" i="335"/>
  <c r="AJ13" i="335"/>
  <c r="AI13" i="335"/>
  <c r="AH13" i="335"/>
  <c r="AG13" i="335"/>
  <c r="AF13" i="335"/>
  <c r="AQ71" i="335"/>
  <c r="AM12" i="335"/>
  <c r="AL12" i="335"/>
  <c r="AK12" i="335"/>
  <c r="AJ12" i="335"/>
  <c r="AI12" i="335"/>
  <c r="AH12" i="335"/>
  <c r="AG12" i="335"/>
  <c r="AF12" i="335"/>
  <c r="BK11" i="335"/>
  <c r="AQ58" i="335"/>
  <c r="AM11" i="335"/>
  <c r="AL11" i="335"/>
  <c r="AK11" i="335"/>
  <c r="AJ11" i="335"/>
  <c r="AI11" i="335"/>
  <c r="AH11" i="335"/>
  <c r="AG11" i="335"/>
  <c r="AF11" i="335"/>
  <c r="BK10" i="335"/>
  <c r="AQ57" i="335"/>
  <c r="AM10" i="335"/>
  <c r="AL10" i="335"/>
  <c r="AK10" i="335"/>
  <c r="AJ10" i="335"/>
  <c r="AI10" i="335"/>
  <c r="AH10" i="335"/>
  <c r="AG10" i="335"/>
  <c r="AF10" i="335"/>
  <c r="AQ51" i="335"/>
  <c r="AM9" i="335"/>
  <c r="AL9" i="335"/>
  <c r="AK9" i="335"/>
  <c r="AJ9" i="335"/>
  <c r="AI9" i="335"/>
  <c r="AH9" i="335"/>
  <c r="AG9" i="335"/>
  <c r="AF9" i="335"/>
  <c r="AQ30" i="335"/>
  <c r="AM8" i="335"/>
  <c r="AL8" i="335"/>
  <c r="AK8" i="335"/>
  <c r="AJ8" i="335"/>
  <c r="AI8" i="335"/>
  <c r="AH8" i="335"/>
  <c r="AG8" i="335"/>
  <c r="AF8" i="335"/>
  <c r="BK7" i="335"/>
  <c r="AQ28" i="335"/>
  <c r="AM7" i="335"/>
  <c r="AL7" i="335"/>
  <c r="AK7" i="335"/>
  <c r="AJ7" i="335"/>
  <c r="AI7" i="335"/>
  <c r="AH7" i="335"/>
  <c r="AG7" i="335"/>
  <c r="AF7" i="335"/>
  <c r="BK6" i="335"/>
  <c r="BD19" i="335"/>
  <c r="AQ19" i="335"/>
  <c r="AM6" i="335"/>
  <c r="AL6" i="335"/>
  <c r="AK6" i="335"/>
  <c r="AJ6" i="335"/>
  <c r="AI6" i="335"/>
  <c r="AH6" i="335"/>
  <c r="AG6" i="335"/>
  <c r="AF6" i="335"/>
  <c r="BD28" i="335" s="1"/>
  <c r="BB30" i="335" l="1"/>
  <c r="AW56" i="335"/>
  <c r="BD49" i="335"/>
  <c r="BB73" i="335"/>
  <c r="BB70" i="335"/>
  <c r="BB76" i="335"/>
  <c r="AW95" i="335"/>
  <c r="AV90" i="335"/>
  <c r="BD172" i="335"/>
  <c r="BC135" i="335"/>
  <c r="BE135" i="335" s="1"/>
  <c r="AW115" i="335"/>
  <c r="AW55" i="335"/>
  <c r="AW40" i="335"/>
  <c r="AW21" i="335"/>
  <c r="BD20" i="335"/>
  <c r="BB18" i="335"/>
  <c r="AW10" i="335"/>
  <c r="BD8" i="335"/>
  <c r="BB180" i="335"/>
  <c r="AW178" i="335"/>
  <c r="BD177" i="335"/>
  <c r="BB176" i="335"/>
  <c r="BD154" i="335"/>
  <c r="BB150" i="335"/>
  <c r="BD127" i="335"/>
  <c r="BD82" i="335"/>
  <c r="BD81" i="335"/>
  <c r="AW73" i="335"/>
  <c r="BD71" i="335"/>
  <c r="BB58" i="335"/>
  <c r="BB51" i="335"/>
  <c r="AW30" i="335"/>
  <c r="BB19" i="335"/>
  <c r="BB158" i="335"/>
  <c r="BD56" i="335"/>
  <c r="BD34" i="335"/>
  <c r="BB15" i="335"/>
  <c r="BB7" i="335"/>
  <c r="AW180" i="335"/>
  <c r="BB175" i="335"/>
  <c r="BB152" i="335"/>
  <c r="BB119" i="335"/>
  <c r="BB82" i="335"/>
  <c r="AW81" i="335"/>
  <c r="AW51" i="335"/>
  <c r="BD102" i="335"/>
  <c r="BD70" i="335"/>
  <c r="AW68" i="335"/>
  <c r="BB56" i="335"/>
  <c r="AW49" i="335"/>
  <c r="BD38" i="335"/>
  <c r="AW15" i="335"/>
  <c r="AW7" i="335"/>
  <c r="AW182" i="335"/>
  <c r="BD181" i="335"/>
  <c r="BB179" i="335"/>
  <c r="AW175" i="335"/>
  <c r="AW152" i="335"/>
  <c r="BB108" i="335"/>
  <c r="BD95" i="335"/>
  <c r="BD76" i="335"/>
  <c r="BD30" i="335"/>
  <c r="BB28" i="335"/>
  <c r="BD165" i="335"/>
  <c r="BC160" i="335"/>
  <c r="BE160" i="335" s="1"/>
  <c r="BC98" i="335"/>
  <c r="BE98" i="335" s="1"/>
  <c r="BD55" i="335"/>
  <c r="BD47" i="335"/>
  <c r="BB42" i="335"/>
  <c r="BD40" i="335"/>
  <c r="BB38" i="335"/>
  <c r="AW29" i="335"/>
  <c r="BD26" i="335"/>
  <c r="BB23" i="335"/>
  <c r="BB21" i="335"/>
  <c r="BB10" i="335"/>
  <c r="BD180" i="335"/>
  <c r="BD178" i="335"/>
  <c r="AW159" i="335"/>
  <c r="AW145" i="335"/>
  <c r="BD138" i="335"/>
  <c r="AW108" i="335"/>
  <c r="BD101" i="335"/>
  <c r="AW133" i="335"/>
  <c r="BB95" i="335"/>
  <c r="BB154" i="335"/>
  <c r="AW154" i="335"/>
  <c r="BB178" i="335"/>
  <c r="AW22" i="335"/>
  <c r="BD100" i="335"/>
  <c r="BB127" i="335"/>
  <c r="AW127" i="335"/>
  <c r="BD119" i="335"/>
  <c r="BD68" i="335"/>
  <c r="BD115" i="335"/>
  <c r="BB106" i="335"/>
  <c r="AW28" i="335"/>
  <c r="BD51" i="335"/>
  <c r="AW82" i="335"/>
  <c r="BD152" i="335"/>
  <c r="BD73" i="335"/>
  <c r="BB81" i="335"/>
  <c r="AW179" i="335"/>
  <c r="BD7" i="335"/>
  <c r="AW98" i="335"/>
  <c r="BB34" i="335"/>
  <c r="AW34" i="335"/>
  <c r="BD21" i="335"/>
  <c r="AW135" i="335"/>
  <c r="AW38" i="335"/>
  <c r="BB49" i="335"/>
  <c r="AW160" i="335"/>
  <c r="BD158" i="335"/>
  <c r="AW172" i="335"/>
  <c r="AW19" i="335"/>
  <c r="BD108" i="335"/>
  <c r="BD175" i="335"/>
  <c r="BD15" i="335"/>
  <c r="BB40" i="335"/>
  <c r="BB55" i="335"/>
  <c r="BB100" i="335"/>
  <c r="AW100" i="335"/>
  <c r="AW119" i="335"/>
  <c r="BB47" i="335"/>
  <c r="AW47" i="335"/>
  <c r="BB68" i="335"/>
  <c r="BD106" i="335"/>
  <c r="AW76" i="335"/>
  <c r="BD179" i="335"/>
  <c r="BD10" i="335"/>
  <c r="BB99" i="335"/>
  <c r="AV140" i="335"/>
  <c r="BD149" i="335"/>
  <c r="BB169" i="335"/>
  <c r="AW151" i="335"/>
  <c r="AV164" i="335"/>
  <c r="BD14" i="335"/>
  <c r="AV168" i="335"/>
  <c r="BD58" i="335"/>
  <c r="AW71" i="335"/>
  <c r="BB63" i="335"/>
  <c r="AW101" i="335"/>
  <c r="AW177" i="335"/>
  <c r="BB6" i="335"/>
  <c r="AW8" i="335"/>
  <c r="BD18" i="335"/>
  <c r="AW20" i="335"/>
  <c r="BB24" i="335"/>
  <c r="BB32" i="335"/>
  <c r="BB41" i="335"/>
  <c r="BB67" i="335"/>
  <c r="AW153" i="335"/>
  <c r="AW93" i="335"/>
  <c r="BB72" i="335"/>
  <c r="BB168" i="335"/>
  <c r="BD173" i="335"/>
  <c r="AV174" i="335"/>
  <c r="BB116" i="335"/>
  <c r="BD57" i="335"/>
  <c r="AW58" i="335"/>
  <c r="BD63" i="335"/>
  <c r="BB145" i="335"/>
  <c r="AW150" i="335"/>
  <c r="BB159" i="335"/>
  <c r="AW176" i="335"/>
  <c r="BB182" i="335"/>
  <c r="BD6" i="335"/>
  <c r="AW18" i="335"/>
  <c r="BD24" i="335"/>
  <c r="AW23" i="335"/>
  <c r="BB29" i="335"/>
  <c r="BD32" i="335"/>
  <c r="BD41" i="335"/>
  <c r="AW42" i="335"/>
  <c r="BD48" i="335"/>
  <c r="BD67" i="335"/>
  <c r="AW102" i="335"/>
  <c r="AV99" i="335"/>
  <c r="BB140" i="335"/>
  <c r="AW149" i="335"/>
  <c r="AV169" i="335"/>
  <c r="BD151" i="335"/>
  <c r="BB164" i="335"/>
  <c r="AV31" i="335"/>
  <c r="AW54" i="335"/>
  <c r="BD37" i="335"/>
  <c r="AW166" i="335"/>
  <c r="BD161" i="335"/>
  <c r="BD80" i="335"/>
  <c r="AW139" i="335"/>
  <c r="BD111" i="335"/>
  <c r="AW39" i="335"/>
  <c r="BD163" i="335"/>
  <c r="AW25" i="335"/>
  <c r="BD50" i="335"/>
  <c r="AW65" i="335"/>
  <c r="BD69" i="335"/>
  <c r="AW142" i="335"/>
  <c r="BD52" i="335"/>
  <c r="AW53" i="335"/>
  <c r="BD9" i="335"/>
  <c r="BD44" i="335"/>
  <c r="AV171" i="335"/>
  <c r="BD43" i="335"/>
  <c r="AV11" i="335"/>
  <c r="BD148" i="335"/>
  <c r="BD86" i="335"/>
  <c r="BD31" i="335"/>
  <c r="AW72" i="335"/>
  <c r="BD33" i="335"/>
  <c r="BB57" i="335"/>
  <c r="AW138" i="335"/>
  <c r="BD150" i="335"/>
  <c r="BD176" i="335"/>
  <c r="AW181" i="335"/>
  <c r="BD23" i="335"/>
  <c r="AW26" i="335"/>
  <c r="BD42" i="335"/>
  <c r="BB48" i="335"/>
  <c r="AW57" i="335"/>
  <c r="BB71" i="335"/>
  <c r="AW63" i="335"/>
  <c r="BB101" i="335"/>
  <c r="BB138" i="335"/>
  <c r="BD145" i="335"/>
  <c r="BD159" i="335"/>
  <c r="BB177" i="335"/>
  <c r="BB181" i="335"/>
  <c r="BD182" i="335"/>
  <c r="AW6" i="335"/>
  <c r="BB8" i="335"/>
  <c r="BB20" i="335"/>
  <c r="AW24" i="335"/>
  <c r="BB26" i="335"/>
  <c r="BD29" i="335"/>
  <c r="AW32" i="335"/>
  <c r="AW41" i="335"/>
  <c r="AW48" i="335"/>
  <c r="AW67" i="335"/>
  <c r="BB148" i="335"/>
  <c r="BC153" i="335"/>
  <c r="BE153" i="335" s="1"/>
  <c r="BB86" i="335"/>
  <c r="BC93" i="335"/>
  <c r="BE93" i="335" s="1"/>
  <c r="BB54" i="335"/>
  <c r="BB166" i="335"/>
  <c r="BD22" i="335"/>
  <c r="BC19" i="335"/>
  <c r="BE19" i="335" s="1"/>
  <c r="AV28" i="335"/>
  <c r="BC30" i="335"/>
  <c r="BE30" i="335" s="1"/>
  <c r="AV51" i="335"/>
  <c r="BC57" i="335"/>
  <c r="BE57" i="335" s="1"/>
  <c r="AV58" i="335"/>
  <c r="BC71" i="335"/>
  <c r="BE71" i="335" s="1"/>
  <c r="AV73" i="335"/>
  <c r="BC63" i="335"/>
  <c r="BE63" i="335" s="1"/>
  <c r="AV76" i="335"/>
  <c r="BC81" i="335"/>
  <c r="BE81" i="335" s="1"/>
  <c r="AV95" i="335"/>
  <c r="BC100" i="335"/>
  <c r="BE100" i="335" s="1"/>
  <c r="AV82" i="335"/>
  <c r="BC101" i="335"/>
  <c r="BE101" i="335" s="1"/>
  <c r="AV108" i="335"/>
  <c r="BC119" i="335"/>
  <c r="BE119" i="335" s="1"/>
  <c r="AV127" i="335"/>
  <c r="BC138" i="335"/>
  <c r="BE138" i="335" s="1"/>
  <c r="AV145" i="335"/>
  <c r="BC152" i="335"/>
  <c r="BE152" i="335" s="1"/>
  <c r="AV150" i="335"/>
  <c r="BC154" i="335"/>
  <c r="BE154" i="335" s="1"/>
  <c r="AV159" i="335"/>
  <c r="BC175" i="335"/>
  <c r="BE175" i="335" s="1"/>
  <c r="AV176" i="335"/>
  <c r="BC177" i="335"/>
  <c r="BE177" i="335" s="1"/>
  <c r="AV178" i="335"/>
  <c r="BC179" i="335"/>
  <c r="BE179" i="335" s="1"/>
  <c r="AV180" i="335"/>
  <c r="BC181" i="335"/>
  <c r="BE181" i="335" s="1"/>
  <c r="AV182" i="335"/>
  <c r="BC6" i="335"/>
  <c r="BE6" i="335" s="1"/>
  <c r="AV7" i="335"/>
  <c r="BC8" i="335"/>
  <c r="BE8" i="335" s="1"/>
  <c r="AV10" i="335"/>
  <c r="BC15" i="335"/>
  <c r="BE15" i="335" s="1"/>
  <c r="AV18" i="335"/>
  <c r="BC20" i="335"/>
  <c r="BE20" i="335" s="1"/>
  <c r="AV21" i="335"/>
  <c r="BC24" i="335"/>
  <c r="BE24" i="335" s="1"/>
  <c r="AV23" i="335"/>
  <c r="BC26" i="335"/>
  <c r="BE26" i="335" s="1"/>
  <c r="AV29" i="335"/>
  <c r="BC32" i="335"/>
  <c r="BE32" i="335" s="1"/>
  <c r="AV38" i="335"/>
  <c r="BC34" i="335"/>
  <c r="BE34" i="335" s="1"/>
  <c r="AV40" i="335"/>
  <c r="BC41" i="335"/>
  <c r="BE41" i="335" s="1"/>
  <c r="AV42" i="335"/>
  <c r="BC47" i="335"/>
  <c r="BE47" i="335" s="1"/>
  <c r="AV49" i="335"/>
  <c r="BC48" i="335"/>
  <c r="BE48" i="335" s="1"/>
  <c r="AV56" i="335"/>
  <c r="BC55" i="335"/>
  <c r="BE55" i="335" s="1"/>
  <c r="AV68" i="335"/>
  <c r="BC67" i="335"/>
  <c r="BE67" i="335" s="1"/>
  <c r="AW70" i="335"/>
  <c r="BC70" i="335"/>
  <c r="BE70" i="335" s="1"/>
  <c r="BB98" i="335"/>
  <c r="AW99" i="335"/>
  <c r="BD99" i="335"/>
  <c r="AV115" i="335"/>
  <c r="BB115" i="335"/>
  <c r="BD135" i="335"/>
  <c r="AW148" i="335"/>
  <c r="BC148" i="335"/>
  <c r="BE148" i="335" s="1"/>
  <c r="BB153" i="335"/>
  <c r="AW169" i="335"/>
  <c r="BD169" i="335"/>
  <c r="AV151" i="335"/>
  <c r="BB151" i="335"/>
  <c r="BD160" i="335"/>
  <c r="AW86" i="335"/>
  <c r="BC86" i="335"/>
  <c r="BE86" i="335" s="1"/>
  <c r="BB93" i="335"/>
  <c r="AW31" i="335"/>
  <c r="BB37" i="335"/>
  <c r="BD72" i="335"/>
  <c r="AW14" i="335"/>
  <c r="BB161" i="335"/>
  <c r="BC167" i="335"/>
  <c r="BE167" i="335" s="1"/>
  <c r="AV16" i="335"/>
  <c r="BD59" i="335"/>
  <c r="AV170" i="335"/>
  <c r="BD46" i="335"/>
  <c r="BD27" i="335"/>
  <c r="AW105" i="335"/>
  <c r="BD60" i="335"/>
  <c r="AW144" i="335"/>
  <c r="BC132" i="335"/>
  <c r="BE132" i="335" s="1"/>
  <c r="BB61" i="335"/>
  <c r="BB157" i="335"/>
  <c r="AW157" i="335"/>
  <c r="AV157" i="335"/>
  <c r="BC156" i="335"/>
  <c r="BE156" i="335" s="1"/>
  <c r="AV155" i="335"/>
  <c r="BC146" i="335"/>
  <c r="BE146" i="335" s="1"/>
  <c r="AV143" i="335"/>
  <c r="BC136" i="335"/>
  <c r="BE136" i="335" s="1"/>
  <c r="AV134" i="335"/>
  <c r="BC128" i="335"/>
  <c r="BE128" i="335" s="1"/>
  <c r="AV125" i="335"/>
  <c r="BC118" i="335"/>
  <c r="BE118" i="335" s="1"/>
  <c r="AV117" i="335"/>
  <c r="BC110" i="335"/>
  <c r="BE110" i="335" s="1"/>
  <c r="AV120" i="335"/>
  <c r="BC104" i="335"/>
  <c r="BE104" i="335" s="1"/>
  <c r="AV112" i="335"/>
  <c r="BC90" i="335"/>
  <c r="BE90" i="335" s="1"/>
  <c r="AV85" i="335"/>
  <c r="BC87" i="335"/>
  <c r="BE87" i="335" s="1"/>
  <c r="AV75" i="335"/>
  <c r="BC74" i="335"/>
  <c r="BE74" i="335" s="1"/>
  <c r="AV61" i="335"/>
  <c r="BC66" i="335"/>
  <c r="BE66" i="335" s="1"/>
  <c r="AV45" i="335"/>
  <c r="BC35" i="335"/>
  <c r="BE35" i="335" s="1"/>
  <c r="BD157" i="335"/>
  <c r="BB156" i="335"/>
  <c r="AW156" i="335"/>
  <c r="BD155" i="335"/>
  <c r="BB146" i="335"/>
  <c r="AW146" i="335"/>
  <c r="BD143" i="335"/>
  <c r="BB136" i="335"/>
  <c r="AW136" i="335"/>
  <c r="BD134" i="335"/>
  <c r="BB128" i="335"/>
  <c r="AW128" i="335"/>
  <c r="BD125" i="335"/>
  <c r="BB118" i="335"/>
  <c r="AW118" i="335"/>
  <c r="BD117" i="335"/>
  <c r="BB110" i="335"/>
  <c r="AW110" i="335"/>
  <c r="BD120" i="335"/>
  <c r="BB104" i="335"/>
  <c r="AW104" i="335"/>
  <c r="BD112" i="335"/>
  <c r="BB90" i="335"/>
  <c r="AW90" i="335"/>
  <c r="BD85" i="335"/>
  <c r="BB87" i="335"/>
  <c r="AW87" i="335"/>
  <c r="BD75" i="335"/>
  <c r="BB74" i="335"/>
  <c r="AW74" i="335"/>
  <c r="BC157" i="335"/>
  <c r="BE157" i="335" s="1"/>
  <c r="AV156" i="335"/>
  <c r="BC155" i="335"/>
  <c r="BE155" i="335" s="1"/>
  <c r="AW143" i="335"/>
  <c r="BD128" i="335"/>
  <c r="BB125" i="335"/>
  <c r="AV118" i="335"/>
  <c r="BC117" i="335"/>
  <c r="BE117" i="335" s="1"/>
  <c r="AW120" i="335"/>
  <c r="BD90" i="335"/>
  <c r="BB85" i="335"/>
  <c r="AV87" i="335"/>
  <c r="BC75" i="335"/>
  <c r="BE75" i="335" s="1"/>
  <c r="BD66" i="335"/>
  <c r="AW66" i="335"/>
  <c r="BB45" i="335"/>
  <c r="BC12" i="335"/>
  <c r="BE12" i="335" s="1"/>
  <c r="AV141" i="335"/>
  <c r="BC130" i="335"/>
  <c r="BE130" i="335" s="1"/>
  <c r="BD146" i="335"/>
  <c r="BB143" i="335"/>
  <c r="AV136" i="335"/>
  <c r="BC134" i="335"/>
  <c r="BE134" i="335" s="1"/>
  <c r="AW125" i="335"/>
  <c r="BD110" i="335"/>
  <c r="BB120" i="335"/>
  <c r="AV104" i="335"/>
  <c r="BC112" i="335"/>
  <c r="BE112" i="335" s="1"/>
  <c r="AW85" i="335"/>
  <c r="BD74" i="335"/>
  <c r="BC61" i="335"/>
  <c r="BE61" i="335" s="1"/>
  <c r="AW61" i="335"/>
  <c r="BD45" i="335"/>
  <c r="BB35" i="335"/>
  <c r="AV35" i="335"/>
  <c r="AV12" i="335"/>
  <c r="BC141" i="335"/>
  <c r="BE141" i="335" s="1"/>
  <c r="AV130" i="335"/>
  <c r="BC137" i="335"/>
  <c r="BE137" i="335" s="1"/>
  <c r="AV133" i="335"/>
  <c r="BC126" i="335"/>
  <c r="BE126" i="335" s="1"/>
  <c r="AV129" i="335"/>
  <c r="BC131" i="335"/>
  <c r="BE131" i="335" s="1"/>
  <c r="AV132" i="335"/>
  <c r="BC121" i="335"/>
  <c r="BE121" i="335" s="1"/>
  <c r="BD156" i="335"/>
  <c r="BB155" i="335"/>
  <c r="BC143" i="335"/>
  <c r="BE143" i="335" s="1"/>
  <c r="BD118" i="335"/>
  <c r="BB117" i="335"/>
  <c r="BC120" i="335"/>
  <c r="BE120" i="335" s="1"/>
  <c r="BD87" i="335"/>
  <c r="BB75" i="335"/>
  <c r="BD61" i="335"/>
  <c r="AV66" i="335"/>
  <c r="AU66" i="335" s="1"/>
  <c r="AW35" i="335"/>
  <c r="AW141" i="335"/>
  <c r="BD130" i="335"/>
  <c r="BD137" i="335"/>
  <c r="AW137" i="335"/>
  <c r="BB133" i="335"/>
  <c r="BC129" i="335"/>
  <c r="BE129" i="335" s="1"/>
  <c r="AW129" i="335"/>
  <c r="BD132" i="335"/>
  <c r="BB121" i="335"/>
  <c r="AV121" i="335"/>
  <c r="AV124" i="335"/>
  <c r="BC122" i="335"/>
  <c r="BE122" i="335" s="1"/>
  <c r="AV113" i="335"/>
  <c r="BC109" i="335"/>
  <c r="BE109" i="335" s="1"/>
  <c r="AV107" i="335"/>
  <c r="BC103" i="335"/>
  <c r="BE103" i="335" s="1"/>
  <c r="AV94" i="335"/>
  <c r="BC91" i="335"/>
  <c r="BE91" i="335" s="1"/>
  <c r="BD136" i="335"/>
  <c r="BB134" i="335"/>
  <c r="BC125" i="335"/>
  <c r="BE125" i="335" s="1"/>
  <c r="BD104" i="335"/>
  <c r="BB112" i="335"/>
  <c r="BC85" i="335"/>
  <c r="BE85" i="335" s="1"/>
  <c r="BB66" i="335"/>
  <c r="BD35" i="335"/>
  <c r="BD12" i="335"/>
  <c r="BB141" i="335"/>
  <c r="BD133" i="335"/>
  <c r="BB126" i="335"/>
  <c r="AV126" i="335"/>
  <c r="BD131" i="335"/>
  <c r="AW131" i="335"/>
  <c r="BB132" i="335"/>
  <c r="BC124" i="335"/>
  <c r="BE124" i="335" s="1"/>
  <c r="AV122" i="335"/>
  <c r="BC113" i="335"/>
  <c r="BE113" i="335" s="1"/>
  <c r="AV109" i="335"/>
  <c r="BC107" i="335"/>
  <c r="BE107" i="335" s="1"/>
  <c r="AV103" i="335"/>
  <c r="BC94" i="335"/>
  <c r="BE94" i="335" s="1"/>
  <c r="AV91" i="335"/>
  <c r="BC97" i="335"/>
  <c r="BE97" i="335" s="1"/>
  <c r="AV89" i="335"/>
  <c r="BC96" i="335"/>
  <c r="BE96" i="335" s="1"/>
  <c r="AV92" i="335"/>
  <c r="BC84" i="335"/>
  <c r="BE84" i="335" s="1"/>
  <c r="AV78" i="335"/>
  <c r="BC83" i="335"/>
  <c r="BE83" i="335" s="1"/>
  <c r="BB77" i="335"/>
  <c r="AW77" i="335"/>
  <c r="BD64" i="335"/>
  <c r="BB79" i="335"/>
  <c r="AW79" i="335"/>
  <c r="BD141" i="335"/>
  <c r="AW130" i="335"/>
  <c r="BC133" i="335"/>
  <c r="BE133" i="335" s="1"/>
  <c r="BB129" i="335"/>
  <c r="AW132" i="335"/>
  <c r="AW124" i="335"/>
  <c r="BD122" i="335"/>
  <c r="BB113" i="335"/>
  <c r="AW107" i="335"/>
  <c r="BD103" i="335"/>
  <c r="BB94" i="335"/>
  <c r="BC89" i="335"/>
  <c r="BE89" i="335" s="1"/>
  <c r="AW89" i="335"/>
  <c r="BD92" i="335"/>
  <c r="BB84" i="335"/>
  <c r="AV84" i="335"/>
  <c r="BD83" i="335"/>
  <c r="AW83" i="335"/>
  <c r="BB80" i="335"/>
  <c r="BC77" i="335"/>
  <c r="BE77" i="335" s="1"/>
  <c r="AV77" i="335"/>
  <c r="BD65" i="335"/>
  <c r="BB69" i="335"/>
  <c r="AW69" i="335"/>
  <c r="BD62" i="335"/>
  <c r="BB114" i="335"/>
  <c r="AW114" i="335"/>
  <c r="BD139" i="335"/>
  <c r="BB111" i="335"/>
  <c r="AW111" i="335"/>
  <c r="BD144" i="335"/>
  <c r="BB60" i="335"/>
  <c r="AW60" i="335"/>
  <c r="BD142" i="335"/>
  <c r="BB52" i="335"/>
  <c r="AW52" i="335"/>
  <c r="BD17" i="335"/>
  <c r="BB147" i="335"/>
  <c r="AW147" i="335"/>
  <c r="BD39" i="335"/>
  <c r="BB163" i="335"/>
  <c r="AW163" i="335"/>
  <c r="BD105" i="335"/>
  <c r="BB27" i="335"/>
  <c r="AW27" i="335"/>
  <c r="BD53" i="335"/>
  <c r="BB9" i="335"/>
  <c r="AW9" i="335"/>
  <c r="BD123" i="335"/>
  <c r="BB162" i="335"/>
  <c r="AW162" i="335"/>
  <c r="BD25" i="335"/>
  <c r="AW155" i="335"/>
  <c r="AV146" i="335"/>
  <c r="AW117" i="335"/>
  <c r="AV110" i="335"/>
  <c r="AW75" i="335"/>
  <c r="AV74" i="335"/>
  <c r="BB12" i="335"/>
  <c r="AV137" i="335"/>
  <c r="AW126" i="335"/>
  <c r="BB131" i="335"/>
  <c r="BD121" i="335"/>
  <c r="BD124" i="335"/>
  <c r="BB122" i="335"/>
  <c r="AW109" i="335"/>
  <c r="BD107" i="335"/>
  <c r="BB103" i="335"/>
  <c r="AW91" i="335"/>
  <c r="BD97" i="335"/>
  <c r="AW97" i="335"/>
  <c r="BB89" i="335"/>
  <c r="BC92" i="335"/>
  <c r="BE92" i="335" s="1"/>
  <c r="AW92" i="335"/>
  <c r="BD78" i="335"/>
  <c r="BB83" i="335"/>
  <c r="AV83" i="335"/>
  <c r="BC64" i="335"/>
  <c r="BE64" i="335" s="1"/>
  <c r="AW64" i="335"/>
  <c r="BC65" i="335"/>
  <c r="BE65" i="335" s="1"/>
  <c r="AV69" i="335"/>
  <c r="BC62" i="335"/>
  <c r="BE62" i="335" s="1"/>
  <c r="AV114" i="335"/>
  <c r="BC139" i="335"/>
  <c r="BE139" i="335" s="1"/>
  <c r="AV111" i="335"/>
  <c r="BC144" i="335"/>
  <c r="BE144" i="335" s="1"/>
  <c r="AV60" i="335"/>
  <c r="BC142" i="335"/>
  <c r="BE142" i="335" s="1"/>
  <c r="AV52" i="335"/>
  <c r="BC17" i="335"/>
  <c r="BE17" i="335" s="1"/>
  <c r="AV147" i="335"/>
  <c r="BC39" i="335"/>
  <c r="BE39" i="335" s="1"/>
  <c r="AV163" i="335"/>
  <c r="BC105" i="335"/>
  <c r="BE105" i="335" s="1"/>
  <c r="AV27" i="335"/>
  <c r="BC53" i="335"/>
  <c r="BE53" i="335" s="1"/>
  <c r="AV9" i="335"/>
  <c r="BC123" i="335"/>
  <c r="BE123" i="335" s="1"/>
  <c r="AV162" i="335"/>
  <c r="BC25" i="335"/>
  <c r="BE25" i="335" s="1"/>
  <c r="AV50" i="335"/>
  <c r="BC88" i="335"/>
  <c r="BE88" i="335" s="1"/>
  <c r="AV46" i="335"/>
  <c r="BC44" i="335"/>
  <c r="BE44" i="335" s="1"/>
  <c r="AV116" i="335"/>
  <c r="BC45" i="335"/>
  <c r="BE45" i="335" s="1"/>
  <c r="BD126" i="335"/>
  <c r="BD109" i="335"/>
  <c r="BD91" i="335"/>
  <c r="BD89" i="335"/>
  <c r="BD96" i="335"/>
  <c r="AW84" i="335"/>
  <c r="AW78" i="335"/>
  <c r="AW80" i="335"/>
  <c r="BD79" i="335"/>
  <c r="AV65" i="335"/>
  <c r="AV62" i="335"/>
  <c r="AV139" i="335"/>
  <c r="AV144" i="335"/>
  <c r="AV142" i="335"/>
  <c r="AV17" i="335"/>
  <c r="AV39" i="335"/>
  <c r="AV105" i="335"/>
  <c r="AV53" i="335"/>
  <c r="AV123" i="335"/>
  <c r="AV25" i="335"/>
  <c r="BB50" i="335"/>
  <c r="BC46" i="335"/>
  <c r="BE46" i="335" s="1"/>
  <c r="AW46" i="335"/>
  <c r="BD116" i="335"/>
  <c r="BD171" i="335"/>
  <c r="BB43" i="335"/>
  <c r="AW43" i="335"/>
  <c r="BD170" i="335"/>
  <c r="BB59" i="335"/>
  <c r="AW59" i="335"/>
  <c r="BD174" i="335"/>
  <c r="BB173" i="335"/>
  <c r="AW173" i="335"/>
  <c r="BD13" i="335"/>
  <c r="BB36" i="335"/>
  <c r="AW36" i="335"/>
  <c r="BD11" i="335"/>
  <c r="BB165" i="335"/>
  <c r="AW165" i="335"/>
  <c r="BD16" i="335"/>
  <c r="AW134" i="335"/>
  <c r="AV128" i="335"/>
  <c r="AU128" i="335" s="1"/>
  <c r="AW45" i="335"/>
  <c r="AW12" i="335"/>
  <c r="BB137" i="335"/>
  <c r="AV131" i="335"/>
  <c r="BD113" i="335"/>
  <c r="BB109" i="335"/>
  <c r="BD94" i="335"/>
  <c r="BB91" i="335"/>
  <c r="AV97" i="335"/>
  <c r="BB96" i="335"/>
  <c r="AV80" i="335"/>
  <c r="BD77" i="335"/>
  <c r="BB64" i="335"/>
  <c r="BC79" i="335"/>
  <c r="BE79" i="335" s="1"/>
  <c r="BB65" i="335"/>
  <c r="BB62" i="335"/>
  <c r="BB139" i="335"/>
  <c r="BB144" i="335"/>
  <c r="BB142" i="335"/>
  <c r="BB17" i="335"/>
  <c r="BB39" i="335"/>
  <c r="BB105" i="335"/>
  <c r="BB53" i="335"/>
  <c r="BB123" i="335"/>
  <c r="BB25" i="335"/>
  <c r="BD88" i="335"/>
  <c r="AW88" i="335"/>
  <c r="BB46" i="335"/>
  <c r="BC116" i="335"/>
  <c r="BE116" i="335" s="1"/>
  <c r="AW116" i="335"/>
  <c r="BC171" i="335"/>
  <c r="BE171" i="335" s="1"/>
  <c r="AV43" i="335"/>
  <c r="BC170" i="335"/>
  <c r="BE170" i="335" s="1"/>
  <c r="AV59" i="335"/>
  <c r="BC174" i="335"/>
  <c r="BE174" i="335" s="1"/>
  <c r="AV173" i="335"/>
  <c r="BC13" i="335"/>
  <c r="BE13" i="335" s="1"/>
  <c r="AV36" i="335"/>
  <c r="BC11" i="335"/>
  <c r="BE11" i="335" s="1"/>
  <c r="AV165" i="335"/>
  <c r="BC16" i="335"/>
  <c r="BE16" i="335" s="1"/>
  <c r="AV33" i="335"/>
  <c r="BC168" i="335"/>
  <c r="BE168" i="335" s="1"/>
  <c r="AV167" i="335"/>
  <c r="BC22" i="335"/>
  <c r="BE22" i="335" s="1"/>
  <c r="AW112" i="335"/>
  <c r="AW121" i="335"/>
  <c r="BB124" i="335"/>
  <c r="AW103" i="335"/>
  <c r="AW94" i="335"/>
  <c r="BC78" i="335"/>
  <c r="BE78" i="335" s="1"/>
  <c r="BC80" i="335"/>
  <c r="BE80" i="335" s="1"/>
  <c r="BC69" i="335"/>
  <c r="BE69" i="335" s="1"/>
  <c r="BC114" i="335"/>
  <c r="BE114" i="335" s="1"/>
  <c r="BC111" i="335"/>
  <c r="BE111" i="335" s="1"/>
  <c r="BC60" i="335"/>
  <c r="BE60" i="335" s="1"/>
  <c r="BC52" i="335"/>
  <c r="BE52" i="335" s="1"/>
  <c r="BC147" i="335"/>
  <c r="BE147" i="335" s="1"/>
  <c r="BC163" i="335"/>
  <c r="BE163" i="335" s="1"/>
  <c r="BC27" i="335"/>
  <c r="BE27" i="335" s="1"/>
  <c r="BC9" i="335"/>
  <c r="BE9" i="335" s="1"/>
  <c r="BC162" i="335"/>
  <c r="BE162" i="335" s="1"/>
  <c r="BC50" i="335"/>
  <c r="BE50" i="335" s="1"/>
  <c r="BB88" i="335"/>
  <c r="AV44" i="335"/>
  <c r="BB171" i="335"/>
  <c r="BB170" i="335"/>
  <c r="BB174" i="335"/>
  <c r="BB13" i="335"/>
  <c r="BB11" i="335"/>
  <c r="BB16" i="335"/>
  <c r="BC33" i="335"/>
  <c r="BE33" i="335" s="1"/>
  <c r="AW33" i="335"/>
  <c r="BD167" i="335"/>
  <c r="BB22" i="335"/>
  <c r="AV22" i="335"/>
  <c r="AV161" i="335"/>
  <c r="BC166" i="335"/>
  <c r="BE166" i="335" s="1"/>
  <c r="AV14" i="335"/>
  <c r="BC72" i="335"/>
  <c r="BE72" i="335" s="1"/>
  <c r="AV37" i="335"/>
  <c r="BC54" i="335"/>
  <c r="BE54" i="335" s="1"/>
  <c r="BB130" i="335"/>
  <c r="BD129" i="335"/>
  <c r="BB97" i="335"/>
  <c r="AV96" i="335"/>
  <c r="BB92" i="335"/>
  <c r="AV79" i="335"/>
  <c r="AW50" i="335"/>
  <c r="AV88" i="335"/>
  <c r="BB44" i="335"/>
  <c r="AW171" i="335"/>
  <c r="BC43" i="335"/>
  <c r="BE43" i="335" s="1"/>
  <c r="AW170" i="335"/>
  <c r="BC59" i="335"/>
  <c r="BE59" i="335" s="1"/>
  <c r="AW174" i="335"/>
  <c r="BC173" i="335"/>
  <c r="BE173" i="335" s="1"/>
  <c r="AW13" i="335"/>
  <c r="BC36" i="335"/>
  <c r="BE36" i="335" s="1"/>
  <c r="AW11" i="335"/>
  <c r="BC165" i="335"/>
  <c r="BE165" i="335" s="1"/>
  <c r="AW16" i="335"/>
  <c r="BD168" i="335"/>
  <c r="AW168" i="335"/>
  <c r="BB167" i="335"/>
  <c r="BC161" i="335"/>
  <c r="BE161" i="335" s="1"/>
  <c r="AV166" i="335"/>
  <c r="BC14" i="335"/>
  <c r="BE14" i="335" s="1"/>
  <c r="AV72" i="335"/>
  <c r="BC37" i="335"/>
  <c r="BE37" i="335" s="1"/>
  <c r="AV54" i="335"/>
  <c r="BC31" i="335"/>
  <c r="BE31" i="335" s="1"/>
  <c r="AV93" i="335"/>
  <c r="BC172" i="335"/>
  <c r="BE172" i="335" s="1"/>
  <c r="AV86" i="335"/>
  <c r="BC164" i="335"/>
  <c r="BE164" i="335" s="1"/>
  <c r="AV160" i="335"/>
  <c r="BC151" i="335"/>
  <c r="BE151" i="335" s="1"/>
  <c r="AV158" i="335"/>
  <c r="BC169" i="335"/>
  <c r="BE169" i="335" s="1"/>
  <c r="AV153" i="335"/>
  <c r="BC149" i="335"/>
  <c r="BE149" i="335" s="1"/>
  <c r="AV148" i="335"/>
  <c r="BC140" i="335"/>
  <c r="BE140" i="335" s="1"/>
  <c r="AV135" i="335"/>
  <c r="BC115" i="335"/>
  <c r="BE115" i="335" s="1"/>
  <c r="AV106" i="335"/>
  <c r="BC99" i="335"/>
  <c r="BE99" i="335" s="1"/>
  <c r="AV98" i="335"/>
  <c r="BC102" i="335"/>
  <c r="BE102" i="335" s="1"/>
  <c r="AV70" i="335"/>
  <c r="AV19" i="335"/>
  <c r="BC28" i="335"/>
  <c r="BE28" i="335" s="1"/>
  <c r="AV30" i="335"/>
  <c r="BC51" i="335"/>
  <c r="BE51" i="335" s="1"/>
  <c r="AV57" i="335"/>
  <c r="BC58" i="335"/>
  <c r="BE58" i="335" s="1"/>
  <c r="AV71" i="335"/>
  <c r="BC73" i="335"/>
  <c r="BE73" i="335" s="1"/>
  <c r="AV63" i="335"/>
  <c r="BC76" i="335"/>
  <c r="BE76" i="335" s="1"/>
  <c r="AV81" i="335"/>
  <c r="BC95" i="335"/>
  <c r="BE95" i="335" s="1"/>
  <c r="AV100" i="335"/>
  <c r="BC82" i="335"/>
  <c r="BE82" i="335" s="1"/>
  <c r="AV101" i="335"/>
  <c r="BC108" i="335"/>
  <c r="BE108" i="335" s="1"/>
  <c r="AV119" i="335"/>
  <c r="BC127" i="335"/>
  <c r="BE127" i="335" s="1"/>
  <c r="AV138" i="335"/>
  <c r="BC145" i="335"/>
  <c r="BE145" i="335" s="1"/>
  <c r="AV152" i="335"/>
  <c r="BC150" i="335"/>
  <c r="BE150" i="335" s="1"/>
  <c r="AV154" i="335"/>
  <c r="BC159" i="335"/>
  <c r="BE159" i="335" s="1"/>
  <c r="AV175" i="335"/>
  <c r="BC176" i="335"/>
  <c r="BE176" i="335" s="1"/>
  <c r="AV177" i="335"/>
  <c r="BC178" i="335"/>
  <c r="BE178" i="335" s="1"/>
  <c r="AV179" i="335"/>
  <c r="BC180" i="335"/>
  <c r="BE180" i="335" s="1"/>
  <c r="AV181" i="335"/>
  <c r="BC182" i="335"/>
  <c r="BE182" i="335" s="1"/>
  <c r="BC7" i="335"/>
  <c r="BE7" i="335" s="1"/>
  <c r="AV8" i="335"/>
  <c r="BC10" i="335"/>
  <c r="BE10" i="335" s="1"/>
  <c r="AV15" i="335"/>
  <c r="BC18" i="335"/>
  <c r="BE18" i="335" s="1"/>
  <c r="AV20" i="335"/>
  <c r="BC21" i="335"/>
  <c r="BE21" i="335" s="1"/>
  <c r="AV24" i="335"/>
  <c r="BC23" i="335"/>
  <c r="BE23" i="335" s="1"/>
  <c r="AV26" i="335"/>
  <c r="BC29" i="335"/>
  <c r="BE29" i="335" s="1"/>
  <c r="AV32" i="335"/>
  <c r="BC38" i="335"/>
  <c r="BE38" i="335" s="1"/>
  <c r="AV34" i="335"/>
  <c r="BC40" i="335"/>
  <c r="BE40" i="335" s="1"/>
  <c r="AV41" i="335"/>
  <c r="BC42" i="335"/>
  <c r="BE42" i="335" s="1"/>
  <c r="AV47" i="335"/>
  <c r="BC49" i="335"/>
  <c r="BE49" i="335" s="1"/>
  <c r="AV48" i="335"/>
  <c r="BC56" i="335"/>
  <c r="BE56" i="335" s="1"/>
  <c r="AV55" i="335"/>
  <c r="BC68" i="335"/>
  <c r="BE68" i="335" s="1"/>
  <c r="AV67" i="335"/>
  <c r="AU67" i="335" s="1"/>
  <c r="AV102" i="335"/>
  <c r="BB102" i="335"/>
  <c r="BD98" i="335"/>
  <c r="AW106" i="335"/>
  <c r="BC106" i="335"/>
  <c r="BE106" i="335" s="1"/>
  <c r="BB135" i="335"/>
  <c r="AW140" i="335"/>
  <c r="BD140" i="335"/>
  <c r="AV149" i="335"/>
  <c r="BB149" i="335"/>
  <c r="BD153" i="335"/>
  <c r="AW158" i="335"/>
  <c r="BC158" i="335"/>
  <c r="BE158" i="335" s="1"/>
  <c r="BB160" i="335"/>
  <c r="AW164" i="335"/>
  <c r="BD164" i="335"/>
  <c r="AV172" i="335"/>
  <c r="BB172" i="335"/>
  <c r="BD93" i="335"/>
  <c r="BB31" i="335"/>
  <c r="BD54" i="335"/>
  <c r="AW37" i="335"/>
  <c r="BB14" i="335"/>
  <c r="BD166" i="335"/>
  <c r="AW161" i="335"/>
  <c r="AW167" i="335"/>
  <c r="BB33" i="335"/>
  <c r="BD36" i="335"/>
  <c r="AV13" i="335"/>
  <c r="AW44" i="335"/>
  <c r="BD162" i="335"/>
  <c r="AW123" i="335"/>
  <c r="BD147" i="335"/>
  <c r="AW17" i="335"/>
  <c r="BD114" i="335"/>
  <c r="AW62" i="335"/>
  <c r="AV64" i="335"/>
  <c r="BB78" i="335"/>
  <c r="BD84" i="335"/>
  <c r="AW96" i="335"/>
  <c r="BB107" i="335"/>
  <c r="AW113" i="335"/>
  <c r="AW122" i="335"/>
  <c r="AT128" i="335" l="1"/>
  <c r="AT67" i="335"/>
  <c r="AT66" i="335"/>
  <c r="AU80" i="335"/>
  <c r="AU165" i="335"/>
  <c r="AU43" i="335"/>
  <c r="AU137" i="335"/>
  <c r="AU110" i="335"/>
  <c r="AU173" i="335"/>
  <c r="AU88" i="335"/>
  <c r="AU9" i="335"/>
  <c r="AU163" i="335"/>
  <c r="AU52" i="335"/>
  <c r="AU111" i="335"/>
  <c r="AU69" i="335"/>
  <c r="AU118" i="335"/>
  <c r="AU56" i="335"/>
  <c r="AU82" i="335"/>
  <c r="AU8" i="335"/>
  <c r="AU100" i="335"/>
  <c r="AU57" i="335"/>
  <c r="AU148" i="335"/>
  <c r="AU7" i="335"/>
  <c r="AT7" i="335" s="1"/>
  <c r="AU180" i="335"/>
  <c r="AU150" i="335"/>
  <c r="AU58" i="335"/>
  <c r="AU28" i="335"/>
  <c r="BI51" i="335"/>
  <c r="AS51" i="335" s="1"/>
  <c r="AU93" i="335"/>
  <c r="BI19" i="335"/>
  <c r="AS19" i="335" s="1"/>
  <c r="AU64" i="335"/>
  <c r="AU127" i="335"/>
  <c r="AU76" i="335"/>
  <c r="AU151" i="335"/>
  <c r="AU38" i="335"/>
  <c r="AU176" i="335"/>
  <c r="BI28" i="335"/>
  <c r="AS28" i="335" s="1"/>
  <c r="AU172" i="335"/>
  <c r="AU102" i="335"/>
  <c r="AU55" i="335"/>
  <c r="AU20" i="335"/>
  <c r="AU81" i="335"/>
  <c r="AU97" i="335"/>
  <c r="AU25" i="335"/>
  <c r="AU162" i="335"/>
  <c r="AU27" i="335"/>
  <c r="AU147" i="335"/>
  <c r="AU60" i="335"/>
  <c r="AU114" i="335"/>
  <c r="AU90" i="335"/>
  <c r="AU54" i="335"/>
  <c r="AU131" i="335"/>
  <c r="AU153" i="335"/>
  <c r="AU72" i="335"/>
  <c r="AU68" i="335"/>
  <c r="AU21" i="335"/>
  <c r="AU10" i="335"/>
  <c r="AU182" i="335"/>
  <c r="AU178" i="335"/>
  <c r="AU145" i="335"/>
  <c r="AU15" i="335"/>
  <c r="AU179" i="335"/>
  <c r="AU175" i="335"/>
  <c r="AU119" i="335"/>
  <c r="AU63" i="335"/>
  <c r="AU19" i="335"/>
  <c r="BI30" i="335"/>
  <c r="AU34" i="335"/>
  <c r="AU26" i="335"/>
  <c r="AU181" i="335"/>
  <c r="AU154" i="335"/>
  <c r="AU138" i="335"/>
  <c r="AU101" i="335"/>
  <c r="AU39" i="335"/>
  <c r="AU46" i="335"/>
  <c r="AX15" i="335"/>
  <c r="AU47" i="335"/>
  <c r="AU177" i="335"/>
  <c r="AU96" i="335"/>
  <c r="AU84" i="335"/>
  <c r="BI100" i="335"/>
  <c r="AS100" i="335" s="1"/>
  <c r="AX98" i="335"/>
  <c r="AU98" i="335"/>
  <c r="AU135" i="335"/>
  <c r="AU160" i="335"/>
  <c r="AU14" i="335"/>
  <c r="AU22" i="335"/>
  <c r="AU44" i="335"/>
  <c r="AU36" i="335"/>
  <c r="AU59" i="335"/>
  <c r="AU123" i="335"/>
  <c r="AU92" i="335"/>
  <c r="AU126" i="335"/>
  <c r="AU113" i="335"/>
  <c r="AU132" i="335"/>
  <c r="AU133" i="335"/>
  <c r="AU45" i="335"/>
  <c r="AU75" i="335"/>
  <c r="AU155" i="335"/>
  <c r="AU115" i="335"/>
  <c r="AU49" i="335"/>
  <c r="AU40" i="335"/>
  <c r="AU29" i="335"/>
  <c r="AU159" i="335"/>
  <c r="AU108" i="335"/>
  <c r="AU95" i="335"/>
  <c r="AU73" i="335"/>
  <c r="AU51" i="335"/>
  <c r="AU164" i="335"/>
  <c r="BI175" i="335"/>
  <c r="AS175" i="335" s="1"/>
  <c r="AU71" i="335"/>
  <c r="AU30" i="335"/>
  <c r="AU139" i="335"/>
  <c r="AU13" i="335"/>
  <c r="AU48" i="335"/>
  <c r="AU6" i="335"/>
  <c r="AU152" i="335"/>
  <c r="AU79" i="335"/>
  <c r="AU65" i="335"/>
  <c r="AU77" i="335"/>
  <c r="AU31" i="335"/>
  <c r="BI89" i="335"/>
  <c r="AS89" i="335" s="1"/>
  <c r="AX89" i="335"/>
  <c r="BI168" i="335"/>
  <c r="AS168" i="335" s="1"/>
  <c r="AX168" i="335"/>
  <c r="BI44" i="335"/>
  <c r="AX44" i="335"/>
  <c r="AX64" i="335"/>
  <c r="BI64" i="335"/>
  <c r="AS64" i="335" s="1"/>
  <c r="BI162" i="335"/>
  <c r="AX162" i="335"/>
  <c r="BI27" i="335"/>
  <c r="AX27" i="335"/>
  <c r="BI147" i="335"/>
  <c r="AX147" i="335"/>
  <c r="BI60" i="335"/>
  <c r="AS60" i="335" s="1"/>
  <c r="AX60" i="335"/>
  <c r="BI69" i="335"/>
  <c r="AS69" i="335" s="1"/>
  <c r="AX69" i="335"/>
  <c r="BI137" i="335"/>
  <c r="AX137" i="335"/>
  <c r="BI131" i="335"/>
  <c r="AS131" i="335" s="1"/>
  <c r="AX131" i="335"/>
  <c r="AX61" i="335"/>
  <c r="BI61" i="335"/>
  <c r="BI143" i="335"/>
  <c r="AS143" i="335" s="1"/>
  <c r="AX143" i="335"/>
  <c r="BI140" i="335"/>
  <c r="AS140" i="335" s="1"/>
  <c r="AX140" i="335"/>
  <c r="BI106" i="335"/>
  <c r="AS106" i="335" s="1"/>
  <c r="AX106" i="335"/>
  <c r="AX115" i="335"/>
  <c r="AX152" i="335"/>
  <c r="BI20" i="335"/>
  <c r="AX20" i="335"/>
  <c r="BI166" i="335"/>
  <c r="AS166" i="335" s="1"/>
  <c r="AX166" i="335"/>
  <c r="AX160" i="335"/>
  <c r="AX135" i="335"/>
  <c r="AX76" i="335"/>
  <c r="BI149" i="335"/>
  <c r="AX149" i="335"/>
  <c r="BI95" i="335"/>
  <c r="BI25" i="335"/>
  <c r="AX25" i="335"/>
  <c r="AX86" i="335"/>
  <c r="BI86" i="335"/>
  <c r="AX70" i="335"/>
  <c r="BI70" i="335"/>
  <c r="BI171" i="335"/>
  <c r="AS171" i="335" s="1"/>
  <c r="AX171" i="335"/>
  <c r="BI36" i="335"/>
  <c r="AS36" i="335" s="1"/>
  <c r="AX36" i="335"/>
  <c r="BI43" i="335"/>
  <c r="AS43" i="335" s="1"/>
  <c r="AX43" i="335"/>
  <c r="BI113" i="335"/>
  <c r="AS113" i="335" s="1"/>
  <c r="AX113" i="335"/>
  <c r="BI109" i="335"/>
  <c r="AS109" i="335" s="1"/>
  <c r="AX109" i="335"/>
  <c r="BI117" i="335"/>
  <c r="AS117" i="335" s="1"/>
  <c r="AX117" i="335"/>
  <c r="BI79" i="335"/>
  <c r="AX79" i="335"/>
  <c r="BI77" i="335"/>
  <c r="AX77" i="335"/>
  <c r="AU91" i="335"/>
  <c r="AX125" i="335"/>
  <c r="BI125" i="335"/>
  <c r="AU117" i="335"/>
  <c r="BI130" i="335"/>
  <c r="AS130" i="335" s="1"/>
  <c r="AX130" i="335"/>
  <c r="BI14" i="335"/>
  <c r="AX14" i="335"/>
  <c r="AU42" i="335"/>
  <c r="AU23" i="335"/>
  <c r="BI115" i="335"/>
  <c r="BI6" i="335"/>
  <c r="AS6" i="335" s="1"/>
  <c r="AX6" i="335"/>
  <c r="BI57" i="335"/>
  <c r="AS57" i="335" s="1"/>
  <c r="AX57" i="335"/>
  <c r="BI8" i="335"/>
  <c r="AS8" i="335" s="1"/>
  <c r="AX8" i="335"/>
  <c r="AX153" i="335"/>
  <c r="BI153" i="335"/>
  <c r="AS153" i="335" s="1"/>
  <c r="BI62" i="335"/>
  <c r="AS62" i="335" s="1"/>
  <c r="AX62" i="335"/>
  <c r="BI144" i="335"/>
  <c r="AX144" i="335"/>
  <c r="AX68" i="335"/>
  <c r="AX10" i="335"/>
  <c r="BI72" i="335"/>
  <c r="AS72" i="335" s="1"/>
  <c r="AX72" i="335"/>
  <c r="BI160" i="335"/>
  <c r="AX7" i="335"/>
  <c r="AX82" i="335"/>
  <c r="BI76" i="335"/>
  <c r="AX172" i="335"/>
  <c r="BI55" i="335"/>
  <c r="BI26" i="335"/>
  <c r="AX26" i="335"/>
  <c r="BI181" i="335"/>
  <c r="AS181" i="335" s="1"/>
  <c r="AX181" i="335"/>
  <c r="AX21" i="335"/>
  <c r="AX159" i="335"/>
  <c r="AX51" i="335"/>
  <c r="BI39" i="335"/>
  <c r="AX39" i="335"/>
  <c r="BI37" i="335"/>
  <c r="AS37" i="335" s="1"/>
  <c r="AX37" i="335"/>
  <c r="AU149" i="335"/>
  <c r="AU41" i="335"/>
  <c r="AU32" i="335"/>
  <c r="AU24" i="335"/>
  <c r="BI16" i="335"/>
  <c r="AX16" i="335"/>
  <c r="BI170" i="335"/>
  <c r="AS170" i="335" s="1"/>
  <c r="AX170" i="335"/>
  <c r="AX116" i="335"/>
  <c r="BI116" i="335"/>
  <c r="BI46" i="335"/>
  <c r="AS46" i="335" s="1"/>
  <c r="AX46" i="335"/>
  <c r="AX92" i="335"/>
  <c r="BI92" i="335"/>
  <c r="AS92" i="335" s="1"/>
  <c r="BI122" i="335"/>
  <c r="AX122" i="335"/>
  <c r="AU53" i="335"/>
  <c r="AU142" i="335"/>
  <c r="AU116" i="335"/>
  <c r="AU50" i="335"/>
  <c r="BI80" i="335"/>
  <c r="AX80" i="335"/>
  <c r="BI84" i="335"/>
  <c r="AS84" i="335" s="1"/>
  <c r="AX84" i="335"/>
  <c r="AU74" i="335"/>
  <c r="AU146" i="335"/>
  <c r="BI97" i="335"/>
  <c r="AX97" i="335"/>
  <c r="BI107" i="335"/>
  <c r="AX107" i="335"/>
  <c r="BI121" i="335"/>
  <c r="AX121" i="335"/>
  <c r="BI155" i="335"/>
  <c r="AS155" i="335" s="1"/>
  <c r="AX155" i="335"/>
  <c r="AX12" i="335"/>
  <c r="BI12" i="335"/>
  <c r="BI66" i="335"/>
  <c r="AX66" i="335"/>
  <c r="AU87" i="335"/>
  <c r="BI120" i="335"/>
  <c r="AS120" i="335" s="1"/>
  <c r="AX120" i="335"/>
  <c r="AU156" i="335"/>
  <c r="BI74" i="335"/>
  <c r="AS74" i="335" s="1"/>
  <c r="AX74" i="335"/>
  <c r="BI87" i="335"/>
  <c r="AX87" i="335"/>
  <c r="BI90" i="335"/>
  <c r="AX90" i="335"/>
  <c r="BI104" i="335"/>
  <c r="AX104" i="335"/>
  <c r="BI110" i="335"/>
  <c r="AX110" i="335"/>
  <c r="BI118" i="335"/>
  <c r="AX118" i="335"/>
  <c r="BI128" i="335"/>
  <c r="AX128" i="335"/>
  <c r="BI136" i="335"/>
  <c r="AX136" i="335"/>
  <c r="BI146" i="335"/>
  <c r="AX146" i="335"/>
  <c r="BI156" i="335"/>
  <c r="AX156" i="335"/>
  <c r="BI157" i="335"/>
  <c r="AX157" i="335"/>
  <c r="BI53" i="335"/>
  <c r="AX53" i="335"/>
  <c r="AU170" i="335"/>
  <c r="AU16" i="335"/>
  <c r="BI164" i="335"/>
  <c r="AX164" i="335"/>
  <c r="BI158" i="335"/>
  <c r="AX158" i="335"/>
  <c r="BI67" i="335"/>
  <c r="AS67" i="335" s="1"/>
  <c r="AX67" i="335"/>
  <c r="BI179" i="335"/>
  <c r="BI63" i="335"/>
  <c r="AX63" i="335"/>
  <c r="BI81" i="335"/>
  <c r="AU11" i="335"/>
  <c r="BI88" i="335"/>
  <c r="AX88" i="335"/>
  <c r="BI17" i="335"/>
  <c r="AX17" i="335"/>
  <c r="BI105" i="335"/>
  <c r="AX105" i="335"/>
  <c r="BI68" i="335"/>
  <c r="BI40" i="335"/>
  <c r="BI10" i="335"/>
  <c r="AU99" i="335"/>
  <c r="BI7" i="335"/>
  <c r="AX180" i="335"/>
  <c r="BI150" i="335"/>
  <c r="AS150" i="335" s="1"/>
  <c r="AX150" i="335"/>
  <c r="AX127" i="335"/>
  <c r="BI82" i="335"/>
  <c r="BI172" i="335"/>
  <c r="AX34" i="335"/>
  <c r="BI54" i="335"/>
  <c r="AX54" i="335"/>
  <c r="BI21" i="335"/>
  <c r="BI178" i="335"/>
  <c r="BI159" i="335"/>
  <c r="BI108" i="335"/>
  <c r="BI33" i="335"/>
  <c r="AX33" i="335"/>
  <c r="BI13" i="335"/>
  <c r="AX13" i="335"/>
  <c r="BI133" i="335"/>
  <c r="AX133" i="335"/>
  <c r="AX161" i="335"/>
  <c r="BI161" i="335"/>
  <c r="AS161" i="335" s="1"/>
  <c r="BI50" i="335"/>
  <c r="AS50" i="335" s="1"/>
  <c r="AX50" i="335"/>
  <c r="BI9" i="335"/>
  <c r="AX9" i="335"/>
  <c r="BI163" i="335"/>
  <c r="AS163" i="335" s="1"/>
  <c r="AX163" i="335"/>
  <c r="BI52" i="335"/>
  <c r="AX52" i="335"/>
  <c r="BI111" i="335"/>
  <c r="AX111" i="335"/>
  <c r="BI114" i="335"/>
  <c r="AX114" i="335"/>
  <c r="BI75" i="335"/>
  <c r="AX75" i="335"/>
  <c r="AX129" i="335"/>
  <c r="BI129" i="335"/>
  <c r="AS129" i="335" s="1"/>
  <c r="BI45" i="335"/>
  <c r="AS45" i="335" s="1"/>
  <c r="AX45" i="335"/>
  <c r="AX124" i="335"/>
  <c r="BI124" i="335"/>
  <c r="BI141" i="335"/>
  <c r="AS141" i="335" s="1"/>
  <c r="AX141" i="335"/>
  <c r="BI65" i="335"/>
  <c r="AS65" i="335" s="1"/>
  <c r="AX65" i="335"/>
  <c r="BI41" i="335"/>
  <c r="AX41" i="335"/>
  <c r="AX175" i="335"/>
  <c r="AX119" i="335"/>
  <c r="AX19" i="335"/>
  <c r="BI71" i="335"/>
  <c r="AS71" i="335" s="1"/>
  <c r="AX71" i="335"/>
  <c r="AU171" i="335"/>
  <c r="BI49" i="335"/>
  <c r="BI29" i="335"/>
  <c r="BI56" i="335"/>
  <c r="BI38" i="335"/>
  <c r="BI58" i="335"/>
  <c r="AS58" i="335" s="1"/>
  <c r="AX58" i="335"/>
  <c r="AX28" i="335"/>
  <c r="AX55" i="335"/>
  <c r="BI47" i="335"/>
  <c r="BI154" i="335"/>
  <c r="BI182" i="335"/>
  <c r="BI145" i="335"/>
  <c r="BI73" i="335"/>
  <c r="BI99" i="335"/>
  <c r="AX99" i="335"/>
  <c r="BI11" i="335"/>
  <c r="AX11" i="335"/>
  <c r="AU33" i="335"/>
  <c r="BI83" i="335"/>
  <c r="AS83" i="335" s="1"/>
  <c r="AX83" i="335"/>
  <c r="BI165" i="335"/>
  <c r="AS165" i="335" s="1"/>
  <c r="AX165" i="335"/>
  <c r="BI173" i="335"/>
  <c r="AX173" i="335"/>
  <c r="BI59" i="335"/>
  <c r="AX59" i="335"/>
  <c r="AU17" i="335"/>
  <c r="AU62" i="335"/>
  <c r="BI134" i="335"/>
  <c r="AX134" i="335"/>
  <c r="BI91" i="335"/>
  <c r="AX91" i="335"/>
  <c r="AX132" i="335"/>
  <c r="BI132" i="335"/>
  <c r="AS132" i="335" s="1"/>
  <c r="AU109" i="335"/>
  <c r="AU94" i="335"/>
  <c r="AU121" i="335"/>
  <c r="AU12" i="335"/>
  <c r="AU104" i="335"/>
  <c r="AU112" i="335"/>
  <c r="AU134" i="335"/>
  <c r="BI31" i="335"/>
  <c r="AX31" i="335"/>
  <c r="AU18" i="335"/>
  <c r="BI48" i="335"/>
  <c r="AX48" i="335"/>
  <c r="AX179" i="335"/>
  <c r="BI152" i="335"/>
  <c r="BI119" i="335"/>
  <c r="BI177" i="335"/>
  <c r="AS177" i="335" s="1"/>
  <c r="AX177" i="335"/>
  <c r="AX81" i="335"/>
  <c r="AX40" i="335"/>
  <c r="BI135" i="335"/>
  <c r="BI176" i="335"/>
  <c r="AS176" i="335" s="1"/>
  <c r="AX176" i="335"/>
  <c r="BI102" i="335"/>
  <c r="AS102" i="335" s="1"/>
  <c r="AX102" i="335"/>
  <c r="BI138" i="335"/>
  <c r="AS138" i="335" s="1"/>
  <c r="AX138" i="335"/>
  <c r="AU140" i="335"/>
  <c r="AX178" i="335"/>
  <c r="AX108" i="335"/>
  <c r="BI22" i="335"/>
  <c r="AX22" i="335"/>
  <c r="BI139" i="335"/>
  <c r="AX139" i="335"/>
  <c r="BI169" i="335"/>
  <c r="AS169" i="335" s="1"/>
  <c r="AX169" i="335"/>
  <c r="AX148" i="335"/>
  <c r="BI148" i="335"/>
  <c r="AU70" i="335"/>
  <c r="AU106" i="335"/>
  <c r="AU158" i="335"/>
  <c r="AU86" i="335"/>
  <c r="AU166" i="335"/>
  <c r="BI174" i="335"/>
  <c r="AX174" i="335"/>
  <c r="BI126" i="335"/>
  <c r="AX126" i="335"/>
  <c r="AU37" i="335"/>
  <c r="AU161" i="335"/>
  <c r="AU167" i="335"/>
  <c r="BI103" i="335"/>
  <c r="AX103" i="335"/>
  <c r="BI112" i="335"/>
  <c r="AX112" i="335"/>
  <c r="AU105" i="335"/>
  <c r="AU144" i="335"/>
  <c r="BI94" i="335"/>
  <c r="AS94" i="335" s="1"/>
  <c r="AX94" i="335"/>
  <c r="BI35" i="335"/>
  <c r="AX35" i="335"/>
  <c r="AU83" i="335"/>
  <c r="AX78" i="335"/>
  <c r="BI78" i="335"/>
  <c r="BI96" i="335"/>
  <c r="AX96" i="335"/>
  <c r="AU78" i="335"/>
  <c r="AU89" i="335"/>
  <c r="AU103" i="335"/>
  <c r="AU122" i="335"/>
  <c r="AU107" i="335"/>
  <c r="AU124" i="335"/>
  <c r="AU129" i="335"/>
  <c r="AU130" i="335"/>
  <c r="AU35" i="335"/>
  <c r="AX85" i="335"/>
  <c r="BI85" i="335"/>
  <c r="AS85" i="335" s="1"/>
  <c r="AU136" i="335"/>
  <c r="AU141" i="335"/>
  <c r="AU61" i="335"/>
  <c r="AU85" i="335"/>
  <c r="AU120" i="335"/>
  <c r="AU125" i="335"/>
  <c r="AU143" i="335"/>
  <c r="AU157" i="335"/>
  <c r="BI142" i="335"/>
  <c r="AX142" i="335"/>
  <c r="BI151" i="335"/>
  <c r="AX151" i="335"/>
  <c r="BI32" i="335"/>
  <c r="AX32" i="335"/>
  <c r="BI24" i="335"/>
  <c r="AS24" i="335" s="1"/>
  <c r="AX24" i="335"/>
  <c r="BI15" i="335"/>
  <c r="AX100" i="335"/>
  <c r="BI101" i="335"/>
  <c r="AX101" i="335"/>
  <c r="AX30" i="335"/>
  <c r="AX167" i="335"/>
  <c r="BI167" i="335"/>
  <c r="BI98" i="335"/>
  <c r="BI123" i="335"/>
  <c r="AX123" i="335"/>
  <c r="AX49" i="335"/>
  <c r="AX29" i="335"/>
  <c r="AU169" i="335"/>
  <c r="AX56" i="335"/>
  <c r="BI42" i="335"/>
  <c r="AX42" i="335"/>
  <c r="AX38" i="335"/>
  <c r="BI23" i="335"/>
  <c r="AS23" i="335" s="1"/>
  <c r="AX23" i="335"/>
  <c r="BI18" i="335"/>
  <c r="AX18" i="335"/>
  <c r="BI180" i="335"/>
  <c r="BI127" i="335"/>
  <c r="AU174" i="335"/>
  <c r="AX47" i="335"/>
  <c r="BI34" i="335"/>
  <c r="AX154" i="335"/>
  <c r="AU168" i="335"/>
  <c r="AX93" i="335"/>
  <c r="BI93" i="335"/>
  <c r="AS93" i="335" s="1"/>
  <c r="AX182" i="335"/>
  <c r="AX95" i="335"/>
  <c r="AX145" i="335"/>
  <c r="AX73" i="335"/>
  <c r="AY93" i="335" l="1"/>
  <c r="AT134" i="335"/>
  <c r="AY139" i="335"/>
  <c r="AY36" i="335"/>
  <c r="AT117" i="335"/>
  <c r="AY124" i="335"/>
  <c r="AT31" i="335"/>
  <c r="AY30" i="335"/>
  <c r="AT152" i="335"/>
  <c r="AY140" i="335"/>
  <c r="AT139" i="335"/>
  <c r="AY148" i="335"/>
  <c r="AY59" i="335"/>
  <c r="AT45" i="335"/>
  <c r="AY43" i="335"/>
  <c r="AT126" i="335"/>
  <c r="AY125" i="335"/>
  <c r="AT36" i="335"/>
  <c r="AY32" i="335"/>
  <c r="AT160" i="335"/>
  <c r="AY159" i="335"/>
  <c r="AY107" i="335"/>
  <c r="AT26" i="335"/>
  <c r="AY23" i="335"/>
  <c r="AT15" i="335"/>
  <c r="AY14" i="335"/>
  <c r="AT10" i="335"/>
  <c r="AY9" i="335"/>
  <c r="AT153" i="335"/>
  <c r="AY115" i="335"/>
  <c r="AT114" i="335"/>
  <c r="AY130" i="335"/>
  <c r="AT162" i="335"/>
  <c r="AY161" i="335"/>
  <c r="AT20" i="335"/>
  <c r="AY22" i="335"/>
  <c r="AY95" i="335"/>
  <c r="AY64" i="335"/>
  <c r="AT56" i="335"/>
  <c r="AY65" i="335"/>
  <c r="AT52" i="335"/>
  <c r="AY46" i="335"/>
  <c r="AT173" i="335"/>
  <c r="AY172" i="335"/>
  <c r="AY62" i="335"/>
  <c r="AT143" i="335"/>
  <c r="AY142" i="335"/>
  <c r="AT61" i="335"/>
  <c r="AY54" i="335"/>
  <c r="AT124" i="335"/>
  <c r="AY108" i="335"/>
  <c r="AT89" i="335"/>
  <c r="AY122" i="335"/>
  <c r="AT105" i="335"/>
  <c r="AY104" i="335"/>
  <c r="AY164" i="335"/>
  <c r="AY73" i="335"/>
  <c r="AY21" i="335"/>
  <c r="AT112" i="335"/>
  <c r="AY101" i="335"/>
  <c r="AT94" i="335"/>
  <c r="AY89" i="335"/>
  <c r="AT62" i="335"/>
  <c r="AY61" i="335"/>
  <c r="AT171" i="335"/>
  <c r="AY169" i="335"/>
  <c r="AT11" i="335"/>
  <c r="AY10" i="335"/>
  <c r="AT170" i="335"/>
  <c r="AY156" i="335"/>
  <c r="AT87" i="335"/>
  <c r="AY82" i="335"/>
  <c r="AT116" i="335"/>
  <c r="AY99" i="335"/>
  <c r="AY33" i="335"/>
  <c r="AT77" i="335"/>
  <c r="AY85" i="335"/>
  <c r="AY182" i="335"/>
  <c r="AY27" i="335"/>
  <c r="AY66" i="335"/>
  <c r="AY157" i="335"/>
  <c r="AY120" i="335"/>
  <c r="AT133" i="335"/>
  <c r="AY138" i="335"/>
  <c r="AT92" i="335"/>
  <c r="AY86" i="335"/>
  <c r="AT44" i="335"/>
  <c r="AY38" i="335"/>
  <c r="AT135" i="335"/>
  <c r="AY151" i="335"/>
  <c r="AT84" i="335"/>
  <c r="AY92" i="335"/>
  <c r="AY136" i="335"/>
  <c r="AT34" i="335"/>
  <c r="AY39" i="335"/>
  <c r="AY109" i="335"/>
  <c r="AY144" i="335"/>
  <c r="AT21" i="335"/>
  <c r="AY20" i="335"/>
  <c r="AT131" i="335"/>
  <c r="AY123" i="335"/>
  <c r="AT60" i="335"/>
  <c r="AY48" i="335"/>
  <c r="AT25" i="335"/>
  <c r="AY19" i="335"/>
  <c r="AT55" i="335"/>
  <c r="AY69" i="335"/>
  <c r="AY175" i="335"/>
  <c r="AY133" i="335"/>
  <c r="AT180" i="335"/>
  <c r="AY176" i="335"/>
  <c r="AY91" i="335"/>
  <c r="AT118" i="335"/>
  <c r="AY117" i="335"/>
  <c r="AT163" i="335"/>
  <c r="AY162" i="335"/>
  <c r="AT110" i="335"/>
  <c r="AY100" i="335"/>
  <c r="AT80" i="335"/>
  <c r="AY90" i="335"/>
  <c r="AT168" i="335"/>
  <c r="AY167" i="335"/>
  <c r="AT174" i="335"/>
  <c r="AY173" i="335"/>
  <c r="AT157" i="335"/>
  <c r="AY174" i="335"/>
  <c r="AT85" i="335"/>
  <c r="AY75" i="335"/>
  <c r="AT129" i="335"/>
  <c r="AY128" i="335"/>
  <c r="AT103" i="335"/>
  <c r="AY79" i="335"/>
  <c r="AT144" i="335"/>
  <c r="AY143" i="335"/>
  <c r="AT37" i="335"/>
  <c r="AY24" i="335"/>
  <c r="AY150" i="335"/>
  <c r="AT121" i="335"/>
  <c r="AY113" i="335"/>
  <c r="AT16" i="335"/>
  <c r="AY18" i="335"/>
  <c r="AT50" i="335"/>
  <c r="AY47" i="335"/>
  <c r="AY163" i="335"/>
  <c r="AY110" i="335"/>
  <c r="AY60" i="335"/>
  <c r="AY58" i="335"/>
  <c r="AY63" i="335"/>
  <c r="AY146" i="335"/>
  <c r="AT165" i="335"/>
  <c r="AY155" i="335"/>
  <c r="AT125" i="335"/>
  <c r="AY102" i="335"/>
  <c r="AT141" i="335"/>
  <c r="AY134" i="335"/>
  <c r="AT35" i="335"/>
  <c r="AY37" i="335"/>
  <c r="AT107" i="335"/>
  <c r="AY111" i="335"/>
  <c r="AT78" i="335"/>
  <c r="AY70" i="335"/>
  <c r="AT167" i="335"/>
  <c r="AY166" i="335"/>
  <c r="AY68" i="335"/>
  <c r="AT104" i="335"/>
  <c r="AY97" i="335"/>
  <c r="AT109" i="335"/>
  <c r="AY118" i="335"/>
  <c r="AT17" i="335"/>
  <c r="AY12" i="335"/>
  <c r="AT156" i="335"/>
  <c r="AY165" i="335"/>
  <c r="AT146" i="335"/>
  <c r="AY145" i="335"/>
  <c r="AT142" i="335"/>
  <c r="AY141" i="335"/>
  <c r="AY42" i="335"/>
  <c r="AT23" i="335"/>
  <c r="AY25" i="335"/>
  <c r="AT65" i="335"/>
  <c r="AY76" i="335"/>
  <c r="AT48" i="335"/>
  <c r="AY52" i="335"/>
  <c r="AY77" i="335"/>
  <c r="AY74" i="335"/>
  <c r="AT29" i="335"/>
  <c r="AY31" i="335"/>
  <c r="AT155" i="335"/>
  <c r="AY158" i="335"/>
  <c r="AT132" i="335"/>
  <c r="AY114" i="335"/>
  <c r="AT123" i="335"/>
  <c r="AY121" i="335"/>
  <c r="AY15" i="335"/>
  <c r="AT98" i="335"/>
  <c r="AY88" i="335"/>
  <c r="AT96" i="335"/>
  <c r="AY87" i="335"/>
  <c r="AT46" i="335"/>
  <c r="AY44" i="335"/>
  <c r="AT154" i="335"/>
  <c r="AY152" i="335"/>
  <c r="AT175" i="335"/>
  <c r="AY171" i="335"/>
  <c r="AT178" i="335"/>
  <c r="AY177" i="335"/>
  <c r="AY78" i="335"/>
  <c r="AT54" i="335"/>
  <c r="AY49" i="335"/>
  <c r="AT147" i="335"/>
  <c r="AY127" i="335"/>
  <c r="AT97" i="335"/>
  <c r="AY98" i="335"/>
  <c r="AY131" i="335"/>
  <c r="AT38" i="335"/>
  <c r="AY34" i="335"/>
  <c r="AT64" i="335"/>
  <c r="AY40" i="335"/>
  <c r="AY26" i="335"/>
  <c r="AT8" i="335"/>
  <c r="AY7" i="335"/>
  <c r="AT69" i="335"/>
  <c r="AY50" i="335"/>
  <c r="AT9" i="335"/>
  <c r="AY8" i="335"/>
  <c r="AT137" i="335"/>
  <c r="AY119" i="335"/>
  <c r="AY55" i="335"/>
  <c r="AY147" i="335"/>
  <c r="AY168" i="335"/>
  <c r="AT120" i="335"/>
  <c r="AY137" i="335"/>
  <c r="AT136" i="335"/>
  <c r="AY126" i="335"/>
  <c r="AT130" i="335"/>
  <c r="AY129" i="335"/>
  <c r="AT122" i="335"/>
  <c r="AY105" i="335"/>
  <c r="AT83" i="335"/>
  <c r="AY71" i="335"/>
  <c r="AT161" i="335"/>
  <c r="AY160" i="335"/>
  <c r="AT158" i="335"/>
  <c r="AY154" i="335"/>
  <c r="AT12" i="335"/>
  <c r="AY13" i="335"/>
  <c r="AT33" i="335"/>
  <c r="AY29" i="335"/>
  <c r="AY96" i="335"/>
  <c r="AT74" i="335"/>
  <c r="AY80" i="335"/>
  <c r="AT53" i="335"/>
  <c r="AY67" i="335"/>
  <c r="AT149" i="335"/>
  <c r="AY132" i="335"/>
  <c r="AT42" i="335"/>
  <c r="AY45" i="335"/>
  <c r="AT91" i="335"/>
  <c r="AY112" i="335"/>
  <c r="AT79" i="335"/>
  <c r="AY116" i="335"/>
  <c r="AT13" i="335"/>
  <c r="AY11" i="335"/>
  <c r="AY94" i="335"/>
  <c r="AT40" i="335"/>
  <c r="AY53" i="335"/>
  <c r="AT75" i="335"/>
  <c r="AY56" i="335"/>
  <c r="AT113" i="335"/>
  <c r="AY153" i="335"/>
  <c r="AT59" i="335"/>
  <c r="AY51" i="335"/>
  <c r="AT14" i="335"/>
  <c r="AY17" i="335"/>
  <c r="AY180" i="335"/>
  <c r="AT39" i="335"/>
  <c r="AY41" i="335"/>
  <c r="AT181" i="335"/>
  <c r="AY179" i="335"/>
  <c r="AY16" i="335"/>
  <c r="AT179" i="335"/>
  <c r="AY178" i="335"/>
  <c r="AY181" i="335"/>
  <c r="AT72" i="335"/>
  <c r="AY81" i="335"/>
  <c r="AT90" i="335"/>
  <c r="AY83" i="335"/>
  <c r="AT27" i="335"/>
  <c r="AY28" i="335"/>
  <c r="AY84" i="335"/>
  <c r="AT172" i="335"/>
  <c r="AY170" i="335"/>
  <c r="AT151" i="335"/>
  <c r="AY149" i="335"/>
  <c r="AY57" i="335"/>
  <c r="AT148" i="335"/>
  <c r="AY135" i="335"/>
  <c r="AT82" i="335"/>
  <c r="AY72" i="335"/>
  <c r="AT111" i="335"/>
  <c r="AY106" i="335"/>
  <c r="AT88" i="335"/>
  <c r="AY103" i="335"/>
  <c r="AT43" i="335"/>
  <c r="AY35" i="335"/>
  <c r="BM55" i="335"/>
  <c r="BM20" i="335"/>
  <c r="BM159" i="335"/>
  <c r="BM161" i="335"/>
  <c r="BM133" i="335"/>
  <c r="BM143" i="335"/>
  <c r="BM175" i="335"/>
  <c r="BM174" i="335"/>
  <c r="BM168" i="335"/>
  <c r="BM173" i="335"/>
  <c r="BM154" i="335"/>
  <c r="BM114" i="335"/>
  <c r="BM14" i="335"/>
  <c r="BM90" i="335"/>
  <c r="BM76" i="335"/>
  <c r="BM135" i="335"/>
  <c r="BM148" i="335"/>
  <c r="BM149" i="335"/>
  <c r="BM111" i="335"/>
  <c r="BM125" i="335"/>
  <c r="BM99" i="335"/>
  <c r="BM100" i="335"/>
  <c r="BM105" i="335"/>
  <c r="AT106" i="335"/>
  <c r="AT164" i="335"/>
  <c r="AT108" i="335"/>
  <c r="AT49" i="335"/>
  <c r="AT47" i="335"/>
  <c r="AT101" i="335"/>
  <c r="AT63" i="335"/>
  <c r="AT76" i="335"/>
  <c r="AT93" i="335"/>
  <c r="AT150" i="335"/>
  <c r="AT57" i="335"/>
  <c r="AT166" i="335"/>
  <c r="AT70" i="335"/>
  <c r="AT6" i="335"/>
  <c r="AT30" i="335"/>
  <c r="AT51" i="335"/>
  <c r="AT159" i="335"/>
  <c r="AT115" i="335"/>
  <c r="AT138" i="335"/>
  <c r="AT119" i="335"/>
  <c r="AT145" i="335"/>
  <c r="AT176" i="335"/>
  <c r="AT127" i="335"/>
  <c r="AT100" i="335"/>
  <c r="AT86" i="335"/>
  <c r="AT71" i="335"/>
  <c r="AT73" i="335"/>
  <c r="AT22" i="335"/>
  <c r="AT68" i="335"/>
  <c r="AT102" i="335"/>
  <c r="AT28" i="335"/>
  <c r="AT169" i="335"/>
  <c r="AT95" i="335"/>
  <c r="AT177" i="335"/>
  <c r="AT19" i="335"/>
  <c r="AT182" i="335"/>
  <c r="AT81" i="335"/>
  <c r="AT58" i="335"/>
  <c r="BM24" i="335"/>
  <c r="BM179" i="335"/>
  <c r="BM171" i="335"/>
  <c r="BM86" i="335"/>
  <c r="BM66" i="335"/>
  <c r="BM112" i="335"/>
  <c r="BM97" i="335"/>
  <c r="BM83" i="335"/>
  <c r="BM119" i="335"/>
  <c r="BM140" i="335"/>
  <c r="BM147" i="335"/>
  <c r="BM50" i="335"/>
  <c r="BM121" i="335"/>
  <c r="BM116" i="335"/>
  <c r="BM181" i="335"/>
  <c r="BM177" i="335"/>
  <c r="BM130" i="335"/>
  <c r="BM118" i="335"/>
  <c r="BM95" i="335"/>
  <c r="BM164" i="335"/>
  <c r="BM124" i="335"/>
  <c r="BM92" i="335"/>
  <c r="BM115" i="335"/>
  <c r="BM107" i="335"/>
  <c r="BM63" i="335"/>
  <c r="BM30" i="335"/>
  <c r="BM8" i="335"/>
  <c r="BM157" i="335"/>
  <c r="BM94" i="335"/>
  <c r="BM151" i="335"/>
  <c r="BM180" i="335"/>
  <c r="BM62" i="335"/>
  <c r="BM89" i="335"/>
  <c r="BM120" i="335"/>
  <c r="BM163" i="335"/>
  <c r="BM160" i="335"/>
  <c r="BM126" i="335"/>
  <c r="BM144" i="335"/>
  <c r="BM122" i="335"/>
  <c r="BM48" i="335"/>
  <c r="BM123" i="335"/>
  <c r="BM79" i="335"/>
  <c r="BM155" i="335"/>
  <c r="BM43" i="335"/>
  <c r="BM138" i="335"/>
  <c r="BM152" i="335"/>
  <c r="BM82" i="335"/>
  <c r="BM141" i="335"/>
  <c r="BM98" i="335"/>
  <c r="BM54" i="335"/>
  <c r="BM78" i="335"/>
  <c r="BM113" i="335"/>
  <c r="BM169" i="335"/>
  <c r="BM165" i="335"/>
  <c r="BM136" i="335"/>
  <c r="BM104" i="335"/>
  <c r="BM6" i="335"/>
  <c r="BM145" i="335"/>
  <c r="BM44" i="335"/>
  <c r="BM178" i="335"/>
  <c r="BM93" i="335"/>
  <c r="BM132" i="335"/>
  <c r="BM72" i="335"/>
  <c r="BM110" i="335"/>
  <c r="BM7" i="335"/>
  <c r="BM153" i="335"/>
  <c r="BM71" i="335"/>
  <c r="BM103" i="335"/>
  <c r="BM31" i="335"/>
  <c r="BM58" i="335"/>
  <c r="BM176" i="335"/>
  <c r="BM75" i="335"/>
  <c r="BM182" i="335"/>
  <c r="BM167" i="335"/>
  <c r="BM158" i="335"/>
  <c r="BM84" i="335"/>
  <c r="BM117" i="335"/>
  <c r="BM109" i="335"/>
  <c r="BM162" i="335"/>
  <c r="BM9" i="335"/>
  <c r="BM81" i="335"/>
  <c r="BM127" i="335"/>
  <c r="AS52" i="335"/>
  <c r="BM131" i="335"/>
  <c r="AS101" i="335"/>
  <c r="AS174" i="335"/>
  <c r="BM134" i="335"/>
  <c r="AS104" i="335"/>
  <c r="AS44" i="335"/>
  <c r="BM67" i="335"/>
  <c r="AS48" i="335"/>
  <c r="AS146" i="335"/>
  <c r="AS26" i="335"/>
  <c r="AS75" i="335"/>
  <c r="AS9" i="335"/>
  <c r="AS79" i="335"/>
  <c r="BM38" i="335"/>
  <c r="AS112" i="335"/>
  <c r="AS126" i="335"/>
  <c r="BM32" i="335"/>
  <c r="BM11" i="335"/>
  <c r="BM12" i="335"/>
  <c r="BM88" i="335"/>
  <c r="AS110" i="335"/>
  <c r="BM170" i="335"/>
  <c r="BM36" i="335"/>
  <c r="AS144" i="335"/>
  <c r="BM40" i="335"/>
  <c r="BM156" i="335"/>
  <c r="BM70" i="335"/>
  <c r="AS18" i="335"/>
  <c r="BM47" i="335"/>
  <c r="AS42" i="335"/>
  <c r="AS30" i="335"/>
  <c r="AS31" i="335"/>
  <c r="AS114" i="335"/>
  <c r="BM101" i="335"/>
  <c r="AS136" i="335"/>
  <c r="BM106" i="335"/>
  <c r="BM146" i="335"/>
  <c r="AS32" i="335"/>
  <c r="BM74" i="335"/>
  <c r="AS139" i="335"/>
  <c r="AS99" i="335"/>
  <c r="AS54" i="335"/>
  <c r="BM27" i="335"/>
  <c r="AS156" i="335"/>
  <c r="AS118" i="335"/>
  <c r="AS87" i="335"/>
  <c r="AS66" i="335"/>
  <c r="AS122" i="335"/>
  <c r="BM87" i="335"/>
  <c r="AS61" i="335"/>
  <c r="AS137" i="335"/>
  <c r="BM91" i="335"/>
  <c r="BM46" i="335"/>
  <c r="BM96" i="335"/>
  <c r="AS96" i="335"/>
  <c r="BM142" i="335"/>
  <c r="BM150" i="335"/>
  <c r="AS91" i="335"/>
  <c r="AS63" i="335"/>
  <c r="AS158" i="335"/>
  <c r="AS128" i="335"/>
  <c r="AS90" i="335"/>
  <c r="BM10" i="335"/>
  <c r="AS125" i="335"/>
  <c r="AS77" i="335"/>
  <c r="AS149" i="335"/>
  <c r="BM139" i="335"/>
  <c r="BM64" i="335"/>
  <c r="BM128" i="335"/>
  <c r="AS111" i="335"/>
  <c r="AS12" i="335"/>
  <c r="BM18" i="335"/>
  <c r="AS103" i="335"/>
  <c r="AS134" i="335"/>
  <c r="AS11" i="335"/>
  <c r="BM25" i="335"/>
  <c r="AS145" i="335"/>
  <c r="BM28" i="335"/>
  <c r="AS154" i="335"/>
  <c r="BM49" i="335"/>
  <c r="AS29" i="335"/>
  <c r="AS41" i="335"/>
  <c r="BM129" i="335"/>
  <c r="AS124" i="335"/>
  <c r="AS13" i="335"/>
  <c r="AS33" i="335"/>
  <c r="BM29" i="335"/>
  <c r="AS159" i="335"/>
  <c r="AS172" i="335"/>
  <c r="BM80" i="335"/>
  <c r="BM61" i="335"/>
  <c r="AS68" i="335"/>
  <c r="AS164" i="335"/>
  <c r="AS157" i="335"/>
  <c r="AS80" i="335"/>
  <c r="AT32" i="335"/>
  <c r="AS39" i="335"/>
  <c r="BM60" i="335"/>
  <c r="AS55" i="335"/>
  <c r="AS14" i="335"/>
  <c r="BM172" i="335"/>
  <c r="AS70" i="335"/>
  <c r="AS25" i="335"/>
  <c r="AS20" i="335"/>
  <c r="AS147" i="335"/>
  <c r="AS27" i="335"/>
  <c r="AS162" i="335"/>
  <c r="AS167" i="335"/>
  <c r="AS15" i="335"/>
  <c r="BM42" i="335"/>
  <c r="AS22" i="335"/>
  <c r="AT140" i="335"/>
  <c r="BM102" i="335"/>
  <c r="AS59" i="335"/>
  <c r="AS173" i="335"/>
  <c r="BM37" i="335"/>
  <c r="AS182" i="335"/>
  <c r="BM56" i="335"/>
  <c r="AS47" i="335"/>
  <c r="BM57" i="335"/>
  <c r="AS49" i="335"/>
  <c r="AS133" i="335"/>
  <c r="BM33" i="335"/>
  <c r="AS178" i="335"/>
  <c r="BM19" i="335"/>
  <c r="AS82" i="335"/>
  <c r="AS7" i="335"/>
  <c r="BM39" i="335"/>
  <c r="AT99" i="335"/>
  <c r="AS105" i="335"/>
  <c r="AS17" i="335"/>
  <c r="AS88" i="335"/>
  <c r="AS179" i="335"/>
  <c r="BM34" i="335"/>
  <c r="AS53" i="335"/>
  <c r="AS121" i="335"/>
  <c r="AS107" i="335"/>
  <c r="AS97" i="335"/>
  <c r="BM137" i="335"/>
  <c r="AS116" i="335"/>
  <c r="AT41" i="335"/>
  <c r="BM108" i="335"/>
  <c r="BM35" i="335"/>
  <c r="AS180" i="335"/>
  <c r="AS123" i="335"/>
  <c r="BM65" i="335"/>
  <c r="AS98" i="335"/>
  <c r="AS142" i="335"/>
  <c r="BM166" i="335"/>
  <c r="BM69" i="335"/>
  <c r="AS135" i="335"/>
  <c r="AS119" i="335"/>
  <c r="BM22" i="335"/>
  <c r="AS38" i="335"/>
  <c r="BM51" i="335"/>
  <c r="AS21" i="335"/>
  <c r="BM45" i="335"/>
  <c r="AS10" i="335"/>
  <c r="BM41" i="335"/>
  <c r="BM15" i="335"/>
  <c r="AS76" i="335"/>
  <c r="BM77" i="335"/>
  <c r="AS160" i="335"/>
  <c r="AY6" i="335"/>
  <c r="BM68" i="335"/>
  <c r="AS115" i="335"/>
  <c r="BM73" i="335"/>
  <c r="BM52" i="335"/>
  <c r="AS34" i="335"/>
  <c r="BM23" i="335"/>
  <c r="AS127" i="335"/>
  <c r="AS151" i="335"/>
  <c r="BM85" i="335"/>
  <c r="AS78" i="335"/>
  <c r="AS35" i="335"/>
  <c r="AS148" i="335"/>
  <c r="AS152" i="335"/>
  <c r="BM26" i="335"/>
  <c r="AT18" i="335"/>
  <c r="BM13" i="335"/>
  <c r="AS73" i="335"/>
  <c r="BM59" i="335"/>
  <c r="AS56" i="335"/>
  <c r="BM21" i="335"/>
  <c r="AS108" i="335"/>
  <c r="BM53" i="335"/>
  <c r="AS40" i="335"/>
  <c r="BM16" i="335"/>
  <c r="AS81" i="335"/>
  <c r="AS16" i="335"/>
  <c r="AT24" i="335"/>
  <c r="AS86" i="335"/>
  <c r="BM17" i="335"/>
  <c r="AS95" i="335"/>
  <c r="R18" i="336" l="1"/>
  <c r="S18" i="336" s="1"/>
  <c r="R17" i="336"/>
  <c r="S17" i="336" s="1"/>
  <c r="R16" i="336"/>
  <c r="S16" i="336" s="1"/>
  <c r="R15" i="336"/>
  <c r="S15" i="336" s="1"/>
  <c r="R14" i="336"/>
  <c r="S14" i="336" s="1"/>
  <c r="R13" i="336"/>
  <c r="S13" i="336" s="1"/>
  <c r="R12" i="336"/>
  <c r="S12" i="336" s="1"/>
  <c r="R11" i="336"/>
  <c r="S11" i="336" s="1"/>
  <c r="R10" i="336"/>
  <c r="S10" i="336" s="1"/>
  <c r="R9" i="336"/>
  <c r="S9" i="336" s="1"/>
  <c r="J18" i="336"/>
  <c r="K18" i="336" s="1"/>
  <c r="J16" i="336"/>
  <c r="K16" i="336" s="1"/>
  <c r="J15" i="336"/>
  <c r="K15" i="336" s="1"/>
  <c r="J14" i="336"/>
  <c r="K14" i="336" s="1"/>
  <c r="J13" i="336"/>
  <c r="K13" i="336" s="1"/>
  <c r="J12" i="336"/>
  <c r="K12" i="336" s="1"/>
  <c r="J11" i="336"/>
  <c r="K11" i="336" s="1"/>
  <c r="J10" i="336"/>
  <c r="K10" i="336" s="1"/>
  <c r="J9" i="336"/>
  <c r="K9" i="336" s="1"/>
  <c r="F18" i="336"/>
  <c r="G18" i="336" s="1"/>
  <c r="F16" i="336"/>
  <c r="G16" i="336" s="1"/>
  <c r="F15" i="336"/>
  <c r="G15" i="336" s="1"/>
  <c r="F14" i="336"/>
  <c r="G14" i="336" s="1"/>
  <c r="F13" i="336"/>
  <c r="G13" i="336" s="1"/>
  <c r="F12" i="336"/>
  <c r="G12" i="336" s="1"/>
  <c r="F11" i="336"/>
  <c r="G11" i="336" s="1"/>
  <c r="F10" i="336"/>
  <c r="G10" i="336" s="1"/>
  <c r="F9" i="336"/>
  <c r="G9" i="336" s="1"/>
  <c r="N18" i="336"/>
  <c r="O18" i="336" s="1"/>
  <c r="N17" i="336"/>
  <c r="O17" i="336" s="1"/>
  <c r="N16" i="336"/>
  <c r="O16" i="336" s="1"/>
  <c r="N15" i="336"/>
  <c r="O15" i="336" s="1"/>
  <c r="N14" i="336"/>
  <c r="O14" i="336" s="1"/>
  <c r="N13" i="336"/>
  <c r="O13" i="336" s="1"/>
  <c r="N12" i="336"/>
  <c r="O12" i="336" s="1"/>
  <c r="N11" i="336"/>
  <c r="O11" i="336" s="1"/>
  <c r="N10" i="336"/>
  <c r="O10" i="336" s="1"/>
  <c r="N9" i="336"/>
  <c r="O9" i="336" s="1"/>
  <c r="J17" i="336"/>
  <c r="K17" i="336" s="1"/>
  <c r="F17" i="336"/>
  <c r="G17" i="336" s="1"/>
  <c r="P18" i="336"/>
  <c r="L12" i="336" l="1"/>
  <c r="H18" i="336"/>
  <c r="P10" i="336"/>
  <c r="H16" i="336"/>
  <c r="L14" i="336"/>
  <c r="P15" i="336"/>
  <c r="T11" i="336"/>
  <c r="H11" i="336"/>
  <c r="P13" i="336"/>
  <c r="L15" i="336"/>
  <c r="T12" i="336"/>
  <c r="P11" i="336"/>
  <c r="T18" i="336"/>
  <c r="H12" i="336"/>
  <c r="T10" i="336"/>
  <c r="T13" i="336"/>
  <c r="L11" i="336"/>
  <c r="H9" i="336"/>
  <c r="L13" i="336"/>
  <c r="P17" i="336"/>
  <c r="H15" i="336"/>
  <c r="P12" i="336"/>
  <c r="L10" i="336"/>
  <c r="P16" i="336"/>
  <c r="L17" i="336"/>
  <c r="T17" i="336"/>
  <c r="P9" i="336"/>
  <c r="L9" i="336"/>
  <c r="H14" i="336"/>
  <c r="H10" i="336"/>
  <c r="T9" i="336"/>
  <c r="L16" i="336"/>
  <c r="H13" i="336"/>
  <c r="L18" i="336"/>
  <c r="T14" i="336"/>
  <c r="T16" i="336"/>
  <c r="H17" i="336"/>
  <c r="T15" i="336"/>
  <c r="P14" i="336"/>
  <c r="L7" i="336" l="1"/>
  <c r="K7" i="336"/>
  <c r="S7" i="336"/>
  <c r="P7" i="336"/>
  <c r="H7" i="336"/>
  <c r="T7" i="336"/>
  <c r="O7" i="336"/>
  <c r="G7" i="336"/>
  <c r="J7" i="336" l="1"/>
  <c r="R7" i="336"/>
  <c r="F7" i="336"/>
  <c r="N7" i="336"/>
</calcChain>
</file>

<file path=xl/comments1.xml><?xml version="1.0" encoding="utf-8"?>
<comments xmlns="http://schemas.openxmlformats.org/spreadsheetml/2006/main">
  <authors>
    <author>Chris</author>
    <author>Kevin</author>
  </authors>
  <commentList>
    <comment ref="AQ5" authorId="0">
      <text>
        <r>
          <rPr>
            <b/>
            <sz val="9"/>
            <color indexed="81"/>
            <rFont val="Tahoma"/>
            <charset val="1"/>
          </rPr>
          <t>AFKennedy: Difference between your ADP and BeerSheets ADP</t>
        </r>
      </text>
    </comment>
    <comment ref="AS5" authorId="0">
      <text>
        <r>
          <rPr>
            <b/>
            <sz val="9"/>
            <color indexed="81"/>
            <rFont val="Tahoma"/>
            <charset val="1"/>
          </rPr>
          <t>AFKennedy: Rank within position based on your values</t>
        </r>
      </text>
    </comment>
    <comment ref="AT5" authorId="0">
      <text>
        <r>
          <rPr>
            <b/>
            <sz val="9"/>
            <color indexed="81"/>
            <rFont val="Tahoma"/>
            <charset val="1"/>
          </rPr>
          <t>AFKennedy: BeerSheets tiers</t>
        </r>
      </text>
    </comment>
    <comment ref="AU5" authorId="0">
      <text>
        <r>
          <rPr>
            <b/>
            <sz val="9"/>
            <color indexed="81"/>
            <rFont val="Tahoma"/>
            <charset val="1"/>
          </rPr>
          <t>AFKennedy: Your value, after all calculations</t>
        </r>
      </text>
    </comment>
    <comment ref="AV5" authorId="0">
      <text>
        <r>
          <rPr>
            <b/>
            <sz val="9"/>
            <color indexed="81"/>
            <rFont val="Tahoma"/>
            <charset val="1"/>
          </rPr>
          <t>AFKennedy: BeerSheets value</t>
        </r>
      </text>
    </comment>
    <comment ref="AW5" authorId="0">
      <text>
        <r>
          <rPr>
            <b/>
            <sz val="9"/>
            <color indexed="81"/>
            <rFont val="Tahoma"/>
            <charset val="1"/>
          </rPr>
          <t>AFKennedy: BeerSheets SDV</t>
        </r>
      </text>
    </comment>
    <comment ref="AX5" authorId="0">
      <text>
        <r>
          <rPr>
            <b/>
            <sz val="9"/>
            <color indexed="81"/>
            <rFont val="Tahoma"/>
            <charset val="1"/>
          </rPr>
          <t>AFKennedy: Positional Scarcity according to BeerSheets</t>
        </r>
      </text>
    </comment>
    <comment ref="AY5" authorId="0">
      <text>
        <r>
          <rPr>
            <b/>
            <sz val="9"/>
            <color indexed="81"/>
            <rFont val="Tahoma"/>
            <charset val="1"/>
          </rPr>
          <t>AFKennedy: Positional Scarcity according to calculated adjusted values</t>
        </r>
      </text>
    </comment>
    <comment ref="AZ5" authorId="0">
      <text>
        <r>
          <rPr>
            <b/>
            <sz val="9"/>
            <color indexed="81"/>
            <rFont val="Tahoma"/>
            <charset val="1"/>
          </rPr>
          <t>AFKennedy: Standard Deviation based automatic adjustments</t>
        </r>
      </text>
    </comment>
    <comment ref="BA5" authorId="0">
      <text>
        <r>
          <rPr>
            <b/>
            <sz val="9"/>
            <color indexed="81"/>
            <rFont val="Tahoma"/>
            <charset val="1"/>
          </rPr>
          <t>AFKennedy: Your adjustments. DO NOT OVERWRITE HERE, USE ADJUSTMENTS TAB INSTEAD</t>
        </r>
      </text>
    </comment>
    <comment ref="BB5" authorId="0">
      <text>
        <r>
          <rPr>
            <b/>
            <sz val="9"/>
            <color indexed="81"/>
            <rFont val="Tahoma"/>
            <charset val="1"/>
          </rPr>
          <t>AFKennedy: Bye week</t>
        </r>
      </text>
    </comment>
    <comment ref="BC5" authorId="0">
      <text>
        <r>
          <rPr>
            <b/>
            <sz val="9"/>
            <color indexed="81"/>
            <rFont val="Tahoma"/>
            <charset val="1"/>
          </rPr>
          <t>AFKennedy: BeerSheets listed ADP</t>
        </r>
      </text>
    </comment>
    <comment ref="BD5" authorId="0">
      <text>
        <r>
          <rPr>
            <b/>
            <sz val="9"/>
            <color indexed="81"/>
            <rFont val="Tahoma"/>
            <charset val="1"/>
          </rPr>
          <t>AFKennedy: Difference between ADP and BeerSheets ADP</t>
        </r>
      </text>
    </comment>
    <comment ref="BE5" authorId="0">
      <text>
        <r>
          <rPr>
            <b/>
            <sz val="9"/>
            <color indexed="81"/>
            <rFont val="Tahoma"/>
            <charset val="1"/>
          </rPr>
          <t>AFKennedy: Difference between ADP and Your Calculated ADP</t>
        </r>
      </text>
    </comment>
    <comment ref="K67" authorId="1">
      <text>
        <r>
          <rPr>
            <b/>
            <sz val="9"/>
            <color indexed="81"/>
            <rFont val="Tahoma"/>
            <family val="2"/>
          </rPr>
          <t>Kevin:</t>
        </r>
        <r>
          <rPr>
            <sz val="9"/>
            <color indexed="81"/>
            <rFont val="Tahoma"/>
            <family val="2"/>
          </rPr>
          <t xml:space="preserve">
</t>
        </r>
      </text>
    </comment>
  </commentList>
</comments>
</file>

<file path=xl/comments2.xml><?xml version="1.0" encoding="utf-8"?>
<comments xmlns="http://schemas.openxmlformats.org/spreadsheetml/2006/main">
  <authors>
    <author>Kevin</author>
  </authors>
  <commentList>
    <comment ref="K67" authorId="0">
      <text>
        <r>
          <rPr>
            <b/>
            <sz val="9"/>
            <color indexed="81"/>
            <rFont val="Tahoma"/>
            <family val="2"/>
          </rPr>
          <t>Kevin:</t>
        </r>
        <r>
          <rPr>
            <sz val="9"/>
            <color indexed="81"/>
            <rFont val="Tahoma"/>
            <family val="2"/>
          </rPr>
          <t xml:space="preserve">
</t>
        </r>
      </text>
    </comment>
  </commentList>
</comments>
</file>

<file path=xl/sharedStrings.xml><?xml version="1.0" encoding="utf-8"?>
<sst xmlns="http://schemas.openxmlformats.org/spreadsheetml/2006/main" count="1904" uniqueCount="290">
  <si>
    <t>QUARTERBACK</t>
  </si>
  <si>
    <t>RUNNING BACK</t>
  </si>
  <si>
    <t>WIDE RECEIVER</t>
  </si>
  <si>
    <t>#</t>
  </si>
  <si>
    <t>NAME</t>
  </si>
  <si>
    <t>VAL</t>
  </si>
  <si>
    <t>T</t>
  </si>
  <si>
    <t xml:space="preserve"> </t>
  </si>
  <si>
    <t>TIGHT END</t>
  </si>
  <si>
    <t>BW</t>
  </si>
  <si>
    <t>QB1</t>
  </si>
  <si>
    <t>RB1</t>
  </si>
  <si>
    <t>WR1</t>
  </si>
  <si>
    <t>QB2</t>
  </si>
  <si>
    <t>RB2</t>
  </si>
  <si>
    <t>WR2</t>
  </si>
  <si>
    <t>TE1</t>
  </si>
  <si>
    <t>RB3</t>
  </si>
  <si>
    <t>WR3</t>
  </si>
  <si>
    <t>DST</t>
  </si>
  <si>
    <t>RB4</t>
  </si>
  <si>
    <t>WR4</t>
  </si>
  <si>
    <t>FLX</t>
  </si>
  <si>
    <t>RB5</t>
  </si>
  <si>
    <t>WR5</t>
  </si>
  <si>
    <t>Peyton Manning</t>
  </si>
  <si>
    <t>1</t>
  </si>
  <si>
    <t>Jamaal Charles</t>
  </si>
  <si>
    <t>1-</t>
  </si>
  <si>
    <t>Calvin Johnson</t>
  </si>
  <si>
    <t>Aaron Rodgers</t>
  </si>
  <si>
    <t>2</t>
  </si>
  <si>
    <t>Matt Forte</t>
  </si>
  <si>
    <t>Demaryius Thomas</t>
  </si>
  <si>
    <t>Drew Brees</t>
  </si>
  <si>
    <t>LeSean McCoy</t>
  </si>
  <si>
    <t>Dez Bryant</t>
  </si>
  <si>
    <t>Matthew Stafford</t>
  </si>
  <si>
    <t>3</t>
  </si>
  <si>
    <t>Adrian Peterson</t>
  </si>
  <si>
    <t>2-</t>
  </si>
  <si>
    <t>Brandon Marshall</t>
  </si>
  <si>
    <t>Andrew Luck</t>
  </si>
  <si>
    <t>Eddie Lacy</t>
  </si>
  <si>
    <t>A.J. Green</t>
  </si>
  <si>
    <t>Cam Newton</t>
  </si>
  <si>
    <t>DeMarco Murray</t>
  </si>
  <si>
    <t>Julio Jones</t>
  </si>
  <si>
    <t>Nick Foles</t>
  </si>
  <si>
    <t>Montee Ball</t>
  </si>
  <si>
    <t>Antonio Brown</t>
  </si>
  <si>
    <t>Robert Griffin III</t>
  </si>
  <si>
    <t>Arian Foster</t>
  </si>
  <si>
    <t>Jordy Nelson</t>
  </si>
  <si>
    <t>Colin Kaepernick</t>
  </si>
  <si>
    <t>Giovani Bernard</t>
  </si>
  <si>
    <t>Alshon Jeffery</t>
  </si>
  <si>
    <t>Tom Brady</t>
  </si>
  <si>
    <t>4</t>
  </si>
  <si>
    <t>Marshawn Lynch</t>
  </si>
  <si>
    <t>Randall Cobb</t>
  </si>
  <si>
    <t>Matt Ryan</t>
  </si>
  <si>
    <t>LeVeon Bell</t>
  </si>
  <si>
    <t>Andre Johnson</t>
  </si>
  <si>
    <t>3-</t>
  </si>
  <si>
    <t>Russell Wilson</t>
  </si>
  <si>
    <t>Reggie Bush</t>
  </si>
  <si>
    <t>Pierre Garcon</t>
  </si>
  <si>
    <t>Tony Romo</t>
  </si>
  <si>
    <t>4-</t>
  </si>
  <si>
    <t>Doug Martin</t>
  </si>
  <si>
    <t>Vincent Jackson</t>
  </si>
  <si>
    <t>Jay Cutler</t>
  </si>
  <si>
    <t>5</t>
  </si>
  <si>
    <t>Andre Ellington</t>
  </si>
  <si>
    <t>Larry Fitzgerald</t>
  </si>
  <si>
    <t>Philip Rivers</t>
  </si>
  <si>
    <t>Zac Stacy</t>
  </si>
  <si>
    <t>Roddy White</t>
  </si>
  <si>
    <t>Ben Roethlisberger</t>
  </si>
  <si>
    <t>Toby Gerhart</t>
  </si>
  <si>
    <t>Victor Cruz</t>
  </si>
  <si>
    <t>Andy Dalton</t>
  </si>
  <si>
    <t>6</t>
  </si>
  <si>
    <t>Shane Vereen</t>
  </si>
  <si>
    <t>4+</t>
  </si>
  <si>
    <t>Keenan Allen</t>
  </si>
  <si>
    <t>Alex Smith</t>
  </si>
  <si>
    <t>C.J. Spiller</t>
  </si>
  <si>
    <t>Wes Welker</t>
  </si>
  <si>
    <t>Ryan Tannehill</t>
  </si>
  <si>
    <t>7</t>
  </si>
  <si>
    <t>Joique Bell</t>
  </si>
  <si>
    <t>Michael Crabtree</t>
  </si>
  <si>
    <t>Carson Palmer</t>
  </si>
  <si>
    <t>Pierre Thomas</t>
  </si>
  <si>
    <t>Kendall Wright</t>
  </si>
  <si>
    <t>Joe Flacco</t>
  </si>
  <si>
    <t>8+</t>
  </si>
  <si>
    <t>Rashad Jennings</t>
  </si>
  <si>
    <t>Michael Floyd</t>
  </si>
  <si>
    <t>Eli Manning</t>
  </si>
  <si>
    <t>Ryan Mathews</t>
  </si>
  <si>
    <t>Julian Edelman</t>
  </si>
  <si>
    <t>Sam Bradford</t>
  </si>
  <si>
    <t>8</t>
  </si>
  <si>
    <t>Alfred Morris</t>
  </si>
  <si>
    <t>Cordarrelle Patterson</t>
  </si>
  <si>
    <t>EJ Manuel</t>
  </si>
  <si>
    <t>8-</t>
  </si>
  <si>
    <t>Trent Richardson</t>
  </si>
  <si>
    <t>Percy Harvin</t>
  </si>
  <si>
    <t>Josh McCown</t>
  </si>
  <si>
    <t>9</t>
  </si>
  <si>
    <t>Chris Johnson</t>
  </si>
  <si>
    <t>DeSean Jackson</t>
  </si>
  <si>
    <t>Jake Locker</t>
  </si>
  <si>
    <t>Bishop Sankey</t>
  </si>
  <si>
    <t>Mike Wallace</t>
  </si>
  <si>
    <t>Ryan Fitzpatrick</t>
  </si>
  <si>
    <t>9+</t>
  </si>
  <si>
    <t>Ray Rice</t>
  </si>
  <si>
    <t>Marques Colston</t>
  </si>
  <si>
    <t>Matt Schaub</t>
  </si>
  <si>
    <t>Ben Tate</t>
  </si>
  <si>
    <t>Jeremy Maclin</t>
  </si>
  <si>
    <t>Johnny Manziel</t>
  </si>
  <si>
    <t>Frank Gore</t>
  </si>
  <si>
    <t>Torrey Smith</t>
  </si>
  <si>
    <t>Geno Smith</t>
  </si>
  <si>
    <t>10</t>
  </si>
  <si>
    <t>Danny Woodhead</t>
  </si>
  <si>
    <t>T.Y. Hilton</t>
  </si>
  <si>
    <t>Teddy Bridgewater</t>
  </si>
  <si>
    <t>Fred Jackson</t>
  </si>
  <si>
    <t>Reggie Wayne</t>
  </si>
  <si>
    <t>Chad Henne</t>
  </si>
  <si>
    <t>Maurice Jones-Drew</t>
  </si>
  <si>
    <t>Eric Decker</t>
  </si>
  <si>
    <t>Darren Sproles</t>
  </si>
  <si>
    <t>Emmanuel Sanders</t>
  </si>
  <si>
    <t>Steven Jackson</t>
  </si>
  <si>
    <t>Golden Tate</t>
  </si>
  <si>
    <t>Lamar Miller</t>
  </si>
  <si>
    <t>Sammy Watkins</t>
  </si>
  <si>
    <t>Jimmy Graham</t>
  </si>
  <si>
    <t>DeAngelo Williams</t>
  </si>
  <si>
    <t>6-</t>
  </si>
  <si>
    <t>Dwayne Bowe</t>
  </si>
  <si>
    <t>Julius Thomas</t>
  </si>
  <si>
    <t>Stevan Ridley</t>
  </si>
  <si>
    <t>Cecil Shorts</t>
  </si>
  <si>
    <t>Rob Gronkowski</t>
  </si>
  <si>
    <t>Knowshon Moreno</t>
  </si>
  <si>
    <t>Terrance Williams</t>
  </si>
  <si>
    <t>Jason Witten</t>
  </si>
  <si>
    <t>11</t>
  </si>
  <si>
    <t>Darren McFadden</t>
  </si>
  <si>
    <t>Brian Hartline</t>
  </si>
  <si>
    <t>Jordan Cameron</t>
  </si>
  <si>
    <t>Bernard Pierce</t>
  </si>
  <si>
    <t>Anquan Boldin</t>
  </si>
  <si>
    <t>Greg Olsen</t>
  </si>
  <si>
    <t>12</t>
  </si>
  <si>
    <t>Terrance West</t>
  </si>
  <si>
    <t>Greg Jennings</t>
  </si>
  <si>
    <t>Vernon Davis</t>
  </si>
  <si>
    <t>Devonta Freeman</t>
  </si>
  <si>
    <t>Rueben Randle</t>
  </si>
  <si>
    <t>Jordan Reed</t>
  </si>
  <si>
    <t>Jeremy Hill</t>
  </si>
  <si>
    <t>Danny Amendola</t>
  </si>
  <si>
    <t>Dennis Pitta</t>
  </si>
  <si>
    <t>Chris Ivory</t>
  </si>
  <si>
    <t>Marvin Jones</t>
  </si>
  <si>
    <t>Kyle Rudolph</t>
  </si>
  <si>
    <t>Jacquizz Rodgers</t>
  </si>
  <si>
    <t>7+</t>
  </si>
  <si>
    <t>DeAndre Hopkins</t>
  </si>
  <si>
    <t>Martellus Bennett</t>
  </si>
  <si>
    <t>Roy Helu</t>
  </si>
  <si>
    <t>7-</t>
  </si>
  <si>
    <t>James Jones</t>
  </si>
  <si>
    <t>5+</t>
  </si>
  <si>
    <t>Heath Miller</t>
  </si>
  <si>
    <t>Khiry Robinson</t>
  </si>
  <si>
    <t>Mike Evans</t>
  </si>
  <si>
    <t>Zach Ertz</t>
  </si>
  <si>
    <t>Mark Ingram</t>
  </si>
  <si>
    <t>Riley Cooper</t>
  </si>
  <si>
    <t>Charles Clay</t>
  </si>
  <si>
    <t>Mike Tolbert</t>
  </si>
  <si>
    <t>Brandin Cooks</t>
  </si>
  <si>
    <t>Antonio Gates</t>
  </si>
  <si>
    <t>Ahmad Bradshaw</t>
  </si>
  <si>
    <t>Doug Baldwin</t>
  </si>
  <si>
    <t>Delanie Walker</t>
  </si>
  <si>
    <t>Jonathan Stewart</t>
  </si>
  <si>
    <t>Tavon Austin</t>
  </si>
  <si>
    <t>6+</t>
  </si>
  <si>
    <t>Ladarius Green</t>
  </si>
  <si>
    <t>Lance Dunbar</t>
  </si>
  <si>
    <t>Steve Smith</t>
  </si>
  <si>
    <t>Jared Cook</t>
  </si>
  <si>
    <t>David Wilson</t>
  </si>
  <si>
    <t>Jarrett Boykin</t>
  </si>
  <si>
    <t>Eric Ebron</t>
  </si>
  <si>
    <t>Shonn Greene</t>
  </si>
  <si>
    <t>Kenny Stills</t>
  </si>
  <si>
    <t>Dwayne Allen</t>
  </si>
  <si>
    <t>Andre Brown</t>
  </si>
  <si>
    <t>Hakeem Nicks</t>
  </si>
  <si>
    <t>Tyler Eifert</t>
  </si>
  <si>
    <t>Knile Davis</t>
  </si>
  <si>
    <t>Kelvin Benjamin</t>
  </si>
  <si>
    <t>Garrett Graham</t>
  </si>
  <si>
    <t>C.J. Anderson</t>
  </si>
  <si>
    <t>Harry Douglas</t>
  </si>
  <si>
    <t>Marcedes Lewis</t>
  </si>
  <si>
    <t>Stepfan Taylor</t>
  </si>
  <si>
    <t>Markus Wheaton</t>
  </si>
  <si>
    <t>Coby Fleener</t>
  </si>
  <si>
    <t>Tre Mason</t>
  </si>
  <si>
    <t>Robert Woods</t>
  </si>
  <si>
    <t>Scott Chandler</t>
  </si>
  <si>
    <t>Christine Michael</t>
  </si>
  <si>
    <t>Rod Streater</t>
  </si>
  <si>
    <t>5-</t>
  </si>
  <si>
    <t>LeGarrette Blount</t>
  </si>
  <si>
    <t>Carlos Hyde</t>
  </si>
  <si>
    <t>9-</t>
  </si>
  <si>
    <t>Justin Hunter</t>
  </si>
  <si>
    <t>ADP</t>
  </si>
  <si>
    <t>RR</t>
  </si>
  <si>
    <t>SDV</t>
  </si>
  <si>
    <t>PS</t>
  </si>
  <si>
    <t>N/A</t>
  </si>
  <si>
    <t>Odell Beckham Jr</t>
  </si>
  <si>
    <t>Donald Brown</t>
  </si>
  <si>
    <t>3+</t>
  </si>
  <si>
    <t>BeerSheet  - 12 Team - 0.5 PPR - 1QB (16) / 2RB (37) / 2WR (46) / 1TE (17) / 1FLX / 1DST / 1PK / 6BN</t>
  </si>
  <si>
    <t>Passing: 4 PPTD, 0.04 PPY, -2 Int, 0 Comp | Rushing: 6 PPTD, 0.1 PPY | Receiving: 6 PPTD, 0.1 PPY, 0.5 PPR | Updated: 2014-07-30</t>
  </si>
  <si>
    <t>My ADP</t>
  </si>
  <si>
    <t>Beer ADP</t>
  </si>
  <si>
    <t>Delta</t>
  </si>
  <si>
    <t>R/Rank</t>
  </si>
  <si>
    <t>Adj. VAL</t>
  </si>
  <si>
    <t>PS Beer</t>
  </si>
  <si>
    <t>PS Me</t>
  </si>
  <si>
    <t>Auto Adj.</t>
  </si>
  <si>
    <t>My Adj.</t>
  </si>
  <si>
    <t>RRB</t>
  </si>
  <si>
    <t>RRM</t>
  </si>
  <si>
    <t>Notes</t>
  </si>
  <si>
    <t>R</t>
  </si>
  <si>
    <t>Rank</t>
  </si>
  <si>
    <t>Picked?</t>
  </si>
  <si>
    <t>QB</t>
  </si>
  <si>
    <t>Michael Vick</t>
  </si>
  <si>
    <t>RB</t>
  </si>
  <si>
    <t>WR</t>
  </si>
  <si>
    <t>TE</t>
  </si>
  <si>
    <t>Picked? (y,"")</t>
  </si>
  <si>
    <t>Combined</t>
  </si>
  <si>
    <t>Now</t>
  </si>
  <si>
    <t>Next Rd</t>
  </si>
  <si>
    <t>Value</t>
  </si>
  <si>
    <t>% scarcity</t>
  </si>
  <si>
    <t>Note: To use real time drafting tool, type y into the Column B next to a player's name when they are selected</t>
  </si>
  <si>
    <t>Step 1: Copy over your BeerSheets to a tab on this Excel sheet. Feel free to create a new tab.</t>
  </si>
  <si>
    <t>Step 2: Copy columns B through AC on your BeerSheet to columns B through AC on the MASTER SHEET tab. Essentially, you want to overwrite the current BeerSheet on the MASTER SHEET with your own</t>
  </si>
  <si>
    <t>Step 3: In column AR (Names), select all the names in the column, and paste them into the Adjustments tab where the names are. I recommend pasting them at the bottom of the current names, then selecting all the names (both the ones that were there previously and the ones you just pasted), going to Data, and then removing duplicates. The Master Sheet will be looking for names in the Adjustments tab, and if you are missing names then it will break the model.</t>
  </si>
  <si>
    <t>Step 4: Use the filters and click on the filter for VAL (column AV). Sort largest to smallest. Overwrite BeerADP (column AP) with 1,2,3,4,5 etc in order instead of what was there before.</t>
  </si>
  <si>
    <t>Note: These adjustments feed into the MASTER SHEET tab</t>
  </si>
  <si>
    <t>Standard Deviation penalties</t>
  </si>
  <si>
    <t>Above:</t>
  </si>
  <si>
    <t>Benefit/Penalty:</t>
  </si>
  <si>
    <t>Below:</t>
  </si>
  <si>
    <t>Note: Keep these in order from high to low if you want SDV penalties and benefits to work properly. Don't leave any blank.</t>
  </si>
  <si>
    <t>Step 5: Use the filters and click on the filter for Adj. VAL (column AU). Sort largest to smallest. You should now be ready to customize your BeerSheets</t>
  </si>
  <si>
    <t>CUSTOMIZATION</t>
  </si>
  <si>
    <t>Step 1: Decide if you want to penalize/benefit for standard deviation. My default adjustments on the Adjustments tab (because I want to penalize when there are wildly different estimates, and benefit when everyone agrees how a player will perform) are in place- they penalize above 1.0, 1.2, 1.5; they benefit below 0.8, 0.6 . You can change your own, but DO NOT DELETE THEM OR MAKE THEM BLANK, and keep them in order from highest to smallest, top to bottom.</t>
  </si>
  <si>
    <t>Step 2: Decide your adjustments to individual players on the Adjustments tab. Remember that your adjustments roughly correlate to expected fantasy points per game. I've found that a 0.5 or -0.5 adjustment is a pretty big one, and can move people quite a bit. A 1.0 or -1.0 adjustment will move them multiple rounds. Most of the time, I found myself making 0.2 or -0.2 adjustments unless I felt really strongly about a player.</t>
  </si>
  <si>
    <t>Step 3: Go back to the MASTER SHEET and click on the filter for Adj. VAL (column AU). Sort largest to smallest again. This will bring your BeerSheets back in order with your adjusted value.</t>
  </si>
  <si>
    <t>Real Time Draft Tool</t>
  </si>
  <si>
    <t>Step 1: Put a "y" next to any name that gets drafted</t>
  </si>
  <si>
    <t>Step 2: I find that using the ctrl-f tool to quickly find players that were drafted helps</t>
  </si>
  <si>
    <t>Step 3: The 3 numbers in each category that are unlabeled are related to the highest value for each position plus some benefit for positional scarcity. I think some of them are based on the positional scarcity of the highest ranked one, and some are by the positional scarcity of one maybe one round down or something? I don't know. But green means my model likes that position, red means it dislikes it, given the values and positional scarcity at each position given who has been drafted.</t>
  </si>
  <si>
    <t>Step 4: But seriously, I'm not actually sure what I did with those numbers above the names. Everything else should be working, hopefully.</t>
  </si>
  <si>
    <t>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</si>
</sst>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8"/>
      <color theme="1"/>
      <name val="Calibri"/>
      <family val="2"/>
      <scheme val="minor"/>
    </font>
    <font>
      <sz val="20"/>
      <color theme="1"/>
      <name val="Calibri"/>
      <family val="2"/>
      <scheme val="minor"/>
    </font>
    <font>
      <b/>
      <sz val="9"/>
      <color indexed="81"/>
      <name val="Tahoma"/>
      <family val="2"/>
    </font>
    <font>
      <sz val="9"/>
      <color indexed="81"/>
      <name val="Tahoma"/>
      <family val="2"/>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217">
    <xf numFmtId="0" fontId="0" fillId="0" borderId="0" xfId="0"/>
    <xf numFmtId="0" fontId="0" fillId="0" borderId="0" xfId="0" applyBorder="1" applyAlignment="1">
      <alignment horizontal="center"/>
    </xf>
    <xf numFmtId="0" fontId="0" fillId="2" borderId="0" xfId="0" applyFill="1" applyBorder="1"/>
    <xf numFmtId="0" fontId="0" fillId="2" borderId="0" xfId="0" applyFill="1" applyBorder="1" applyAlignment="1">
      <alignment horizontal="center"/>
    </xf>
    <xf numFmtId="164" fontId="0" fillId="2" borderId="0" xfId="1" applyNumberFormat="1" applyFont="1" applyFill="1" applyBorder="1" applyAlignment="1">
      <alignment horizontal="center"/>
    </xf>
    <xf numFmtId="1" fontId="0" fillId="2" borderId="0" xfId="0" applyNumberFormat="1" applyFill="1" applyBorder="1" applyAlignment="1">
      <alignment horizontal="center"/>
    </xf>
    <xf numFmtId="0" fontId="0" fillId="2" borderId="0" xfId="0" applyFont="1" applyFill="1" applyBorder="1" applyAlignment="1">
      <alignment horizontal="center"/>
    </xf>
    <xf numFmtId="0" fontId="0" fillId="2" borderId="0" xfId="0" applyFill="1" applyBorder="1" applyAlignment="1"/>
    <xf numFmtId="0" fontId="0" fillId="0" borderId="0" xfId="0" applyFill="1" applyBorder="1" applyAlignment="1">
      <alignment horizontal="center"/>
    </xf>
    <xf numFmtId="14" fontId="0" fillId="0" borderId="0" xfId="0" applyNumberFormat="1"/>
    <xf numFmtId="0" fontId="0" fillId="0" borderId="4"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5" xfId="0" applyFont="1" applyFill="1" applyBorder="1" applyAlignment="1">
      <alignment horizontal="center"/>
    </xf>
    <xf numFmtId="9" fontId="0" fillId="0" borderId="5" xfId="1" applyNumberFormat="1" applyFont="1" applyFill="1" applyBorder="1" applyAlignment="1">
      <alignment horizontal="center"/>
    </xf>
    <xf numFmtId="0" fontId="0" fillId="0" borderId="6" xfId="0" applyFill="1" applyBorder="1" applyAlignment="1">
      <alignment horizontal="center"/>
    </xf>
    <xf numFmtId="0" fontId="0" fillId="0" borderId="7" xfId="0" applyBorder="1" applyAlignment="1">
      <alignment horizontal="center"/>
    </xf>
    <xf numFmtId="0" fontId="0" fillId="0" borderId="7" xfId="0" applyFill="1" applyBorder="1"/>
    <xf numFmtId="0" fontId="0" fillId="0" borderId="8" xfId="0" applyFill="1" applyBorder="1" applyAlignment="1">
      <alignment horizontal="center"/>
    </xf>
    <xf numFmtId="165" fontId="0" fillId="0" borderId="8" xfId="0" applyNumberFormat="1" applyFont="1" applyFill="1" applyBorder="1" applyAlignment="1">
      <alignment horizontal="center"/>
    </xf>
    <xf numFmtId="165" fontId="0" fillId="0" borderId="8" xfId="1" applyNumberFormat="1" applyFont="1" applyFill="1" applyBorder="1" applyAlignment="1">
      <alignment horizontal="center"/>
    </xf>
    <xf numFmtId="0" fontId="0" fillId="0" borderId="9" xfId="0" applyFill="1" applyBorder="1" applyAlignment="1">
      <alignment horizontal="center" vertical="center"/>
    </xf>
    <xf numFmtId="0" fontId="0" fillId="2" borderId="0" xfId="0" applyFill="1" applyBorder="1" applyAlignment="1">
      <alignment horizontal="center" vertical="center"/>
    </xf>
    <xf numFmtId="0" fontId="0" fillId="0" borderId="7" xfId="0" applyFill="1" applyBorder="1" applyAlignment="1">
      <alignment horizontal="center"/>
    </xf>
    <xf numFmtId="1" fontId="0" fillId="0" borderId="0" xfId="0" applyNumberFormat="1"/>
    <xf numFmtId="0" fontId="0" fillId="0" borderId="10" xfId="0" applyBorder="1" applyAlignment="1">
      <alignment horizontal="center"/>
    </xf>
    <xf numFmtId="0" fontId="0" fillId="0" borderId="10" xfId="0" applyFill="1" applyBorder="1"/>
    <xf numFmtId="0" fontId="0" fillId="0" borderId="11" xfId="0" applyFill="1" applyBorder="1" applyAlignment="1">
      <alignment horizontal="center"/>
    </xf>
    <xf numFmtId="165" fontId="0" fillId="0" borderId="11" xfId="0" applyNumberFormat="1" applyFont="1" applyFill="1" applyBorder="1" applyAlignment="1">
      <alignment horizontal="center"/>
    </xf>
    <xf numFmtId="165" fontId="0" fillId="0" borderId="11" xfId="1" applyNumberFormat="1" applyFont="1" applyFill="1" applyBorder="1" applyAlignment="1">
      <alignment horizontal="center"/>
    </xf>
    <xf numFmtId="0" fontId="0" fillId="0" borderId="12" xfId="0" applyFill="1" applyBorder="1" applyAlignment="1">
      <alignment horizontal="center" vertical="center"/>
    </xf>
    <xf numFmtId="0" fontId="0" fillId="0" borderId="10" xfId="0" applyFill="1" applyBorder="1" applyAlignment="1">
      <alignment horizontal="center"/>
    </xf>
    <xf numFmtId="1" fontId="0" fillId="0" borderId="11" xfId="0" applyNumberFormat="1" applyFont="1" applyFill="1" applyBorder="1" applyAlignment="1">
      <alignment horizontal="center"/>
    </xf>
    <xf numFmtId="0" fontId="0" fillId="0" borderId="13" xfId="0" applyFill="1" applyBorder="1"/>
    <xf numFmtId="0" fontId="0" fillId="0" borderId="14" xfId="0" applyFill="1" applyBorder="1" applyAlignment="1">
      <alignment horizontal="center"/>
    </xf>
    <xf numFmtId="165" fontId="0" fillId="0" borderId="14" xfId="0" applyNumberFormat="1" applyFont="1" applyFill="1" applyBorder="1" applyAlignment="1">
      <alignment horizontal="center"/>
    </xf>
    <xf numFmtId="165" fontId="0" fillId="0" borderId="14" xfId="1" applyNumberFormat="1" applyFont="1" applyFill="1" applyBorder="1" applyAlignment="1">
      <alignment horizontal="center"/>
    </xf>
    <xf numFmtId="0" fontId="0" fillId="0" borderId="15" xfId="0" applyFill="1" applyBorder="1" applyAlignment="1">
      <alignment horizontal="center" vertical="center"/>
    </xf>
    <xf numFmtId="0" fontId="0" fillId="0" borderId="0" xfId="0" applyFill="1" applyBorder="1"/>
    <xf numFmtId="165" fontId="0" fillId="0" borderId="0" xfId="0" applyNumberFormat="1" applyFont="1" applyFill="1" applyBorder="1" applyAlignment="1">
      <alignment horizontal="center"/>
    </xf>
    <xf numFmtId="0" fontId="0" fillId="0" borderId="0" xfId="0" applyFill="1" applyBorder="1" applyAlignment="1">
      <alignment horizontal="center" vertical="center"/>
    </xf>
    <xf numFmtId="0" fontId="0" fillId="0" borderId="13" xfId="0" applyBorder="1" applyAlignment="1">
      <alignment horizontal="center"/>
    </xf>
    <xf numFmtId="165" fontId="2" fillId="0" borderId="14" xfId="0" applyNumberFormat="1" applyFont="1" applyFill="1" applyBorder="1" applyAlignment="1">
      <alignment horizontal="center"/>
    </xf>
    <xf numFmtId="0" fontId="0" fillId="0" borderId="13" xfId="0" applyFill="1" applyBorder="1" applyAlignment="1">
      <alignment horizontal="center"/>
    </xf>
    <xf numFmtId="1" fontId="0" fillId="0" borderId="14" xfId="0" applyNumberFormat="1" applyFont="1" applyFill="1" applyBorder="1" applyAlignment="1">
      <alignment horizontal="center"/>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0" fillId="2" borderId="0" xfId="0" applyFill="1" applyBorder="1" applyAlignment="1">
      <alignment horizontal="left" vertical="center"/>
    </xf>
    <xf numFmtId="0" fontId="4" fillId="0" borderId="4" xfId="0" applyFont="1" applyBorder="1" applyAlignment="1">
      <alignment horizontal="left"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0" fontId="0" fillId="0" borderId="0" xfId="0" applyBorder="1"/>
    <xf numFmtId="164" fontId="0" fillId="0" borderId="0" xfId="1" applyNumberFormat="1" applyFont="1" applyBorder="1" applyAlignment="1">
      <alignment horizontal="center"/>
    </xf>
    <xf numFmtId="1" fontId="0" fillId="0" borderId="0" xfId="0" applyNumberFormat="1" applyBorder="1" applyAlignment="1">
      <alignment horizontal="center"/>
    </xf>
    <xf numFmtId="0" fontId="0" fillId="0" borderId="0" xfId="0" applyFont="1" applyBorder="1" applyAlignment="1">
      <alignment horizontal="center"/>
    </xf>
    <xf numFmtId="1" fontId="0" fillId="2" borderId="0" xfId="0" applyNumberFormat="1" applyFont="1" applyFill="1" applyBorder="1" applyAlignment="1">
      <alignment horizontal="center"/>
    </xf>
    <xf numFmtId="0" fontId="0" fillId="0" borderId="0" xfId="0" applyBorder="1" applyAlignment="1"/>
    <xf numFmtId="0" fontId="2" fillId="0" borderId="5" xfId="0" applyFont="1" applyFill="1" applyBorder="1" applyAlignment="1">
      <alignment horizontal="center"/>
    </xf>
    <xf numFmtId="1" fontId="0" fillId="0" borderId="5" xfId="0" applyNumberFormat="1" applyFill="1" applyBorder="1" applyAlignment="1">
      <alignment horizontal="center"/>
    </xf>
    <xf numFmtId="0" fontId="0" fillId="0" borderId="8" xfId="0" applyFont="1" applyFill="1" applyBorder="1" applyAlignment="1">
      <alignment horizontal="center"/>
    </xf>
    <xf numFmtId="165" fontId="2" fillId="0" borderId="8" xfId="0" applyNumberFormat="1" applyFont="1" applyFill="1" applyBorder="1" applyAlignment="1">
      <alignment horizontal="center"/>
    </xf>
    <xf numFmtId="9" fontId="0" fillId="0" borderId="8" xfId="1" applyFont="1" applyFill="1" applyBorder="1" applyAlignment="1">
      <alignment horizontal="center"/>
    </xf>
    <xf numFmtId="0" fontId="0" fillId="0" borderId="0" xfId="0" applyBorder="1" applyAlignment="1">
      <alignment horizontal="center" vertical="center"/>
    </xf>
    <xf numFmtId="0" fontId="0" fillId="0" borderId="11" xfId="0" applyFont="1" applyFill="1" applyBorder="1" applyAlignment="1">
      <alignment horizontal="center"/>
    </xf>
    <xf numFmtId="165" fontId="2" fillId="0" borderId="11" xfId="0" applyNumberFormat="1" applyFont="1" applyFill="1" applyBorder="1" applyAlignment="1">
      <alignment horizontal="center"/>
    </xf>
    <xf numFmtId="9" fontId="0" fillId="0" borderId="11" xfId="1" applyFont="1" applyFill="1" applyBorder="1" applyAlignment="1">
      <alignment horizontal="center"/>
    </xf>
    <xf numFmtId="1" fontId="0" fillId="0" borderId="11" xfId="0" applyNumberFormat="1" applyFill="1" applyBorder="1" applyAlignment="1">
      <alignment horizontal="center"/>
    </xf>
    <xf numFmtId="0" fontId="0" fillId="0" borderId="14" xfId="0" applyFont="1" applyFill="1" applyBorder="1" applyAlignment="1">
      <alignment horizontal="center"/>
    </xf>
    <xf numFmtId="9" fontId="0" fillId="0" borderId="14" xfId="1" applyFont="1" applyFill="1" applyBorder="1" applyAlignment="1">
      <alignment horizontal="center"/>
    </xf>
    <xf numFmtId="0" fontId="0" fillId="0" borderId="0" xfId="0" applyFont="1" applyFill="1" applyBorder="1" applyAlignment="1">
      <alignment horizontal="center"/>
    </xf>
    <xf numFmtId="165" fontId="2" fillId="0" borderId="0" xfId="0" applyNumberFormat="1" applyFont="1" applyFill="1" applyBorder="1" applyAlignment="1">
      <alignment horizontal="center"/>
    </xf>
    <xf numFmtId="9" fontId="0" fillId="0" borderId="0" xfId="1" applyFont="1" applyFill="1" applyBorder="1" applyAlignment="1">
      <alignment horizontal="center"/>
    </xf>
    <xf numFmtId="1" fontId="0" fillId="0" borderId="14" xfId="0" applyNumberFormat="1" applyFill="1" applyBorder="1" applyAlignment="1">
      <alignment horizontal="center"/>
    </xf>
    <xf numFmtId="1" fontId="0" fillId="0" borderId="0" xfId="0" applyNumberFormat="1" applyFont="1" applyBorder="1" applyAlignment="1">
      <alignment horizontal="center"/>
    </xf>
    <xf numFmtId="0" fontId="2" fillId="0" borderId="1" xfId="0" applyFont="1" applyBorder="1" applyAlignment="1">
      <alignment horizontal="center"/>
    </xf>
    <xf numFmtId="0" fontId="0" fillId="0" borderId="0" xfId="0"/>
    <xf numFmtId="0" fontId="0" fillId="0" borderId="0" xfId="0" applyBorder="1" applyAlignment="1">
      <alignment horizontal="center"/>
    </xf>
    <xf numFmtId="0" fontId="0" fillId="2" borderId="0" xfId="0" applyFill="1" applyBorder="1"/>
    <xf numFmtId="0" fontId="0" fillId="2" borderId="0" xfId="0" applyFill="1" applyBorder="1" applyAlignment="1">
      <alignment horizontal="center"/>
    </xf>
    <xf numFmtId="164" fontId="0" fillId="2" borderId="0" xfId="1" applyNumberFormat="1" applyFont="1" applyFill="1" applyBorder="1" applyAlignment="1">
      <alignment horizontal="center"/>
    </xf>
    <xf numFmtId="1" fontId="0" fillId="2" borderId="0" xfId="0" applyNumberFormat="1" applyFill="1" applyBorder="1" applyAlignment="1">
      <alignment horizontal="center"/>
    </xf>
    <xf numFmtId="0" fontId="0" fillId="2" borderId="0" xfId="0" applyFont="1" applyFill="1" applyBorder="1" applyAlignment="1">
      <alignment horizontal="center"/>
    </xf>
    <xf numFmtId="0" fontId="0" fillId="2" borderId="0" xfId="0" applyFill="1" applyBorder="1" applyAlignment="1"/>
    <xf numFmtId="0" fontId="0" fillId="0" borderId="0" xfId="0" applyFill="1" applyBorder="1" applyAlignment="1">
      <alignment horizontal="center"/>
    </xf>
    <xf numFmtId="0" fontId="0" fillId="0" borderId="4"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5" xfId="0" applyFont="1" applyFill="1" applyBorder="1" applyAlignment="1">
      <alignment horizontal="center"/>
    </xf>
    <xf numFmtId="9" fontId="0" fillId="0" borderId="5" xfId="1" applyNumberFormat="1" applyFont="1" applyFill="1" applyBorder="1" applyAlignment="1">
      <alignment horizontal="center"/>
    </xf>
    <xf numFmtId="0" fontId="0" fillId="0" borderId="6" xfId="0" applyFill="1" applyBorder="1" applyAlignment="1">
      <alignment horizontal="center"/>
    </xf>
    <xf numFmtId="0" fontId="0" fillId="0" borderId="7" xfId="0" applyBorder="1" applyAlignment="1">
      <alignment horizontal="center"/>
    </xf>
    <xf numFmtId="0" fontId="0" fillId="0" borderId="7" xfId="0" applyFill="1" applyBorder="1"/>
    <xf numFmtId="0" fontId="0" fillId="0" borderId="8" xfId="0" applyFill="1" applyBorder="1" applyAlignment="1">
      <alignment horizontal="center"/>
    </xf>
    <xf numFmtId="165" fontId="0" fillId="0" borderId="8" xfId="0" applyNumberFormat="1" applyFont="1" applyFill="1" applyBorder="1" applyAlignment="1">
      <alignment horizontal="center"/>
    </xf>
    <xf numFmtId="165" fontId="0" fillId="0" borderId="8" xfId="1" applyNumberFormat="1" applyFont="1" applyFill="1" applyBorder="1" applyAlignment="1">
      <alignment horizontal="center"/>
    </xf>
    <xf numFmtId="0" fontId="0" fillId="0" borderId="9" xfId="0" applyFill="1" applyBorder="1" applyAlignment="1">
      <alignment horizontal="center" vertical="center"/>
    </xf>
    <xf numFmtId="0" fontId="0" fillId="2" borderId="0" xfId="0" applyFill="1" applyBorder="1" applyAlignment="1">
      <alignment horizontal="center" vertical="center"/>
    </xf>
    <xf numFmtId="0" fontId="0" fillId="0" borderId="7" xfId="0" applyFill="1" applyBorder="1" applyAlignment="1">
      <alignment horizontal="center"/>
    </xf>
    <xf numFmtId="0" fontId="0" fillId="0" borderId="10" xfId="0" applyBorder="1" applyAlignment="1">
      <alignment horizontal="center"/>
    </xf>
    <xf numFmtId="0" fontId="0" fillId="0" borderId="10" xfId="0" applyFill="1" applyBorder="1"/>
    <xf numFmtId="0" fontId="0" fillId="0" borderId="11" xfId="0" applyFill="1" applyBorder="1" applyAlignment="1">
      <alignment horizontal="center"/>
    </xf>
    <xf numFmtId="165" fontId="0" fillId="0" borderId="11" xfId="0" applyNumberFormat="1" applyFont="1" applyFill="1" applyBorder="1" applyAlignment="1">
      <alignment horizontal="center"/>
    </xf>
    <xf numFmtId="165" fontId="0" fillId="0" borderId="11" xfId="1" applyNumberFormat="1" applyFont="1" applyFill="1" applyBorder="1" applyAlignment="1">
      <alignment horizontal="center"/>
    </xf>
    <xf numFmtId="0" fontId="0" fillId="0" borderId="12" xfId="0" applyFill="1" applyBorder="1" applyAlignment="1">
      <alignment horizontal="center" vertical="center"/>
    </xf>
    <xf numFmtId="0" fontId="0" fillId="0" borderId="10" xfId="0" applyFill="1" applyBorder="1" applyAlignment="1">
      <alignment horizontal="center"/>
    </xf>
    <xf numFmtId="1" fontId="0" fillId="0" borderId="11" xfId="0" applyNumberFormat="1" applyFont="1" applyFill="1" applyBorder="1" applyAlignment="1">
      <alignment horizontal="center"/>
    </xf>
    <xf numFmtId="0" fontId="0" fillId="0" borderId="13" xfId="0" applyFill="1" applyBorder="1"/>
    <xf numFmtId="0" fontId="0" fillId="0" borderId="14" xfId="0" applyFill="1" applyBorder="1" applyAlignment="1">
      <alignment horizontal="center"/>
    </xf>
    <xf numFmtId="165" fontId="0" fillId="0" borderId="14" xfId="0" applyNumberFormat="1" applyFont="1" applyFill="1" applyBorder="1" applyAlignment="1">
      <alignment horizontal="center"/>
    </xf>
    <xf numFmtId="165" fontId="0" fillId="0" borderId="14" xfId="1" applyNumberFormat="1" applyFont="1" applyFill="1" applyBorder="1" applyAlignment="1">
      <alignment horizontal="center"/>
    </xf>
    <xf numFmtId="0" fontId="0" fillId="0" borderId="15" xfId="0" applyFill="1" applyBorder="1" applyAlignment="1">
      <alignment horizontal="center" vertical="center"/>
    </xf>
    <xf numFmtId="0" fontId="0" fillId="0" borderId="0" xfId="0" applyFill="1" applyBorder="1"/>
    <xf numFmtId="165" fontId="0" fillId="0" borderId="0" xfId="0" applyNumberFormat="1" applyFont="1" applyFill="1" applyBorder="1" applyAlignment="1">
      <alignment horizontal="center"/>
    </xf>
    <xf numFmtId="0" fontId="0" fillId="0" borderId="0" xfId="0" applyFill="1" applyBorder="1" applyAlignment="1">
      <alignment horizontal="center" vertical="center"/>
    </xf>
    <xf numFmtId="0" fontId="0" fillId="0" borderId="13" xfId="0" applyBorder="1" applyAlignment="1">
      <alignment horizontal="center"/>
    </xf>
    <xf numFmtId="165" fontId="2" fillId="0" borderId="14" xfId="0" applyNumberFormat="1" applyFont="1" applyFill="1" applyBorder="1" applyAlignment="1">
      <alignment horizontal="center"/>
    </xf>
    <xf numFmtId="1" fontId="0" fillId="0" borderId="14" xfId="0" applyNumberFormat="1" applyFont="1" applyFill="1" applyBorder="1" applyAlignment="1">
      <alignment horizontal="center"/>
    </xf>
    <xf numFmtId="0" fontId="0" fillId="0" borderId="0" xfId="0" applyBorder="1"/>
    <xf numFmtId="164" fontId="0" fillId="0" borderId="0" xfId="1" applyNumberFormat="1" applyFont="1" applyBorder="1" applyAlignment="1">
      <alignment horizontal="center"/>
    </xf>
    <xf numFmtId="1" fontId="0" fillId="0" borderId="0" xfId="0" applyNumberFormat="1" applyBorder="1" applyAlignment="1">
      <alignment horizontal="center"/>
    </xf>
    <xf numFmtId="0" fontId="0" fillId="0" borderId="0" xfId="0" applyFont="1" applyBorder="1" applyAlignment="1">
      <alignment horizontal="center"/>
    </xf>
    <xf numFmtId="0" fontId="0" fillId="0" borderId="13" xfId="0" applyFill="1" applyBorder="1" applyAlignment="1">
      <alignment horizontal="center"/>
    </xf>
    <xf numFmtId="0" fontId="4" fillId="0" borderId="1" xfId="0" applyFont="1" applyBorder="1" applyAlignment="1">
      <alignment horizontal="left"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2" borderId="3" xfId="0" applyFont="1" applyFill="1" applyBorder="1" applyAlignment="1">
      <alignment horizontal="left" vertical="center"/>
    </xf>
    <xf numFmtId="0" fontId="0" fillId="2" borderId="0" xfId="0" applyFill="1" applyBorder="1" applyAlignment="1">
      <alignment horizontal="left" vertical="center"/>
    </xf>
    <xf numFmtId="0" fontId="4" fillId="0" borderId="4" xfId="0" applyFont="1" applyBorder="1" applyAlignment="1">
      <alignment horizontal="left" vertical="center"/>
    </xf>
    <xf numFmtId="0" fontId="4" fillId="2" borderId="4" xfId="0" applyFont="1" applyFill="1" applyBorder="1" applyAlignment="1">
      <alignment horizontal="left" vertical="center"/>
    </xf>
    <xf numFmtId="0" fontId="4" fillId="2" borderId="5" xfId="0" applyFont="1" applyFill="1" applyBorder="1" applyAlignment="1">
      <alignment horizontal="left" vertical="center"/>
    </xf>
    <xf numFmtId="0" fontId="4" fillId="2" borderId="6" xfId="0" applyFont="1" applyFill="1" applyBorder="1" applyAlignment="1">
      <alignment horizontal="left" vertical="center"/>
    </xf>
    <xf numFmtId="1" fontId="0" fillId="2" borderId="0" xfId="0" applyNumberFormat="1" applyFont="1" applyFill="1" applyBorder="1" applyAlignment="1">
      <alignment horizontal="center"/>
    </xf>
    <xf numFmtId="0" fontId="2" fillId="0" borderId="5" xfId="0" applyFont="1" applyFill="1" applyBorder="1" applyAlignment="1">
      <alignment horizontal="center"/>
    </xf>
    <xf numFmtId="1" fontId="0" fillId="0" borderId="5" xfId="0" applyNumberFormat="1" applyFill="1" applyBorder="1" applyAlignment="1">
      <alignment horizontal="center"/>
    </xf>
    <xf numFmtId="0" fontId="0" fillId="0" borderId="8" xfId="0" applyFont="1" applyFill="1" applyBorder="1" applyAlignment="1">
      <alignment horizontal="center"/>
    </xf>
    <xf numFmtId="165" fontId="2" fillId="0" borderId="8" xfId="0" applyNumberFormat="1" applyFont="1" applyFill="1" applyBorder="1" applyAlignment="1">
      <alignment horizontal="center"/>
    </xf>
    <xf numFmtId="9" fontId="0" fillId="0" borderId="8" xfId="1" applyFont="1" applyFill="1" applyBorder="1" applyAlignment="1">
      <alignment horizontal="center"/>
    </xf>
    <xf numFmtId="0" fontId="0" fillId="0" borderId="11" xfId="0" applyFont="1" applyFill="1" applyBorder="1" applyAlignment="1">
      <alignment horizontal="center"/>
    </xf>
    <xf numFmtId="165" fontId="2" fillId="0" borderId="11" xfId="0" applyNumberFormat="1" applyFont="1" applyFill="1" applyBorder="1" applyAlignment="1">
      <alignment horizontal="center"/>
    </xf>
    <xf numFmtId="9" fontId="0" fillId="0" borderId="11" xfId="1" applyFont="1" applyFill="1" applyBorder="1" applyAlignment="1">
      <alignment horizontal="center"/>
    </xf>
    <xf numFmtId="1" fontId="0" fillId="0" borderId="11" xfId="0" applyNumberFormat="1" applyFill="1" applyBorder="1" applyAlignment="1">
      <alignment horizontal="center"/>
    </xf>
    <xf numFmtId="0" fontId="0" fillId="0" borderId="14" xfId="0" applyFont="1" applyFill="1" applyBorder="1" applyAlignment="1">
      <alignment horizontal="center"/>
    </xf>
    <xf numFmtId="9" fontId="0" fillId="0" borderId="14" xfId="1" applyFont="1" applyFill="1" applyBorder="1" applyAlignment="1">
      <alignment horizontal="center"/>
    </xf>
    <xf numFmtId="0" fontId="0" fillId="0" borderId="0" xfId="0" applyFont="1" applyFill="1" applyBorder="1" applyAlignment="1">
      <alignment horizontal="center"/>
    </xf>
    <xf numFmtId="165" fontId="2" fillId="0" borderId="0" xfId="0" applyNumberFormat="1" applyFont="1" applyFill="1" applyBorder="1" applyAlignment="1">
      <alignment horizontal="center"/>
    </xf>
    <xf numFmtId="9" fontId="0" fillId="0" borderId="0" xfId="1" applyFont="1" applyFill="1" applyBorder="1" applyAlignment="1">
      <alignment horizontal="center"/>
    </xf>
    <xf numFmtId="0" fontId="2" fillId="0" borderId="1" xfId="0" applyFont="1" applyBorder="1" applyAlignment="1">
      <alignment horizontal="center"/>
    </xf>
    <xf numFmtId="1" fontId="0" fillId="0" borderId="14" xfId="0" applyNumberFormat="1" applyFill="1" applyBorder="1" applyAlignment="1">
      <alignment horizontal="center"/>
    </xf>
    <xf numFmtId="1" fontId="0" fillId="0" borderId="0" xfId="0" applyNumberFormat="1" applyFont="1" applyBorder="1" applyAlignment="1">
      <alignment horizontal="center"/>
    </xf>
    <xf numFmtId="2" fontId="0" fillId="0" borderId="0" xfId="0" applyNumberFormat="1"/>
    <xf numFmtId="0" fontId="0" fillId="0" borderId="0" xfId="0" applyAlignment="1">
      <alignment horizontal="center"/>
    </xf>
    <xf numFmtId="165" fontId="0" fillId="0" borderId="0" xfId="0" applyNumberFormat="1" applyBorder="1" applyAlignment="1">
      <alignment horizontal="center"/>
    </xf>
    <xf numFmtId="165" fontId="0" fillId="0" borderId="5" xfId="0" applyNumberFormat="1" applyBorder="1" applyAlignment="1">
      <alignment horizontal="center"/>
    </xf>
    <xf numFmtId="0" fontId="2" fillId="0" borderId="0" xfId="0" applyFont="1" applyFill="1" applyBorder="1" applyAlignment="1">
      <alignment horizontal="center"/>
    </xf>
    <xf numFmtId="0" fontId="2" fillId="0" borderId="2" xfId="0" applyFont="1" applyBorder="1" applyAlignment="1">
      <alignment horizontal="center"/>
    </xf>
    <xf numFmtId="4" fontId="0" fillId="0" borderId="0" xfId="0" applyNumberForma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164" fontId="0" fillId="0" borderId="17" xfId="1" applyNumberFormat="1" applyFont="1" applyBorder="1" applyAlignment="1">
      <alignment horizontal="center"/>
    </xf>
    <xf numFmtId="164" fontId="0" fillId="0" borderId="6" xfId="1" applyNumberFormat="1" applyFont="1" applyBorder="1" applyAlignment="1">
      <alignment horizontal="center"/>
    </xf>
    <xf numFmtId="164" fontId="0" fillId="0" borderId="5" xfId="1" applyNumberFormat="1" applyFont="1" applyBorder="1" applyAlignment="1">
      <alignment horizontal="center"/>
    </xf>
    <xf numFmtId="0" fontId="0" fillId="0" borderId="16" xfId="0" applyBorder="1" applyAlignment="1">
      <alignment horizontal="left"/>
    </xf>
    <xf numFmtId="0" fontId="0" fillId="0" borderId="4" xfId="0" applyBorder="1" applyAlignment="1">
      <alignment horizontal="left"/>
    </xf>
    <xf numFmtId="4" fontId="0" fillId="0" borderId="0" xfId="0" applyNumberFormat="1" applyFont="1" applyBorder="1" applyAlignment="1">
      <alignment horizontal="center"/>
    </xf>
    <xf numFmtId="0" fontId="2" fillId="0" borderId="3" xfId="0" applyFont="1" applyBorder="1" applyAlignment="1">
      <alignment horizontal="center"/>
    </xf>
    <xf numFmtId="9" fontId="0" fillId="0" borderId="0" xfId="1" applyFont="1" applyAlignment="1">
      <alignment horizontal="center"/>
    </xf>
    <xf numFmtId="2" fontId="0" fillId="0" borderId="0" xfId="0" applyNumberFormat="1" applyAlignment="1">
      <alignment horizontal="center"/>
    </xf>
    <xf numFmtId="2" fontId="0" fillId="0" borderId="0" xfId="0" applyNumberFormat="1" applyBorder="1" applyAlignment="1">
      <alignment horizontal="center"/>
    </xf>
    <xf numFmtId="0" fontId="2" fillId="0" borderId="0" xfId="0" applyFont="1" applyAlignment="1">
      <alignment horizontal="center"/>
    </xf>
    <xf numFmtId="0" fontId="2" fillId="0" borderId="0" xfId="0" applyFont="1" applyBorder="1" applyAlignment="1">
      <alignment horizontal="center"/>
    </xf>
    <xf numFmtId="4" fontId="0" fillId="0" borderId="4" xfId="0" applyNumberFormat="1" applyFont="1" applyBorder="1" applyAlignment="1">
      <alignment horizontal="center"/>
    </xf>
    <xf numFmtId="4" fontId="0" fillId="0" borderId="5" xfId="0" applyNumberFormat="1" applyFont="1" applyBorder="1" applyAlignment="1">
      <alignment horizontal="center"/>
    </xf>
    <xf numFmtId="4" fontId="0" fillId="0" borderId="6" xfId="0" applyNumberFormat="1" applyFont="1" applyBorder="1" applyAlignment="1">
      <alignment horizontal="center"/>
    </xf>
    <xf numFmtId="9" fontId="0" fillId="0" borderId="0" xfId="1" applyNumberFormat="1" applyFont="1" applyAlignment="1">
      <alignment horizontal="center"/>
    </xf>
    <xf numFmtId="9" fontId="2" fillId="0" borderId="0" xfId="1" applyNumberFormat="1" applyFont="1" applyFill="1" applyBorder="1" applyAlignment="1">
      <alignment horizontal="center"/>
    </xf>
    <xf numFmtId="0" fontId="2" fillId="0"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14" fontId="2" fillId="2" borderId="4" xfId="0" applyNumberFormat="1" applyFont="1" applyFill="1" applyBorder="1" applyAlignment="1">
      <alignment horizontal="center"/>
    </xf>
    <xf numFmtId="14" fontId="2" fillId="2" borderId="5" xfId="0" applyNumberFormat="1" applyFont="1" applyFill="1" applyBorder="1" applyAlignment="1">
      <alignment horizontal="center"/>
    </xf>
    <xf numFmtId="14" fontId="2" fillId="2" borderId="6" xfId="0" applyNumberFormat="1" applyFont="1" applyFill="1" applyBorder="1" applyAlignment="1">
      <alignment horizontal="center"/>
    </xf>
    <xf numFmtId="0" fontId="2" fillId="0" borderId="1" xfId="0" applyFont="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0" fillId="0" borderId="0" xfId="0" applyAlignment="1">
      <alignment wrapText="1"/>
    </xf>
    <xf numFmtId="0" fontId="0" fillId="0" borderId="0" xfId="0" applyAlignment="1">
      <alignment horizontal="left" wrapText="1"/>
    </xf>
    <xf numFmtId="0" fontId="0" fillId="4" borderId="0" xfId="0" applyFill="1"/>
    <xf numFmtId="0" fontId="0" fillId="4" borderId="0" xfId="0" applyFill="1" applyAlignment="1">
      <alignment horizontal="center"/>
    </xf>
    <xf numFmtId="165" fontId="0" fillId="4" borderId="0" xfId="0" applyNumberFormat="1" applyFill="1" applyAlignment="1">
      <alignment horizontal="center"/>
    </xf>
    <xf numFmtId="9" fontId="0" fillId="4" borderId="0" xfId="1" applyFont="1" applyFill="1" applyAlignment="1">
      <alignment horizontal="center"/>
    </xf>
    <xf numFmtId="0" fontId="3" fillId="4" borderId="0" xfId="0" applyFont="1" applyFill="1" applyBorder="1" applyAlignment="1">
      <alignment horizontal="center"/>
    </xf>
    <xf numFmtId="14" fontId="2" fillId="4" borderId="0" xfId="0" applyNumberFormat="1" applyFont="1" applyFill="1" applyBorder="1" applyAlignment="1">
      <alignment horizontal="center"/>
    </xf>
    <xf numFmtId="0" fontId="0" fillId="4" borderId="0" xfId="0" applyFill="1" applyBorder="1"/>
    <xf numFmtId="0" fontId="0" fillId="4" borderId="0" xfId="0" applyFill="1" applyBorder="1" applyAlignment="1">
      <alignment horizontal="center"/>
    </xf>
    <xf numFmtId="0" fontId="0" fillId="4" borderId="0" xfId="0" applyFill="1" applyBorder="1" applyAlignment="1">
      <alignment horizontal="center" vertical="center"/>
    </xf>
    <xf numFmtId="0" fontId="2" fillId="3" borderId="0" xfId="0" applyFont="1" applyFill="1" applyBorder="1" applyAlignment="1">
      <alignment horizontal="center"/>
    </xf>
    <xf numFmtId="0" fontId="2" fillId="4" borderId="0" xfId="0" applyFont="1" applyFill="1" applyBorder="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4" xfId="0" applyBorder="1"/>
    <xf numFmtId="4" fontId="0" fillId="0" borderId="18" xfId="0" applyNumberFormat="1" applyBorder="1"/>
    <xf numFmtId="4" fontId="0" fillId="0" borderId="0" xfId="0" applyNumberFormat="1" applyBorder="1"/>
    <xf numFmtId="4" fontId="0" fillId="0" borderId="19" xfId="0" applyNumberFormat="1" applyBorder="1"/>
    <xf numFmtId="4" fontId="0" fillId="0" borderId="23" xfId="0" applyNumberFormat="1" applyBorder="1"/>
    <xf numFmtId="4" fontId="0" fillId="0" borderId="21" xfId="0" applyNumberFormat="1" applyBorder="1"/>
    <xf numFmtId="4" fontId="0" fillId="0" borderId="25" xfId="0" applyNumberForma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Kevin's%20Stuff/Fantasy%20Football/2014/BeerSheets/BeerSheet%20Main%202014-07-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Kevin's%20Stuff/Fantasy%20Football/2014/BeerSheets/BeerSheet%20Main%202014-07-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Redraft"/>
      <sheetName val="Redraft (BIG)"/>
      <sheetName val="Auction"/>
      <sheetName val="Auction (BIG)"/>
      <sheetName val="QB"/>
      <sheetName val="RB"/>
      <sheetName val="WR"/>
      <sheetName val="TE"/>
      <sheetName val="FanPro ADP STD"/>
      <sheetName val="FanPro ADP PPR"/>
      <sheetName val="Players"/>
      <sheetName val="DraftCalc"/>
      <sheetName val="4For4"/>
      <sheetName val="DoddsQB"/>
      <sheetName val="DoddsFLX"/>
      <sheetName val="HenryQB"/>
      <sheetName val="HenryFLX"/>
      <sheetName val="WoodQB"/>
      <sheetName val="WoodFLX"/>
      <sheetName val="TremblayQB"/>
      <sheetName val="TremblayFLX"/>
      <sheetName val="FantasySharks"/>
      <sheetName val="EisenbergQB"/>
      <sheetName val="EisenbergRB"/>
      <sheetName val="EisenbergWR"/>
      <sheetName val="EisenbergTE"/>
      <sheetName val="RichardQB"/>
      <sheetName val="RichardRB"/>
      <sheetName val="RichardWR"/>
      <sheetName val="RichardTE"/>
      <sheetName val="ESPN"/>
      <sheetName val="Gridiron"/>
      <sheetName val="FFTodayQB"/>
      <sheetName val="FFTodayRB"/>
      <sheetName val="FFTodayWR"/>
      <sheetName val="FFTodayTE"/>
      <sheetName val="Rank"/>
      <sheetName val="2011 Weekly"/>
      <sheetName val="2012 Weekly"/>
      <sheetName val="2013 Weekly"/>
      <sheetName val="2011"/>
      <sheetName val="2012"/>
      <sheetName val="2013"/>
    </sheetNames>
    <sheetDataSet>
      <sheetData sheetId="0">
        <row r="2">
          <cell r="A2">
            <v>42</v>
          </cell>
          <cell r="C2">
            <v>2</v>
          </cell>
          <cell r="G2">
            <v>4</v>
          </cell>
        </row>
        <row r="3">
          <cell r="A3">
            <v>34</v>
          </cell>
          <cell r="C3">
            <v>2</v>
          </cell>
          <cell r="G3">
            <v>6</v>
          </cell>
        </row>
        <row r="4">
          <cell r="A4">
            <v>49</v>
          </cell>
          <cell r="C4">
            <v>2</v>
          </cell>
          <cell r="G4">
            <v>6</v>
          </cell>
        </row>
        <row r="5">
          <cell r="A5">
            <v>17</v>
          </cell>
          <cell r="C5">
            <v>1</v>
          </cell>
          <cell r="G5">
            <v>0.04</v>
          </cell>
        </row>
        <row r="6">
          <cell r="C6">
            <v>1</v>
          </cell>
          <cell r="G6">
            <v>0.1</v>
          </cell>
        </row>
        <row r="7">
          <cell r="C7">
            <v>1</v>
          </cell>
          <cell r="G7">
            <v>0.1</v>
          </cell>
        </row>
        <row r="8">
          <cell r="C8">
            <v>1</v>
          </cell>
          <cell r="G8">
            <v>-2</v>
          </cell>
        </row>
        <row r="9">
          <cell r="C9">
            <v>6</v>
          </cell>
          <cell r="G9">
            <v>0</v>
          </cell>
        </row>
        <row r="10">
          <cell r="B10">
            <v>12</v>
          </cell>
          <cell r="G10">
            <v>-2</v>
          </cell>
        </row>
        <row r="11">
          <cell r="B11">
            <v>1</v>
          </cell>
        </row>
        <row r="12">
          <cell r="B12">
            <v>41832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INPUT"/>
      <sheetName val="Redraft"/>
      <sheetName val="Redraft (BIG) (2)"/>
      <sheetName val="Redraft (BIG)"/>
      <sheetName val="Auction"/>
      <sheetName val="Auction (BIG)"/>
      <sheetName val="QB"/>
      <sheetName val="RB"/>
      <sheetName val="WR"/>
      <sheetName val="TE"/>
      <sheetName val="FanPro ADP STD"/>
      <sheetName val="FanPro ADP PPR"/>
      <sheetName val="4For4"/>
      <sheetName val="DoddsQB"/>
      <sheetName val="DoddsFLX"/>
      <sheetName val="HenryQB"/>
      <sheetName val="HenryFLX"/>
      <sheetName val="WoodQB"/>
      <sheetName val="WoodFLX"/>
      <sheetName val="TremblayQB"/>
      <sheetName val="TremblayFLX"/>
      <sheetName val="FantasySharks"/>
      <sheetName val="EisenbergQB"/>
      <sheetName val="EisenbergRB"/>
      <sheetName val="EisenbergWR"/>
      <sheetName val="EisenbergTE"/>
      <sheetName val="RichardQB"/>
      <sheetName val="RichardRB"/>
      <sheetName val="RichardWR"/>
      <sheetName val="RichardTE"/>
      <sheetName val="ESPN"/>
      <sheetName val="Gridiron"/>
      <sheetName val="FFTodayQB"/>
      <sheetName val="FFTodayRB"/>
      <sheetName val="FFTodayWR"/>
      <sheetName val="FFTodayTE"/>
      <sheetName val="Numberfire"/>
      <sheetName val="Rank"/>
      <sheetName val="Players"/>
      <sheetName val="2011 Weekly"/>
      <sheetName val="2012 Weekly"/>
      <sheetName val="2013 Weekly"/>
      <sheetName val="2011"/>
      <sheetName val="2012"/>
      <sheetName val="2013"/>
    </sheetNames>
    <sheetDataSet>
      <sheetData sheetId="0">
        <row r="2">
          <cell r="A2">
            <v>7</v>
          </cell>
          <cell r="C2">
            <v>1</v>
          </cell>
          <cell r="G2">
            <v>4</v>
          </cell>
        </row>
        <row r="3">
          <cell r="A3">
            <v>20</v>
          </cell>
          <cell r="C3">
            <v>2</v>
          </cell>
          <cell r="G3">
            <v>6</v>
          </cell>
        </row>
        <row r="4">
          <cell r="A4">
            <v>23</v>
          </cell>
          <cell r="C4">
            <v>3</v>
          </cell>
          <cell r="G4">
            <v>6</v>
          </cell>
        </row>
        <row r="5">
          <cell r="A5">
            <v>7</v>
          </cell>
          <cell r="C5">
            <v>1</v>
          </cell>
          <cell r="G5">
            <v>0.04</v>
          </cell>
        </row>
        <row r="6">
          <cell r="C6">
            <v>1</v>
          </cell>
          <cell r="G6">
            <v>0.1</v>
          </cell>
        </row>
        <row r="7">
          <cell r="C7">
            <v>1</v>
          </cell>
          <cell r="G7">
            <v>0.1</v>
          </cell>
        </row>
        <row r="8">
          <cell r="C8">
            <v>0</v>
          </cell>
          <cell r="G8">
            <v>-2</v>
          </cell>
        </row>
        <row r="9">
          <cell r="C9">
            <v>6</v>
          </cell>
          <cell r="G9">
            <v>0</v>
          </cell>
        </row>
        <row r="10">
          <cell r="B10">
            <v>6</v>
          </cell>
          <cell r="G10">
            <v>-2</v>
          </cell>
        </row>
        <row r="11">
          <cell r="B11">
            <v>0</v>
          </cell>
        </row>
        <row r="12">
          <cell r="B12">
            <v>41850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J58"/>
  <sheetViews>
    <sheetView tabSelected="1" workbookViewId="0">
      <selection activeCell="B3" sqref="B3"/>
    </sheetView>
  </sheetViews>
  <sheetFormatPr defaultRowHeight="15" x14ac:dyDescent="0.25"/>
  <sheetData>
    <row r="2" spans="2:10" s="78" customFormat="1" x14ac:dyDescent="0.25">
      <c r="B2" s="78" t="s">
        <v>289</v>
      </c>
    </row>
    <row r="4" spans="2:10" x14ac:dyDescent="0.25">
      <c r="B4" t="s">
        <v>269</v>
      </c>
    </row>
    <row r="6" spans="2:10" ht="15" customHeight="1" x14ac:dyDescent="0.25">
      <c r="B6" s="193" t="s">
        <v>270</v>
      </c>
      <c r="C6" s="193"/>
      <c r="D6" s="193"/>
      <c r="E6" s="193"/>
      <c r="F6" s="193"/>
      <c r="G6" s="193"/>
      <c r="H6" s="193"/>
      <c r="I6" s="193"/>
      <c r="J6" s="193"/>
    </row>
    <row r="7" spans="2:10" x14ac:dyDescent="0.25">
      <c r="B7" s="193"/>
      <c r="C7" s="193"/>
      <c r="D7" s="193"/>
      <c r="E7" s="193"/>
      <c r="F7" s="193"/>
      <c r="G7" s="193"/>
      <c r="H7" s="193"/>
      <c r="I7" s="193"/>
      <c r="J7" s="193"/>
    </row>
    <row r="8" spans="2:10" x14ac:dyDescent="0.25">
      <c r="B8" s="193"/>
      <c r="C8" s="193"/>
      <c r="D8" s="193"/>
      <c r="E8" s="193"/>
      <c r="F8" s="193"/>
      <c r="G8" s="193"/>
      <c r="H8" s="193"/>
      <c r="I8" s="193"/>
      <c r="J8" s="193"/>
    </row>
    <row r="10" spans="2:10" ht="15" customHeight="1" x14ac:dyDescent="0.25">
      <c r="B10" s="193" t="s">
        <v>271</v>
      </c>
      <c r="C10" s="193"/>
      <c r="D10" s="193"/>
      <c r="E10" s="193"/>
      <c r="F10" s="193"/>
      <c r="G10" s="193"/>
      <c r="H10" s="193"/>
      <c r="I10" s="193"/>
      <c r="J10" s="193"/>
    </row>
    <row r="11" spans="2:10" x14ac:dyDescent="0.25">
      <c r="B11" s="193"/>
      <c r="C11" s="193"/>
      <c r="D11" s="193"/>
      <c r="E11" s="193"/>
      <c r="F11" s="193"/>
      <c r="G11" s="193"/>
      <c r="H11" s="193"/>
      <c r="I11" s="193"/>
      <c r="J11" s="193"/>
    </row>
    <row r="12" spans="2:10" x14ac:dyDescent="0.25">
      <c r="B12" s="193"/>
      <c r="C12" s="193"/>
      <c r="D12" s="193"/>
      <c r="E12" s="193"/>
      <c r="F12" s="193"/>
      <c r="G12" s="193"/>
      <c r="H12" s="193"/>
      <c r="I12" s="193"/>
      <c r="J12" s="193"/>
    </row>
    <row r="13" spans="2:10" x14ac:dyDescent="0.25">
      <c r="B13" s="193"/>
      <c r="C13" s="193"/>
      <c r="D13" s="193"/>
      <c r="E13" s="193"/>
      <c r="F13" s="193"/>
      <c r="G13" s="193"/>
      <c r="H13" s="193"/>
      <c r="I13" s="193"/>
      <c r="J13" s="193"/>
    </row>
    <row r="14" spans="2:10" x14ac:dyDescent="0.25">
      <c r="B14" s="193"/>
      <c r="C14" s="193"/>
      <c r="D14" s="193"/>
      <c r="E14" s="193"/>
      <c r="F14" s="193"/>
      <c r="G14" s="193"/>
      <c r="H14" s="193"/>
      <c r="I14" s="193"/>
      <c r="J14" s="193"/>
    </row>
    <row r="15" spans="2:10" x14ac:dyDescent="0.25">
      <c r="B15" s="193"/>
      <c r="C15" s="193"/>
      <c r="D15" s="193"/>
      <c r="E15" s="193"/>
      <c r="F15" s="193"/>
      <c r="G15" s="193"/>
      <c r="H15" s="193"/>
      <c r="I15" s="193"/>
      <c r="J15" s="193"/>
    </row>
    <row r="16" spans="2:10" x14ac:dyDescent="0.25">
      <c r="B16" s="192"/>
      <c r="C16" s="192"/>
      <c r="D16" s="192"/>
      <c r="E16" s="192"/>
      <c r="F16" s="192"/>
      <c r="G16" s="192"/>
      <c r="H16" s="192"/>
      <c r="I16" s="192"/>
      <c r="J16" s="192"/>
    </row>
    <row r="17" spans="2:10" x14ac:dyDescent="0.25">
      <c r="B17" s="193" t="s">
        <v>272</v>
      </c>
      <c r="C17" s="193"/>
      <c r="D17" s="193"/>
      <c r="E17" s="193"/>
      <c r="F17" s="193"/>
      <c r="G17" s="193"/>
      <c r="H17" s="193"/>
      <c r="I17" s="193"/>
      <c r="J17" s="193"/>
    </row>
    <row r="18" spans="2:10" x14ac:dyDescent="0.25">
      <c r="B18" s="193"/>
      <c r="C18" s="193"/>
      <c r="D18" s="193"/>
      <c r="E18" s="193"/>
      <c r="F18" s="193"/>
      <c r="G18" s="193"/>
      <c r="H18" s="193"/>
      <c r="I18" s="193"/>
      <c r="J18" s="193"/>
    </row>
    <row r="20" spans="2:10" x14ac:dyDescent="0.25">
      <c r="B20" s="193" t="s">
        <v>279</v>
      </c>
      <c r="C20" s="193"/>
      <c r="D20" s="193"/>
      <c r="E20" s="193"/>
      <c r="F20" s="193"/>
      <c r="G20" s="193"/>
      <c r="H20" s="193"/>
      <c r="I20" s="193"/>
      <c r="J20" s="193"/>
    </row>
    <row r="21" spans="2:10" x14ac:dyDescent="0.25">
      <c r="B21" s="193"/>
      <c r="C21" s="193"/>
      <c r="D21" s="193"/>
      <c r="E21" s="193"/>
      <c r="F21" s="193"/>
      <c r="G21" s="193"/>
      <c r="H21" s="193"/>
      <c r="I21" s="193"/>
      <c r="J21" s="193"/>
    </row>
    <row r="24" spans="2:10" x14ac:dyDescent="0.25">
      <c r="B24" t="s">
        <v>280</v>
      </c>
    </row>
    <row r="26" spans="2:10" ht="15" customHeight="1" x14ac:dyDescent="0.25">
      <c r="B26" s="193" t="s">
        <v>281</v>
      </c>
      <c r="C26" s="193"/>
      <c r="D26" s="193"/>
      <c r="E26" s="193"/>
      <c r="F26" s="193"/>
      <c r="G26" s="193"/>
      <c r="H26" s="193"/>
      <c r="I26" s="193"/>
      <c r="J26" s="193"/>
    </row>
    <row r="27" spans="2:10" x14ac:dyDescent="0.25">
      <c r="B27" s="193"/>
      <c r="C27" s="193"/>
      <c r="D27" s="193"/>
      <c r="E27" s="193"/>
      <c r="F27" s="193"/>
      <c r="G27" s="193"/>
      <c r="H27" s="193"/>
      <c r="I27" s="193"/>
      <c r="J27" s="193"/>
    </row>
    <row r="28" spans="2:10" x14ac:dyDescent="0.25">
      <c r="B28" s="193"/>
      <c r="C28" s="193"/>
      <c r="D28" s="193"/>
      <c r="E28" s="193"/>
      <c r="F28" s="193"/>
      <c r="G28" s="193"/>
      <c r="H28" s="193"/>
      <c r="I28" s="193"/>
      <c r="J28" s="193"/>
    </row>
    <row r="29" spans="2:10" x14ac:dyDescent="0.25">
      <c r="B29" s="193"/>
      <c r="C29" s="193"/>
      <c r="D29" s="193"/>
      <c r="E29" s="193"/>
      <c r="F29" s="193"/>
      <c r="G29" s="193"/>
      <c r="H29" s="193"/>
      <c r="I29" s="193"/>
      <c r="J29" s="193"/>
    </row>
    <row r="30" spans="2:10" x14ac:dyDescent="0.25">
      <c r="B30" s="193"/>
      <c r="C30" s="193"/>
      <c r="D30" s="193"/>
      <c r="E30" s="193"/>
      <c r="F30" s="193"/>
      <c r="G30" s="193"/>
      <c r="H30" s="193"/>
      <c r="I30" s="193"/>
      <c r="J30" s="193"/>
    </row>
    <row r="31" spans="2:10" x14ac:dyDescent="0.25">
      <c r="B31" s="193"/>
      <c r="C31" s="193"/>
      <c r="D31" s="193"/>
      <c r="E31" s="193"/>
      <c r="F31" s="193"/>
      <c r="G31" s="193"/>
      <c r="H31" s="193"/>
      <c r="I31" s="193"/>
      <c r="J31" s="193"/>
    </row>
    <row r="33" spans="2:10" ht="15" customHeight="1" x14ac:dyDescent="0.25">
      <c r="B33" s="193" t="s">
        <v>282</v>
      </c>
      <c r="C33" s="193"/>
      <c r="D33" s="193"/>
      <c r="E33" s="193"/>
      <c r="F33" s="193"/>
      <c r="G33" s="193"/>
      <c r="H33" s="193"/>
      <c r="I33" s="193"/>
      <c r="J33" s="193"/>
    </row>
    <row r="34" spans="2:10" x14ac:dyDescent="0.25">
      <c r="B34" s="193"/>
      <c r="C34" s="193"/>
      <c r="D34" s="193"/>
      <c r="E34" s="193"/>
      <c r="F34" s="193"/>
      <c r="G34" s="193"/>
      <c r="H34" s="193"/>
      <c r="I34" s="193"/>
      <c r="J34" s="193"/>
    </row>
    <row r="35" spans="2:10" x14ac:dyDescent="0.25">
      <c r="B35" s="193"/>
      <c r="C35" s="193"/>
      <c r="D35" s="193"/>
      <c r="E35" s="193"/>
      <c r="F35" s="193"/>
      <c r="G35" s="193"/>
      <c r="H35" s="193"/>
      <c r="I35" s="193"/>
      <c r="J35" s="193"/>
    </row>
    <row r="36" spans="2:10" x14ac:dyDescent="0.25">
      <c r="B36" s="193"/>
      <c r="C36" s="193"/>
      <c r="D36" s="193"/>
      <c r="E36" s="193"/>
      <c r="F36" s="193"/>
      <c r="G36" s="193"/>
      <c r="H36" s="193"/>
      <c r="I36" s="193"/>
      <c r="J36" s="193"/>
    </row>
    <row r="37" spans="2:10" x14ac:dyDescent="0.25">
      <c r="B37" s="193"/>
      <c r="C37" s="193"/>
      <c r="D37" s="193"/>
      <c r="E37" s="193"/>
      <c r="F37" s="193"/>
      <c r="G37" s="193"/>
      <c r="H37" s="193"/>
      <c r="I37" s="193"/>
      <c r="J37" s="193"/>
    </row>
    <row r="39" spans="2:10" ht="15" customHeight="1" x14ac:dyDescent="0.25">
      <c r="B39" s="193" t="s">
        <v>283</v>
      </c>
      <c r="C39" s="193"/>
      <c r="D39" s="193"/>
      <c r="E39" s="193"/>
      <c r="F39" s="193"/>
      <c r="G39" s="193"/>
      <c r="H39" s="193"/>
      <c r="I39" s="193"/>
      <c r="J39" s="193"/>
    </row>
    <row r="40" spans="2:10" x14ac:dyDescent="0.25">
      <c r="B40" s="193"/>
      <c r="C40" s="193"/>
      <c r="D40" s="193"/>
      <c r="E40" s="193"/>
      <c r="F40" s="193"/>
      <c r="G40" s="193"/>
      <c r="H40" s="193"/>
      <c r="I40" s="193"/>
      <c r="J40" s="193"/>
    </row>
    <row r="41" spans="2:10" x14ac:dyDescent="0.25">
      <c r="B41" s="193"/>
      <c r="C41" s="193"/>
      <c r="D41" s="193"/>
      <c r="E41" s="193"/>
      <c r="F41" s="193"/>
      <c r="G41" s="193"/>
      <c r="H41" s="193"/>
      <c r="I41" s="193"/>
      <c r="J41" s="193"/>
    </row>
    <row r="44" spans="2:10" x14ac:dyDescent="0.25">
      <c r="B44" t="s">
        <v>284</v>
      </c>
    </row>
    <row r="46" spans="2:10" x14ac:dyDescent="0.25">
      <c r="B46" t="s">
        <v>285</v>
      </c>
    </row>
    <row r="48" spans="2:10" x14ac:dyDescent="0.25">
      <c r="B48" t="s">
        <v>286</v>
      </c>
    </row>
    <row r="50" spans="2:10" ht="15" customHeight="1" x14ac:dyDescent="0.25">
      <c r="B50" s="193" t="s">
        <v>287</v>
      </c>
      <c r="C50" s="193"/>
      <c r="D50" s="193"/>
      <c r="E50" s="193"/>
      <c r="F50" s="193"/>
      <c r="G50" s="193"/>
      <c r="H50" s="193"/>
      <c r="I50" s="193"/>
      <c r="J50" s="193"/>
    </row>
    <row r="51" spans="2:10" x14ac:dyDescent="0.25">
      <c r="B51" s="193"/>
      <c r="C51" s="193"/>
      <c r="D51" s="193"/>
      <c r="E51" s="193"/>
      <c r="F51" s="193"/>
      <c r="G51" s="193"/>
      <c r="H51" s="193"/>
      <c r="I51" s="193"/>
      <c r="J51" s="193"/>
    </row>
    <row r="52" spans="2:10" x14ac:dyDescent="0.25">
      <c r="B52" s="193"/>
      <c r="C52" s="193"/>
      <c r="D52" s="193"/>
      <c r="E52" s="193"/>
      <c r="F52" s="193"/>
      <c r="G52" s="193"/>
      <c r="H52" s="193"/>
      <c r="I52" s="193"/>
      <c r="J52" s="193"/>
    </row>
    <row r="53" spans="2:10" x14ac:dyDescent="0.25">
      <c r="B53" s="193"/>
      <c r="C53" s="193"/>
      <c r="D53" s="193"/>
      <c r="E53" s="193"/>
      <c r="F53" s="193"/>
      <c r="G53" s="193"/>
      <c r="H53" s="193"/>
      <c r="I53" s="193"/>
      <c r="J53" s="193"/>
    </row>
    <row r="54" spans="2:10" x14ac:dyDescent="0.25">
      <c r="B54" s="193"/>
      <c r="C54" s="193"/>
      <c r="D54" s="193"/>
      <c r="E54" s="193"/>
      <c r="F54" s="193"/>
      <c r="G54" s="193"/>
      <c r="H54" s="193"/>
      <c r="I54" s="193"/>
      <c r="J54" s="193"/>
    </row>
    <row r="55" spans="2:10" x14ac:dyDescent="0.25">
      <c r="B55" s="193"/>
      <c r="C55" s="193"/>
      <c r="D55" s="193"/>
      <c r="E55" s="193"/>
      <c r="F55" s="193"/>
      <c r="G55" s="193"/>
      <c r="H55" s="193"/>
      <c r="I55" s="193"/>
      <c r="J55" s="193"/>
    </row>
    <row r="57" spans="2:10" x14ac:dyDescent="0.25">
      <c r="B57" s="193" t="s">
        <v>288</v>
      </c>
      <c r="C57" s="193"/>
      <c r="D57" s="193"/>
      <c r="E57" s="193"/>
      <c r="F57" s="193"/>
      <c r="G57" s="193"/>
      <c r="H57" s="193"/>
      <c r="I57" s="193"/>
      <c r="J57" s="193"/>
    </row>
    <row r="58" spans="2:10" x14ac:dyDescent="0.25">
      <c r="B58" s="193"/>
      <c r="C58" s="193"/>
      <c r="D58" s="193"/>
      <c r="E58" s="193"/>
      <c r="F58" s="193"/>
      <c r="G58" s="193"/>
      <c r="H58" s="193"/>
      <c r="I58" s="193"/>
      <c r="J58" s="193"/>
    </row>
  </sheetData>
  <mergeCells count="9">
    <mergeCell ref="B50:J55"/>
    <mergeCell ref="B57:J58"/>
    <mergeCell ref="B26:J31"/>
    <mergeCell ref="B33:J37"/>
    <mergeCell ref="B39:J41"/>
    <mergeCell ref="B6:J8"/>
    <mergeCell ref="B10:J15"/>
    <mergeCell ref="B17:J18"/>
    <mergeCell ref="B20:J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M183"/>
  <sheetViews>
    <sheetView workbookViewId="0">
      <selection activeCell="A5" sqref="A5"/>
    </sheetView>
  </sheetViews>
  <sheetFormatPr defaultRowHeight="15" x14ac:dyDescent="0.25"/>
  <cols>
    <col min="1" max="1" width="2.140625" style="194" customWidth="1"/>
    <col min="2" max="2" width="20.7109375" style="120" customWidth="1"/>
    <col min="3" max="3" width="3.7109375" style="79" customWidth="1"/>
    <col min="4" max="4" width="4.7109375" style="79" customWidth="1"/>
    <col min="5" max="5" width="4.7109375" style="123" customWidth="1"/>
    <col min="6" max="7" width="4.7109375" style="79" customWidth="1"/>
    <col min="8" max="8" width="4.7109375" style="121" customWidth="1"/>
    <col min="9" max="9" width="3.7109375" style="120" customWidth="1"/>
    <col min="10" max="10" width="3.28515625" style="120" customWidth="1"/>
    <col min="11" max="11" width="20.7109375" style="79" hidden="1" customWidth="1"/>
    <col min="12" max="12" width="20.7109375" style="120" customWidth="1"/>
    <col min="13" max="13" width="3.7109375" style="79" customWidth="1"/>
    <col min="14" max="14" width="4.7109375" style="122" customWidth="1"/>
    <col min="15" max="15" width="4.7109375" style="151" customWidth="1"/>
    <col min="16" max="17" width="4.7109375" style="79" customWidth="1"/>
    <col min="18" max="18" width="4.7109375" style="121" customWidth="1"/>
    <col min="19" max="19" width="3.7109375" style="120" customWidth="1"/>
    <col min="20" max="20" width="3.28515625" style="120" customWidth="1"/>
    <col min="21" max="21" width="20.7109375" style="79" hidden="1" customWidth="1"/>
    <col min="22" max="22" width="20.7109375" style="120" customWidth="1"/>
    <col min="23" max="23" width="3.7109375" style="79" customWidth="1"/>
    <col min="24" max="24" width="4.7109375" style="122" customWidth="1"/>
    <col min="25" max="25" width="4.7109375" style="151" customWidth="1"/>
    <col min="26" max="27" width="4.7109375" style="79" customWidth="1"/>
    <col min="28" max="28" width="4.7109375" style="121" customWidth="1"/>
    <col min="29" max="29" width="3.7109375" style="120" customWidth="1"/>
    <col min="30" max="30" width="1.42578125" style="200" customWidth="1"/>
    <col min="31" max="31" width="9.140625" style="194"/>
    <col min="32" max="32" width="18.28515625" style="194" bestFit="1" customWidth="1"/>
    <col min="33" max="39" width="9.140625" style="194"/>
    <col min="40" max="43" width="9.140625" style="78"/>
    <col min="44" max="44" width="20.28515625" style="78" bestFit="1" customWidth="1"/>
    <col min="45" max="59" width="9.140625" style="78"/>
    <col min="60" max="65" width="9.140625" style="194"/>
    <col min="66" max="16384" width="9.140625" style="78"/>
  </cols>
  <sheetData>
    <row r="1" spans="2:65" ht="23.25" x14ac:dyDescent="0.35">
      <c r="B1" s="181" t="s">
        <v>240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3"/>
      <c r="AD1" s="198"/>
    </row>
    <row r="2" spans="2:65" ht="15.75" thickBot="1" x14ac:dyDescent="0.3">
      <c r="B2" s="184" t="s">
        <v>241</v>
      </c>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6"/>
      <c r="AD2" s="199"/>
    </row>
    <row r="3" spans="2:65" ht="15.75" thickBot="1" x14ac:dyDescent="0.3">
      <c r="B3" s="80"/>
      <c r="C3" s="81"/>
      <c r="D3" s="81"/>
      <c r="E3" s="84"/>
      <c r="F3" s="81"/>
      <c r="G3" s="81"/>
      <c r="H3" s="82"/>
      <c r="I3" s="80"/>
      <c r="J3" s="80"/>
      <c r="K3" s="81"/>
      <c r="L3" s="80"/>
      <c r="M3" s="81"/>
      <c r="N3" s="83"/>
      <c r="O3" s="134"/>
      <c r="P3" s="81"/>
      <c r="Q3" s="81"/>
      <c r="R3" s="82"/>
      <c r="S3" s="80"/>
      <c r="T3" s="80"/>
      <c r="U3" s="81"/>
      <c r="V3" s="80"/>
      <c r="W3" s="81"/>
      <c r="X3" s="83"/>
      <c r="Y3" s="134"/>
      <c r="Z3" s="81"/>
      <c r="AA3" s="81"/>
      <c r="AB3" s="82"/>
      <c r="AC3" s="80"/>
    </row>
    <row r="4" spans="2:65" x14ac:dyDescent="0.25">
      <c r="B4" s="187" t="s">
        <v>0</v>
      </c>
      <c r="C4" s="179"/>
      <c r="D4" s="179"/>
      <c r="E4" s="179"/>
      <c r="F4" s="179"/>
      <c r="G4" s="179"/>
      <c r="H4" s="179"/>
      <c r="I4" s="180"/>
      <c r="J4" s="85"/>
      <c r="L4" s="178" t="s">
        <v>1</v>
      </c>
      <c r="M4" s="188"/>
      <c r="N4" s="188"/>
      <c r="O4" s="188"/>
      <c r="P4" s="188"/>
      <c r="Q4" s="188"/>
      <c r="R4" s="188"/>
      <c r="S4" s="189"/>
      <c r="T4" s="85"/>
      <c r="U4" s="86"/>
      <c r="V4" s="178" t="s">
        <v>2</v>
      </c>
      <c r="W4" s="188"/>
      <c r="X4" s="188"/>
      <c r="Y4" s="188"/>
      <c r="Z4" s="188"/>
      <c r="AA4" s="188"/>
      <c r="AB4" s="188"/>
      <c r="AC4" s="189"/>
      <c r="AD4" s="201"/>
    </row>
    <row r="5" spans="2:65" ht="15.75" thickBot="1" x14ac:dyDescent="0.3">
      <c r="B5" s="88" t="s">
        <v>4</v>
      </c>
      <c r="C5" s="89" t="s">
        <v>9</v>
      </c>
      <c r="D5" s="89" t="s">
        <v>232</v>
      </c>
      <c r="E5" s="89" t="s">
        <v>233</v>
      </c>
      <c r="F5" s="135" t="s">
        <v>5</v>
      </c>
      <c r="G5" s="90" t="s">
        <v>234</v>
      </c>
      <c r="H5" s="91" t="s">
        <v>235</v>
      </c>
      <c r="I5" s="92" t="s">
        <v>6</v>
      </c>
      <c r="J5" s="81"/>
      <c r="K5" s="87" t="s">
        <v>3</v>
      </c>
      <c r="L5" s="88" t="s">
        <v>4</v>
      </c>
      <c r="M5" s="89" t="s">
        <v>9</v>
      </c>
      <c r="N5" s="136" t="s">
        <v>232</v>
      </c>
      <c r="O5" s="136" t="s">
        <v>233</v>
      </c>
      <c r="P5" s="135" t="s">
        <v>5</v>
      </c>
      <c r="Q5" s="91" t="s">
        <v>234</v>
      </c>
      <c r="R5" s="91" t="s">
        <v>235</v>
      </c>
      <c r="S5" s="92" t="s">
        <v>6</v>
      </c>
      <c r="T5" s="81"/>
      <c r="U5" s="88" t="s">
        <v>3</v>
      </c>
      <c r="V5" s="88" t="s">
        <v>4</v>
      </c>
      <c r="W5" s="89" t="s">
        <v>9</v>
      </c>
      <c r="X5" s="136" t="s">
        <v>232</v>
      </c>
      <c r="Y5" s="136" t="s">
        <v>233</v>
      </c>
      <c r="Z5" s="135" t="s">
        <v>5</v>
      </c>
      <c r="AA5" s="91" t="s">
        <v>234</v>
      </c>
      <c r="AB5" s="91" t="s">
        <v>235</v>
      </c>
      <c r="AC5" s="92" t="s">
        <v>6</v>
      </c>
      <c r="AD5" s="201"/>
      <c r="AE5" s="195"/>
      <c r="AF5" s="195" t="s">
        <v>4</v>
      </c>
      <c r="AG5" s="195" t="s">
        <v>9</v>
      </c>
      <c r="AH5" s="195" t="s">
        <v>232</v>
      </c>
      <c r="AI5" s="195" t="s">
        <v>233</v>
      </c>
      <c r="AJ5" s="195" t="s">
        <v>5</v>
      </c>
      <c r="AK5" s="195" t="s">
        <v>234</v>
      </c>
      <c r="AL5" s="195" t="s">
        <v>235</v>
      </c>
      <c r="AM5" s="195" t="s">
        <v>6</v>
      </c>
      <c r="AN5" s="153"/>
      <c r="AO5" s="203" t="s">
        <v>242</v>
      </c>
      <c r="AP5" s="203" t="s">
        <v>243</v>
      </c>
      <c r="AQ5" s="172" t="s">
        <v>244</v>
      </c>
      <c r="AR5" s="203" t="s">
        <v>4</v>
      </c>
      <c r="AS5" s="156" t="s">
        <v>245</v>
      </c>
      <c r="AT5" s="156" t="s">
        <v>6</v>
      </c>
      <c r="AU5" s="203" t="s">
        <v>246</v>
      </c>
      <c r="AV5" s="156" t="s">
        <v>5</v>
      </c>
      <c r="AW5" s="156" t="s">
        <v>234</v>
      </c>
      <c r="AX5" s="177" t="s">
        <v>247</v>
      </c>
      <c r="AY5" s="177" t="s">
        <v>248</v>
      </c>
      <c r="AZ5" s="156" t="s">
        <v>249</v>
      </c>
      <c r="BA5" s="156" t="s">
        <v>250</v>
      </c>
      <c r="BB5" s="156" t="s">
        <v>9</v>
      </c>
      <c r="BC5" s="156" t="s">
        <v>232</v>
      </c>
      <c r="BD5" s="156" t="s">
        <v>251</v>
      </c>
      <c r="BE5" s="156" t="s">
        <v>252</v>
      </c>
      <c r="BF5" s="156" t="s">
        <v>253</v>
      </c>
      <c r="BG5" s="156"/>
      <c r="BH5" s="204" t="s">
        <v>254</v>
      </c>
      <c r="BI5" s="204" t="s">
        <v>255</v>
      </c>
      <c r="BL5" s="204" t="s">
        <v>256</v>
      </c>
    </row>
    <row r="6" spans="2:65" x14ac:dyDescent="0.25">
      <c r="B6" s="94" t="s">
        <v>25</v>
      </c>
      <c r="C6" s="95" t="s">
        <v>58</v>
      </c>
      <c r="D6" s="95">
        <v>11</v>
      </c>
      <c r="E6" s="137">
        <v>-5</v>
      </c>
      <c r="F6" s="138">
        <v>6.4282234575000006</v>
      </c>
      <c r="G6" s="96">
        <v>0.80398801148326904</v>
      </c>
      <c r="H6" s="139">
        <v>0.83162532866221806</v>
      </c>
      <c r="I6" s="98" t="s">
        <v>28</v>
      </c>
      <c r="J6" s="99"/>
      <c r="K6" s="93">
        <v>1</v>
      </c>
      <c r="L6" s="94" t="s">
        <v>27</v>
      </c>
      <c r="M6" s="95" t="s">
        <v>83</v>
      </c>
      <c r="N6" s="95">
        <v>2</v>
      </c>
      <c r="O6" s="137">
        <v>1</v>
      </c>
      <c r="P6" s="138">
        <v>11.312178144999999</v>
      </c>
      <c r="Q6" s="97">
        <v>1.8543916210405169</v>
      </c>
      <c r="R6" s="139">
        <v>0.92578940511555741</v>
      </c>
      <c r="S6" s="98" t="s">
        <v>28</v>
      </c>
      <c r="T6" s="99"/>
      <c r="U6" s="100">
        <v>1</v>
      </c>
      <c r="V6" s="94" t="s">
        <v>29</v>
      </c>
      <c r="W6" s="95" t="s">
        <v>113</v>
      </c>
      <c r="X6" s="95">
        <v>6</v>
      </c>
      <c r="Y6" s="137">
        <v>2</v>
      </c>
      <c r="Z6" s="138">
        <v>8.544854186666667</v>
      </c>
      <c r="AA6" s="96">
        <v>0.87719651225789963</v>
      </c>
      <c r="AB6" s="139">
        <v>0.9360136811476264</v>
      </c>
      <c r="AC6" s="98" t="s">
        <v>26</v>
      </c>
      <c r="AD6" s="202"/>
      <c r="AE6" s="195" t="s">
        <v>257</v>
      </c>
      <c r="AF6" s="195" t="str">
        <f>B6</f>
        <v>Peyton Manning</v>
      </c>
      <c r="AG6" s="195" t="str">
        <f>C6</f>
        <v>4</v>
      </c>
      <c r="AH6" s="195">
        <f>IF(D6="N/A",200,D6)</f>
        <v>11</v>
      </c>
      <c r="AI6" s="195">
        <f t="shared" ref="AI6:AI37" si="0">IF(E6="N/A",0,E6)</f>
        <v>-5</v>
      </c>
      <c r="AJ6" s="196">
        <f t="shared" ref="AJ6:AM21" si="1">F6</f>
        <v>6.4282234575000006</v>
      </c>
      <c r="AK6" s="196">
        <f t="shared" si="1"/>
        <v>0.80398801148326904</v>
      </c>
      <c r="AL6" s="197">
        <f t="shared" si="1"/>
        <v>0.83162532866221806</v>
      </c>
      <c r="AM6" s="195" t="str">
        <f t="shared" si="1"/>
        <v>1-</v>
      </c>
      <c r="AN6" s="153"/>
      <c r="AO6" s="153">
        <v>1</v>
      </c>
      <c r="AP6" s="153">
        <v>1</v>
      </c>
      <c r="AQ6" s="153">
        <f>AP6-AO6</f>
        <v>0</v>
      </c>
      <c r="AR6" s="86" t="s">
        <v>27</v>
      </c>
      <c r="AS6" s="153" t="str">
        <f>BH6&amp;" "&amp;BI6</f>
        <v>RB 1</v>
      </c>
      <c r="AT6" s="153">
        <f>IF(AU6&gt;8,1,IF(AU6&gt;6.4,2,IF(AU6&gt;6,3,IF(AU6&gt;5,4,IF(AU6&gt;3.5,5,IF(AU6&gt;2.5,6,IF(AU6&gt;1.5,7,IF(AU6&gt;0.5,8,IF(AU6&gt;-0.5,9,10)))))))))</f>
        <v>1</v>
      </c>
      <c r="AU6" s="169">
        <f>SUM(AV6,AZ6,BA6)</f>
        <v>10.812178144999999</v>
      </c>
      <c r="AV6" s="169">
        <f>INDEX(AJ$6:AJ$182,MATCH($AR6,$AF$6:$AF$182,0))</f>
        <v>11.312178144999999</v>
      </c>
      <c r="AW6" s="169">
        <f>INDEX(AK$6:AK$182,MATCH($AR6,$AF$6:$AF$182,0))</f>
        <v>1.8543916210405169</v>
      </c>
      <c r="AX6" s="168">
        <f>SUMIFS(AV7:AV$183,AV7:AV$183,"&gt;"&amp;0,$BH7:$BH$183,"="&amp;$BH6,$BK7:$BK$183,"="&amp;1)/SUMIFS(AV$6:AV$183,AV$6:AV$183,"&gt;"&amp;0,$BH$6:$BH$183,"="&amp;$BH6)</f>
        <v>0.92578940511555685</v>
      </c>
      <c r="AY6" s="168">
        <f>SUMIFS(AU7:AU$183,AU7:AU$183,"&gt;"&amp;0,BH7:BH$183,"="&amp;BH6,BK7:BK$183,"="&amp;1)/SUMIFS(AU$6:AU$183,AU$6:AU$183,"&gt;"&amp;0,BH$6:BH$183,"="&amp;BH6)</f>
        <v>0.92524428480125143</v>
      </c>
      <c r="AZ6" s="169">
        <f>IF(AW6&gt;Adjustments!$J$6,Adjustments!$L$6,IF(AW6&gt;Adjustments!$J$7,Adjustments!$L$7,IF(AW6&gt;Adjustments!$J$8,Adjustments!$L$8,IF(AW6&lt;Adjustments!$J$10,Adjustments!$L$10,IF(AW6&lt;Adjustments!$J$9,Adjustments!$L$9,0)))))</f>
        <v>-0.5</v>
      </c>
      <c r="BA6" s="169">
        <f>INDEX(Adjustments!$C$4:$C$2520,MATCH(AR6,Adjustments!$B$4:$B$2520,0))</f>
        <v>0</v>
      </c>
      <c r="BB6" s="153" t="str">
        <f>INDEX(AG$6:AG$182,MATCH($AR6,$AF$6:$AF$182,0))</f>
        <v>6</v>
      </c>
      <c r="BC6" s="153">
        <f>INDEX(AH$6:AH$182,MATCH($AR6,$AF$6:$AF$182,0))</f>
        <v>2</v>
      </c>
      <c r="BD6" s="153">
        <f>INDEX(AI$6:AI$182,MATCH($AR6,$AF$6:$AF$182,0))</f>
        <v>1</v>
      </c>
      <c r="BE6" s="153">
        <f>BC6-AO6</f>
        <v>1</v>
      </c>
      <c r="BF6" s="153"/>
      <c r="BG6" s="153"/>
      <c r="BH6" s="195" t="str">
        <f>INDEX($AE$6:$AE$182,MATCH(AR6,$AF$6:$AF$182,0))</f>
        <v>RB</v>
      </c>
      <c r="BI6" s="195">
        <f>SUMIF($BH$6:BH6,BH6,$BK$6:BK6)</f>
        <v>1</v>
      </c>
      <c r="BJ6" s="194">
        <v>1</v>
      </c>
      <c r="BK6" s="194">
        <f>IF(BL6="y",0,1)</f>
        <v>1</v>
      </c>
      <c r="BL6" s="194" t="str">
        <f>IF('Real Time Draft Tool'!B6="y","y","")</f>
        <v/>
      </c>
      <c r="BM6" s="194" t="str">
        <f>IF(BK6=1,BH6&amp;" "&amp;BI6)</f>
        <v>RB 1</v>
      </c>
    </row>
    <row r="7" spans="2:65" x14ac:dyDescent="0.25">
      <c r="B7" s="102" t="s">
        <v>30</v>
      </c>
      <c r="C7" s="103" t="s">
        <v>113</v>
      </c>
      <c r="D7" s="103">
        <v>21</v>
      </c>
      <c r="E7" s="140">
        <v>-2</v>
      </c>
      <c r="F7" s="141">
        <v>5.0855896233333331</v>
      </c>
      <c r="G7" s="104">
        <v>1.0472248015294765</v>
      </c>
      <c r="H7" s="142">
        <v>0.69841831010586541</v>
      </c>
      <c r="I7" s="106" t="s">
        <v>31</v>
      </c>
      <c r="J7" s="99"/>
      <c r="K7" s="101">
        <v>2</v>
      </c>
      <c r="L7" s="102" t="s">
        <v>35</v>
      </c>
      <c r="M7" s="103" t="s">
        <v>91</v>
      </c>
      <c r="N7" s="143">
        <v>1</v>
      </c>
      <c r="O7" s="108">
        <v>-1</v>
      </c>
      <c r="P7" s="141">
        <v>9.3998979466666679</v>
      </c>
      <c r="Q7" s="105">
        <v>1.4788136023538048</v>
      </c>
      <c r="R7" s="142">
        <v>0.86412382581388125</v>
      </c>
      <c r="S7" s="106" t="s">
        <v>40</v>
      </c>
      <c r="T7" s="99"/>
      <c r="U7" s="107">
        <v>2</v>
      </c>
      <c r="V7" s="102" t="s">
        <v>33</v>
      </c>
      <c r="W7" s="103" t="s">
        <v>58</v>
      </c>
      <c r="X7" s="143">
        <v>10</v>
      </c>
      <c r="Y7" s="108">
        <v>4</v>
      </c>
      <c r="Z7" s="141">
        <v>7.7523021233333331</v>
      </c>
      <c r="AA7" s="104">
        <v>0.71296522980838184</v>
      </c>
      <c r="AB7" s="142">
        <v>0.87796221945298936</v>
      </c>
      <c r="AC7" s="106" t="s">
        <v>26</v>
      </c>
      <c r="AD7" s="202"/>
      <c r="AE7" s="195" t="s">
        <v>257</v>
      </c>
      <c r="AF7" s="195" t="str">
        <f t="shared" ref="AF7:AG37" si="2">B7</f>
        <v>Aaron Rodgers</v>
      </c>
      <c r="AG7" s="195" t="str">
        <f t="shared" si="2"/>
        <v>9</v>
      </c>
      <c r="AH7" s="195">
        <f t="shared" ref="AH7:AH37" si="3">IF(D7="N/A",200,D7)</f>
        <v>21</v>
      </c>
      <c r="AI7" s="195">
        <f t="shared" si="0"/>
        <v>-2</v>
      </c>
      <c r="AJ7" s="196">
        <f t="shared" si="1"/>
        <v>5.0855896233333331</v>
      </c>
      <c r="AK7" s="196">
        <f t="shared" si="1"/>
        <v>1.0472248015294765</v>
      </c>
      <c r="AL7" s="197">
        <f t="shared" si="1"/>
        <v>0.69841831010586541</v>
      </c>
      <c r="AM7" s="195" t="str">
        <f t="shared" si="1"/>
        <v>2</v>
      </c>
      <c r="AN7" s="153"/>
      <c r="AO7" s="153">
        <v>2</v>
      </c>
      <c r="AP7" s="153">
        <v>2</v>
      </c>
      <c r="AQ7" s="153">
        <f>AP7-AO7</f>
        <v>0</v>
      </c>
      <c r="AR7" s="86" t="s">
        <v>35</v>
      </c>
      <c r="AS7" s="153" t="str">
        <f>BH7&amp;" "&amp;BI7</f>
        <v>RB 2</v>
      </c>
      <c r="AT7" s="153">
        <f>IF(AU7&gt;8,1,IF(AU7&gt;6.4,2,IF(AU7&gt;6,3,IF(AU7&gt;5,4,IF(AU7&gt;3.5,5,IF(AU7&gt;2.5,6,IF(AU7&gt;1.5,7,IF(AU7&gt;0.5,8,IF(AU7&gt;-0.5,9,10)))))))))</f>
        <v>1</v>
      </c>
      <c r="AU7" s="169">
        <f>SUM(AV7,AZ7,BA7)</f>
        <v>9.0998979466666672</v>
      </c>
      <c r="AV7" s="169">
        <f>INDEX(AJ$6:AJ$182,MATCH($AR7,$AF$6:$AF$182,0))</f>
        <v>9.3998979466666679</v>
      </c>
      <c r="AW7" s="169">
        <f>INDEX(AK$6:AK$182,MATCH($AR7,$AF$6:$AF$182,0))</f>
        <v>1.4788136023538048</v>
      </c>
      <c r="AX7" s="168">
        <f>SUMIFS(AV8:AV$183,AV8:AV$183,"&gt;"&amp;0,$BH8:$BH$183,"="&amp;$BH7,$BK8:$BK$183,"="&amp;1)/SUMIFS(AV$6:AV$183,AV$6:AV$183,"&gt;"&amp;0,$BH$6:$BH$183,"="&amp;$BH7)</f>
        <v>0.86412382581388114</v>
      </c>
      <c r="AY7" s="168">
        <f>SUMIFS(AU8:AU$183,AU8:AU$183,"&gt;"&amp;0,BH8:BH$183,"="&amp;BH7,BK8:BK$183,"="&amp;1)/SUMIFS(AU$6:AU$183,AU$6:AU$183,"&gt;"&amp;0,BH$6:BH$183,"="&amp;BH7)</f>
        <v>0.86232732485888575</v>
      </c>
      <c r="AZ7" s="169">
        <f>IF(AW7&gt;Adjustments!$J$6,Adjustments!$L$6,IF(AW7&gt;Adjustments!$J$7,Adjustments!$L$7,IF(AW7&gt;Adjustments!$J$8,Adjustments!$L$8,IF(AW7&lt;Adjustments!$J$10,Adjustments!$L$10,IF(AW7&lt;Adjustments!$J$9,Adjustments!$L$9,0)))))</f>
        <v>-0.3</v>
      </c>
      <c r="BA7" s="169">
        <f>INDEX(Adjustments!$C$4:$C$2520,MATCH(AR7,Adjustments!$B$4:$B$2520,0))</f>
        <v>0</v>
      </c>
      <c r="BB7" s="153" t="str">
        <f>INDEX(AG$6:AG$182,MATCH($AR7,$AF$6:$AF$182,0))</f>
        <v>7</v>
      </c>
      <c r="BC7" s="153">
        <f>INDEX(AH$6:AH$182,MATCH($AR7,$AF$6:$AF$182,0))</f>
        <v>1</v>
      </c>
      <c r="BD7" s="153">
        <f>INDEX(AI$6:AI$182,MATCH($AR7,$AF$6:$AF$182,0))</f>
        <v>-1</v>
      </c>
      <c r="BE7" s="153">
        <f>BC7-AO7</f>
        <v>-1</v>
      </c>
      <c r="BF7" s="153"/>
      <c r="BG7" s="153"/>
      <c r="BH7" s="195" t="str">
        <f>INDEX($AE$6:$AE$182,MATCH(AR7,$AF$6:$AF$182,0))</f>
        <v>RB</v>
      </c>
      <c r="BI7" s="195">
        <f>SUMIF($BH$6:BH7,BH7,$BK$6:BK7)</f>
        <v>2</v>
      </c>
      <c r="BJ7" s="194">
        <v>1</v>
      </c>
      <c r="BK7" s="194">
        <f t="shared" ref="BK7:BK70" si="4">IF(BL7="y",0,1)</f>
        <v>1</v>
      </c>
      <c r="BL7" s="194" t="str">
        <f>IF('Real Time Draft Tool'!B7="y","y","")</f>
        <v/>
      </c>
      <c r="BM7" s="194" t="str">
        <f t="shared" ref="BM7:BM70" si="5">IF(BK7=1,BH7&amp;" "&amp;BI7)</f>
        <v>RB 2</v>
      </c>
    </row>
    <row r="8" spans="2:65" x14ac:dyDescent="0.25">
      <c r="B8" s="102" t="s">
        <v>34</v>
      </c>
      <c r="C8" s="103" t="s">
        <v>83</v>
      </c>
      <c r="D8" s="103">
        <v>19</v>
      </c>
      <c r="E8" s="140">
        <v>-6</v>
      </c>
      <c r="F8" s="141">
        <v>4.7943791966666662</v>
      </c>
      <c r="G8" s="104">
        <v>0.8075648441339276</v>
      </c>
      <c r="H8" s="142">
        <v>0.57283897596408107</v>
      </c>
      <c r="I8" s="106" t="s">
        <v>40</v>
      </c>
      <c r="J8" s="99"/>
      <c r="K8" s="101">
        <v>3</v>
      </c>
      <c r="L8" s="102" t="s">
        <v>32</v>
      </c>
      <c r="M8" s="103" t="s">
        <v>113</v>
      </c>
      <c r="N8" s="143">
        <v>4</v>
      </c>
      <c r="O8" s="108">
        <v>1</v>
      </c>
      <c r="P8" s="141">
        <v>8.9624354666666655</v>
      </c>
      <c r="Q8" s="105">
        <v>1.2668540218005049</v>
      </c>
      <c r="R8" s="142">
        <v>0.80532810503673458</v>
      </c>
      <c r="S8" s="106" t="s">
        <v>40</v>
      </c>
      <c r="T8" s="99"/>
      <c r="U8" s="107">
        <v>3</v>
      </c>
      <c r="V8" s="102" t="s">
        <v>36</v>
      </c>
      <c r="W8" s="103" t="s">
        <v>156</v>
      </c>
      <c r="X8" s="143">
        <v>12</v>
      </c>
      <c r="Y8" s="108">
        <v>3</v>
      </c>
      <c r="Z8" s="141">
        <v>7.0164688000000011</v>
      </c>
      <c r="AA8" s="104">
        <v>0.52771277517451254</v>
      </c>
      <c r="AB8" s="142">
        <v>0.82542088872377894</v>
      </c>
      <c r="AC8" s="106" t="s">
        <v>31</v>
      </c>
      <c r="AD8" s="202"/>
      <c r="AE8" s="195" t="s">
        <v>257</v>
      </c>
      <c r="AF8" s="195" t="str">
        <f t="shared" si="2"/>
        <v>Drew Brees</v>
      </c>
      <c r="AG8" s="195" t="str">
        <f t="shared" si="2"/>
        <v>6</v>
      </c>
      <c r="AH8" s="195">
        <f t="shared" si="3"/>
        <v>19</v>
      </c>
      <c r="AI8" s="195">
        <f t="shared" si="0"/>
        <v>-6</v>
      </c>
      <c r="AJ8" s="196">
        <f t="shared" si="1"/>
        <v>4.7943791966666662</v>
      </c>
      <c r="AK8" s="196">
        <f t="shared" si="1"/>
        <v>0.8075648441339276</v>
      </c>
      <c r="AL8" s="197">
        <f t="shared" si="1"/>
        <v>0.57283897596408107</v>
      </c>
      <c r="AM8" s="195" t="str">
        <f t="shared" si="1"/>
        <v>2-</v>
      </c>
      <c r="AN8" s="153"/>
      <c r="AO8" s="153">
        <v>3</v>
      </c>
      <c r="AP8" s="153">
        <v>3</v>
      </c>
      <c r="AQ8" s="153">
        <f>AP8-AO8</f>
        <v>0</v>
      </c>
      <c r="AR8" s="86" t="s">
        <v>32</v>
      </c>
      <c r="AS8" s="153" t="str">
        <f>BH8&amp;" "&amp;BI8</f>
        <v>RB 3</v>
      </c>
      <c r="AT8" s="153">
        <f>IF(AU8&gt;8,1,IF(AU8&gt;6.4,2,IF(AU8&gt;6,3,IF(AU8&gt;5,4,IF(AU8&gt;3.5,5,IF(AU8&gt;2.5,6,IF(AU8&gt;1.5,7,IF(AU8&gt;0.5,8,IF(AU8&gt;-0.5,9,10)))))))))</f>
        <v>1</v>
      </c>
      <c r="AU8" s="169">
        <f>SUM(AV8,AZ8,BA8)</f>
        <v>8.6624354666666648</v>
      </c>
      <c r="AV8" s="169">
        <f>INDEX(AJ$6:AJ$182,MATCH($AR8,$AF$6:$AF$182,0))</f>
        <v>8.9624354666666655</v>
      </c>
      <c r="AW8" s="169">
        <f>INDEX(AK$6:AK$182,MATCH($AR8,$AF$6:$AF$182,0))</f>
        <v>1.2668540218005049</v>
      </c>
      <c r="AX8" s="168">
        <f>SUMIFS(AV9:AV$183,AV9:AV$183,"&gt;"&amp;0,$BH9:$BH$183,"="&amp;$BH8,$BK9:$BK$183,"="&amp;1)/SUMIFS(AV$6:AV$183,AV$6:AV$183,"&gt;"&amp;0,$BH$6:$BH$183,"="&amp;$BH8)</f>
        <v>0.8053281050367348</v>
      </c>
      <c r="AY8" s="168">
        <f>SUMIFS(AU9:AU$183,AU9:AU$183,"&gt;"&amp;0,BH9:BH$183,"="&amp;BH8,BK9:BK$183,"="&amp;1)/SUMIFS(AU$6:AU$183,AU$6:AU$183,"&gt;"&amp;0,BH$6:BH$183,"="&amp;BH8)</f>
        <v>0.80243499326859169</v>
      </c>
      <c r="AZ8" s="169">
        <f>IF(AW8&gt;Adjustments!$J$6,Adjustments!$L$6,IF(AW8&gt;Adjustments!$J$7,Adjustments!$L$7,IF(AW8&gt;Adjustments!$J$8,Adjustments!$L$8,IF(AW8&lt;Adjustments!$J$10,Adjustments!$L$10,IF(AW8&lt;Adjustments!$J$9,Adjustments!$L$9,0)))))</f>
        <v>-0.3</v>
      </c>
      <c r="BA8" s="169">
        <f>INDEX(Adjustments!$C$4:$C$2520,MATCH(AR8,Adjustments!$B$4:$B$2520,0))</f>
        <v>0</v>
      </c>
      <c r="BB8" s="153" t="str">
        <f>INDEX(AG$6:AG$182,MATCH($AR8,$AF$6:$AF$182,0))</f>
        <v>9</v>
      </c>
      <c r="BC8" s="153">
        <f>INDEX(AH$6:AH$182,MATCH($AR8,$AF$6:$AF$182,0))</f>
        <v>4</v>
      </c>
      <c r="BD8" s="153">
        <f>INDEX(AI$6:AI$182,MATCH($AR8,$AF$6:$AF$182,0))</f>
        <v>1</v>
      </c>
      <c r="BE8" s="153">
        <f>BC8-AO8</f>
        <v>1</v>
      </c>
      <c r="BF8" s="153"/>
      <c r="BG8" s="153"/>
      <c r="BH8" s="195" t="str">
        <f>INDEX($AE$6:$AE$182,MATCH(AR8,$AF$6:$AF$182,0))</f>
        <v>RB</v>
      </c>
      <c r="BI8" s="195">
        <f>SUMIF($BH$6:BH8,BH8,$BK$6:BK8)</f>
        <v>3</v>
      </c>
      <c r="BJ8" s="194">
        <v>1</v>
      </c>
      <c r="BK8" s="194">
        <f t="shared" si="4"/>
        <v>1</v>
      </c>
      <c r="BL8" s="194" t="str">
        <f>IF('Real Time Draft Tool'!B8="y","y","")</f>
        <v/>
      </c>
      <c r="BM8" s="194" t="str">
        <f t="shared" si="5"/>
        <v>RB 3</v>
      </c>
    </row>
    <row r="9" spans="2:65" x14ac:dyDescent="0.25">
      <c r="B9" s="102" t="s">
        <v>42</v>
      </c>
      <c r="C9" s="103" t="s">
        <v>130</v>
      </c>
      <c r="D9" s="103">
        <v>53</v>
      </c>
      <c r="E9" s="140">
        <v>4</v>
      </c>
      <c r="F9" s="141">
        <v>2.885890675000002</v>
      </c>
      <c r="G9" s="104">
        <v>0.87234406253556374</v>
      </c>
      <c r="H9" s="142">
        <v>0.49724874529887791</v>
      </c>
      <c r="I9" s="106" t="s">
        <v>38</v>
      </c>
      <c r="J9" s="99"/>
      <c r="K9" s="101">
        <v>4</v>
      </c>
      <c r="L9" s="102" t="s">
        <v>39</v>
      </c>
      <c r="M9" s="103" t="s">
        <v>130</v>
      </c>
      <c r="N9" s="143">
        <v>3</v>
      </c>
      <c r="O9" s="108">
        <v>-2</v>
      </c>
      <c r="P9" s="141">
        <v>8.311911498333334</v>
      </c>
      <c r="Q9" s="105">
        <v>1.4690682567325326</v>
      </c>
      <c r="R9" s="142">
        <v>0.75079997711905355</v>
      </c>
      <c r="S9" s="106" t="s">
        <v>31</v>
      </c>
      <c r="T9" s="99"/>
      <c r="U9" s="107">
        <v>4</v>
      </c>
      <c r="V9" s="102" t="s">
        <v>44</v>
      </c>
      <c r="W9" s="103" t="s">
        <v>58</v>
      </c>
      <c r="X9" s="143">
        <v>13</v>
      </c>
      <c r="Y9" s="108">
        <v>2</v>
      </c>
      <c r="Z9" s="141">
        <v>6.6903409390909099</v>
      </c>
      <c r="AA9" s="104">
        <v>0.40140732543028035</v>
      </c>
      <c r="AB9" s="142">
        <v>0.77532169695199327</v>
      </c>
      <c r="AC9" s="106" t="s">
        <v>31</v>
      </c>
      <c r="AD9" s="202"/>
      <c r="AE9" s="195" t="s">
        <v>257</v>
      </c>
      <c r="AF9" s="195" t="str">
        <f t="shared" si="2"/>
        <v>Andrew Luck</v>
      </c>
      <c r="AG9" s="195" t="str">
        <f t="shared" si="2"/>
        <v>10</v>
      </c>
      <c r="AH9" s="195">
        <f t="shared" si="3"/>
        <v>53</v>
      </c>
      <c r="AI9" s="195">
        <f t="shared" si="0"/>
        <v>4</v>
      </c>
      <c r="AJ9" s="196">
        <f t="shared" si="1"/>
        <v>2.885890675000002</v>
      </c>
      <c r="AK9" s="196">
        <f t="shared" si="1"/>
        <v>0.87234406253556374</v>
      </c>
      <c r="AL9" s="197">
        <f t="shared" si="1"/>
        <v>0.49724874529887791</v>
      </c>
      <c r="AM9" s="195" t="str">
        <f t="shared" si="1"/>
        <v>3</v>
      </c>
      <c r="AN9" s="153"/>
      <c r="AO9" s="153">
        <v>4</v>
      </c>
      <c r="AP9" s="153">
        <v>4</v>
      </c>
      <c r="AQ9" s="153">
        <f>AP9-AO9</f>
        <v>0</v>
      </c>
      <c r="AR9" s="86" t="s">
        <v>29</v>
      </c>
      <c r="AS9" s="153" t="str">
        <f>BH9&amp;" "&amp;BI9</f>
        <v>WR 1</v>
      </c>
      <c r="AT9" s="153">
        <f>IF(AU9&gt;8,1,IF(AU9&gt;6.4,2,IF(AU9&gt;6,3,IF(AU9&gt;5,4,IF(AU9&gt;3.5,5,IF(AU9&gt;2.5,6,IF(AU9&gt;1.5,7,IF(AU9&gt;0.5,8,IF(AU9&gt;-0.5,9,10)))))))))</f>
        <v>1</v>
      </c>
      <c r="AU9" s="169">
        <f>SUM(AV9,AZ9,BA9)</f>
        <v>8.544854186666667</v>
      </c>
      <c r="AV9" s="169">
        <f>INDEX(AJ$6:AJ$182,MATCH($AR9,$AF$6:$AF$182,0))</f>
        <v>8.544854186666667</v>
      </c>
      <c r="AW9" s="169">
        <f>INDEX(AK$6:AK$182,MATCH($AR9,$AF$6:$AF$182,0))</f>
        <v>0.87719651225789963</v>
      </c>
      <c r="AX9" s="168">
        <f>SUMIFS(AV10:AV$183,AV10:AV$183,"&gt;"&amp;0,$BH10:$BH$183,"="&amp;$BH9,$BK10:$BK$183,"="&amp;1)/SUMIFS(AV$6:AV$183,AV$6:AV$183,"&gt;"&amp;0,$BH$6:$BH$183,"="&amp;$BH9)</f>
        <v>0.9360136811476264</v>
      </c>
      <c r="AY9" s="168">
        <f>SUMIFS(AU10:AU$183,AU10:AU$183,"&gt;"&amp;0,BH10:BH$183,"="&amp;BH9,BK10:BK$183,"="&amp;1)/SUMIFS(AU$6:AU$183,AU$6:AU$183,"&gt;"&amp;0,BH$6:BH$183,"="&amp;BH9)</f>
        <v>0.93686467688025432</v>
      </c>
      <c r="AZ9" s="169">
        <f>IF(AW9&gt;Adjustments!$J$6,Adjustments!$L$6,IF(AW9&gt;Adjustments!$J$7,Adjustments!$L$7,IF(AW9&gt;Adjustments!$J$8,Adjustments!$L$8,IF(AW9&lt;Adjustments!$J$10,Adjustments!$L$10,IF(AW9&lt;Adjustments!$J$9,Adjustments!$L$9,0)))))</f>
        <v>0</v>
      </c>
      <c r="BA9" s="169">
        <f>INDEX(Adjustments!$C$4:$C$2520,MATCH(AR9,Adjustments!$B$4:$B$2520,0))</f>
        <v>0</v>
      </c>
      <c r="BB9" s="153" t="str">
        <f>INDEX(AG$6:AG$182,MATCH($AR9,$AF$6:$AF$182,0))</f>
        <v>9</v>
      </c>
      <c r="BC9" s="153">
        <f>INDEX(AH$6:AH$182,MATCH($AR9,$AF$6:$AF$182,0))</f>
        <v>6</v>
      </c>
      <c r="BD9" s="153">
        <f>INDEX(AI$6:AI$182,MATCH($AR9,$AF$6:$AF$182,0))</f>
        <v>2</v>
      </c>
      <c r="BE9" s="153">
        <f>BC9-AO9</f>
        <v>2</v>
      </c>
      <c r="BF9" s="153"/>
      <c r="BG9" s="153"/>
      <c r="BH9" s="195" t="str">
        <f>INDEX($AE$6:$AE$182,MATCH(AR9,$AF$6:$AF$182,0))</f>
        <v>WR</v>
      </c>
      <c r="BI9" s="195">
        <f>SUMIF($BH$6:BH9,BH9,$BK$6:BK9)</f>
        <v>1</v>
      </c>
      <c r="BJ9" s="194">
        <v>1</v>
      </c>
      <c r="BK9" s="194">
        <f t="shared" si="4"/>
        <v>1</v>
      </c>
      <c r="BL9" s="194" t="str">
        <f>IF('Real Time Draft Tool'!B9="y","y","")</f>
        <v/>
      </c>
      <c r="BM9" s="194" t="str">
        <f t="shared" si="5"/>
        <v>WR 1</v>
      </c>
    </row>
    <row r="10" spans="2:65" x14ac:dyDescent="0.25">
      <c r="B10" s="102" t="s">
        <v>37</v>
      </c>
      <c r="C10" s="103" t="s">
        <v>113</v>
      </c>
      <c r="D10" s="103">
        <v>45</v>
      </c>
      <c r="E10" s="140">
        <v>-9</v>
      </c>
      <c r="F10" s="141">
        <v>2.6426646433333341</v>
      </c>
      <c r="G10" s="104">
        <v>0.89115988390885681</v>
      </c>
      <c r="H10" s="142">
        <v>0.42802934219021943</v>
      </c>
      <c r="I10" s="106" t="s">
        <v>38</v>
      </c>
      <c r="J10" s="99"/>
      <c r="K10" s="101">
        <v>5</v>
      </c>
      <c r="L10" s="102" t="s">
        <v>43</v>
      </c>
      <c r="M10" s="103" t="s">
        <v>113</v>
      </c>
      <c r="N10" s="143">
        <v>6</v>
      </c>
      <c r="O10" s="108">
        <v>-2</v>
      </c>
      <c r="P10" s="141">
        <v>7.1330521433333347</v>
      </c>
      <c r="Q10" s="105">
        <v>1.2696235992168823</v>
      </c>
      <c r="R10" s="142">
        <v>0.70400544859295455</v>
      </c>
      <c r="S10" s="106" t="s">
        <v>38</v>
      </c>
      <c r="T10" s="99"/>
      <c r="U10" s="107">
        <v>5</v>
      </c>
      <c r="V10" s="102" t="s">
        <v>47</v>
      </c>
      <c r="W10" s="103" t="s">
        <v>113</v>
      </c>
      <c r="X10" s="143">
        <v>17</v>
      </c>
      <c r="Y10" s="108">
        <v>3</v>
      </c>
      <c r="Z10" s="141">
        <v>6.5022292366666665</v>
      </c>
      <c r="AA10" s="104">
        <v>0.79965260538513017</v>
      </c>
      <c r="AB10" s="142">
        <v>0.72663113955924263</v>
      </c>
      <c r="AC10" s="106" t="s">
        <v>31</v>
      </c>
      <c r="AD10" s="202"/>
      <c r="AE10" s="195" t="s">
        <v>257</v>
      </c>
      <c r="AF10" s="195" t="str">
        <f t="shared" si="2"/>
        <v>Matthew Stafford</v>
      </c>
      <c r="AG10" s="195" t="str">
        <f t="shared" si="2"/>
        <v>9</v>
      </c>
      <c r="AH10" s="195">
        <f t="shared" si="3"/>
        <v>45</v>
      </c>
      <c r="AI10" s="195">
        <f t="shared" si="0"/>
        <v>-9</v>
      </c>
      <c r="AJ10" s="196">
        <f t="shared" si="1"/>
        <v>2.6426646433333341</v>
      </c>
      <c r="AK10" s="196">
        <f t="shared" si="1"/>
        <v>0.89115988390885681</v>
      </c>
      <c r="AL10" s="197">
        <f t="shared" si="1"/>
        <v>0.42802934219021943</v>
      </c>
      <c r="AM10" s="195" t="str">
        <f t="shared" si="1"/>
        <v>3</v>
      </c>
      <c r="AN10" s="153"/>
      <c r="AO10" s="153">
        <v>5</v>
      </c>
      <c r="AP10" s="153">
        <v>5</v>
      </c>
      <c r="AQ10" s="153">
        <f>AP10-AO10</f>
        <v>0</v>
      </c>
      <c r="AR10" s="86" t="s">
        <v>39</v>
      </c>
      <c r="AS10" s="153" t="str">
        <f>BH10&amp;" "&amp;BI10</f>
        <v>RB 4</v>
      </c>
      <c r="AT10" s="153">
        <f>IF(AU10&gt;8,1,IF(AU10&gt;6.4,2,IF(AU10&gt;6,3,IF(AU10&gt;5,4,IF(AU10&gt;3.5,5,IF(AU10&gt;2.5,6,IF(AU10&gt;1.5,7,IF(AU10&gt;0.5,8,IF(AU10&gt;-0.5,9,10)))))))))</f>
        <v>1</v>
      </c>
      <c r="AU10" s="169">
        <f>SUM(AV10,AZ10,BA10)</f>
        <v>8.0119114983333333</v>
      </c>
      <c r="AV10" s="169">
        <f>INDEX(AJ$6:AJ$182,MATCH($AR10,$AF$6:$AF$182,0))</f>
        <v>8.311911498333334</v>
      </c>
      <c r="AW10" s="169">
        <f>INDEX(AK$6:AK$182,MATCH($AR10,$AF$6:$AF$182,0))</f>
        <v>1.4690682567325326</v>
      </c>
      <c r="AX10" s="168">
        <f>SUMIFS(AV11:AV$183,AV11:AV$183,"&gt;"&amp;0,$BH11:$BH$183,"="&amp;$BH10,$BK11:$BK$183,"="&amp;1)/SUMIFS(AV$6:AV$183,AV$6:AV$183,"&gt;"&amp;0,$BH$6:$BH$183,"="&amp;$BH10)</f>
        <v>0.75079997711905389</v>
      </c>
      <c r="AY10" s="168">
        <f>SUMIFS(AU11:AU$183,AU11:AU$183,"&gt;"&amp;0,BH11:BH$183,"="&amp;BH10,BK11:BK$183,"="&amp;1)/SUMIFS(AU$6:AU$183,AU$6:AU$183,"&gt;"&amp;0,BH$6:BH$183,"="&amp;BH10)</f>
        <v>0.74704040337793609</v>
      </c>
      <c r="AZ10" s="169">
        <f>IF(AW10&gt;Adjustments!$J$6,Adjustments!$L$6,IF(AW10&gt;Adjustments!$J$7,Adjustments!$L$7,IF(AW10&gt;Adjustments!$J$8,Adjustments!$L$8,IF(AW10&lt;Adjustments!$J$10,Adjustments!$L$10,IF(AW10&lt;Adjustments!$J$9,Adjustments!$L$9,0)))))</f>
        <v>-0.3</v>
      </c>
      <c r="BA10" s="169">
        <f>INDEX(Adjustments!$C$4:$C$2520,MATCH(AR10,Adjustments!$B$4:$B$2520,0))</f>
        <v>0</v>
      </c>
      <c r="BB10" s="153" t="str">
        <f>INDEX(AG$6:AG$182,MATCH($AR10,$AF$6:$AF$182,0))</f>
        <v>10</v>
      </c>
      <c r="BC10" s="153">
        <f>INDEX(AH$6:AH$182,MATCH($AR10,$AF$6:$AF$182,0))</f>
        <v>3</v>
      </c>
      <c r="BD10" s="153">
        <f>INDEX(AI$6:AI$182,MATCH($AR10,$AF$6:$AF$182,0))</f>
        <v>-2</v>
      </c>
      <c r="BE10" s="153">
        <f>BC10-AO10</f>
        <v>-2</v>
      </c>
      <c r="BF10" s="153"/>
      <c r="BG10" s="153"/>
      <c r="BH10" s="195" t="str">
        <f>INDEX($AE$6:$AE$182,MATCH(AR10,$AF$6:$AF$182,0))</f>
        <v>RB</v>
      </c>
      <c r="BI10" s="195">
        <f>SUMIF($BH$6:BH10,BH10,$BK$6:BK10)</f>
        <v>4</v>
      </c>
      <c r="BJ10" s="194">
        <v>1</v>
      </c>
      <c r="BK10" s="194">
        <f t="shared" si="4"/>
        <v>1</v>
      </c>
      <c r="BL10" s="194" t="str">
        <f>IF('Real Time Draft Tool'!B10="y","y","")</f>
        <v/>
      </c>
      <c r="BM10" s="194" t="str">
        <f t="shared" si="5"/>
        <v>RB 4</v>
      </c>
    </row>
    <row r="11" spans="2:65" x14ac:dyDescent="0.25">
      <c r="B11" s="102" t="s">
        <v>48</v>
      </c>
      <c r="C11" s="103" t="s">
        <v>91</v>
      </c>
      <c r="D11" s="103">
        <v>66</v>
      </c>
      <c r="E11" s="140">
        <v>11</v>
      </c>
      <c r="F11" s="141">
        <v>2.6270354966666667</v>
      </c>
      <c r="G11" s="104">
        <v>0.84931896463487122</v>
      </c>
      <c r="H11" s="142">
        <v>0.35921931384127309</v>
      </c>
      <c r="I11" s="106" t="s">
        <v>64</v>
      </c>
      <c r="J11" s="99"/>
      <c r="K11" s="101">
        <v>6</v>
      </c>
      <c r="L11" s="102" t="s">
        <v>49</v>
      </c>
      <c r="M11" s="103" t="s">
        <v>58</v>
      </c>
      <c r="N11" s="143">
        <v>13</v>
      </c>
      <c r="O11" s="108">
        <v>3</v>
      </c>
      <c r="P11" s="141">
        <v>6.7396906949999984</v>
      </c>
      <c r="Q11" s="105">
        <v>1.2642062561994321</v>
      </c>
      <c r="R11" s="142">
        <v>0.65979146527320265</v>
      </c>
      <c r="S11" s="106" t="s">
        <v>64</v>
      </c>
      <c r="T11" s="99"/>
      <c r="U11" s="107">
        <v>6</v>
      </c>
      <c r="V11" s="102" t="s">
        <v>41</v>
      </c>
      <c r="W11" s="103" t="s">
        <v>113</v>
      </c>
      <c r="X11" s="143">
        <v>15</v>
      </c>
      <c r="Y11" s="108">
        <v>0</v>
      </c>
      <c r="Z11" s="141">
        <v>6.4974375599999998</v>
      </c>
      <c r="AA11" s="104">
        <v>0.67476167957194266</v>
      </c>
      <c r="AB11" s="142">
        <v>0.67797646361564634</v>
      </c>
      <c r="AC11" s="106" t="s">
        <v>40</v>
      </c>
      <c r="AD11" s="202"/>
      <c r="AE11" s="195" t="s">
        <v>257</v>
      </c>
      <c r="AF11" s="195" t="str">
        <f t="shared" si="2"/>
        <v>Nick Foles</v>
      </c>
      <c r="AG11" s="195" t="str">
        <f t="shared" si="2"/>
        <v>7</v>
      </c>
      <c r="AH11" s="195">
        <f t="shared" si="3"/>
        <v>66</v>
      </c>
      <c r="AI11" s="195">
        <f t="shared" si="0"/>
        <v>11</v>
      </c>
      <c r="AJ11" s="196">
        <f t="shared" si="1"/>
        <v>2.6270354966666667</v>
      </c>
      <c r="AK11" s="196">
        <f t="shared" si="1"/>
        <v>0.84931896463487122</v>
      </c>
      <c r="AL11" s="197">
        <f t="shared" si="1"/>
        <v>0.35921931384127309</v>
      </c>
      <c r="AM11" s="195" t="str">
        <f t="shared" si="1"/>
        <v>3-</v>
      </c>
      <c r="AN11" s="153"/>
      <c r="AO11" s="153">
        <v>6</v>
      </c>
      <c r="AP11" s="153">
        <v>6</v>
      </c>
      <c r="AQ11" s="153">
        <f>AP11-AO11</f>
        <v>0</v>
      </c>
      <c r="AR11" s="86" t="s">
        <v>33</v>
      </c>
      <c r="AS11" s="153" t="str">
        <f>BH11&amp;" "&amp;BI11</f>
        <v>WR 2</v>
      </c>
      <c r="AT11" s="153">
        <f>IF(AU11&gt;8,1,IF(AU11&gt;6.4,2,IF(AU11&gt;6,3,IF(AU11&gt;5,4,IF(AU11&gt;3.5,5,IF(AU11&gt;2.5,6,IF(AU11&gt;1.5,7,IF(AU11&gt;0.5,8,IF(AU11&gt;-0.5,9,10)))))))))</f>
        <v>2</v>
      </c>
      <c r="AU11" s="169">
        <f>SUM(AV11,AZ11,BA11)</f>
        <v>7.9523021233333333</v>
      </c>
      <c r="AV11" s="169">
        <f>INDEX(AJ$6:AJ$182,MATCH($AR11,$AF$6:$AF$182,0))</f>
        <v>7.7523021233333331</v>
      </c>
      <c r="AW11" s="169">
        <f>INDEX(AK$6:AK$182,MATCH($AR11,$AF$6:$AF$182,0))</f>
        <v>0.71296522980838184</v>
      </c>
      <c r="AX11" s="168">
        <f>SUMIFS(AV12:AV$183,AV12:AV$183,"&gt;"&amp;0,$BH12:$BH$183,"="&amp;$BH11,$BK12:$BK$183,"="&amp;1)/SUMIFS(AV$6:AV$183,AV$6:AV$183,"&gt;"&amp;0,$BH$6:$BH$183,"="&amp;$BH11)</f>
        <v>0.87796221945298936</v>
      </c>
      <c r="AY11" s="168">
        <f>SUMIFS(AU12:AU$183,AU12:AU$183,"&gt;"&amp;0,BH12:BH$183,"="&amp;BH11,BK12:BK$183,"="&amp;1)/SUMIFS(AU$6:AU$183,AU$6:AU$183,"&gt;"&amp;0,BH$6:BH$183,"="&amp;BH11)</f>
        <v>0.87810754034702676</v>
      </c>
      <c r="AZ11" s="169">
        <f>IF(AW11&gt;Adjustments!$J$6,Adjustments!$L$6,IF(AW11&gt;Adjustments!$J$7,Adjustments!$L$7,IF(AW11&gt;Adjustments!$J$8,Adjustments!$L$8,IF(AW11&lt;Adjustments!$J$10,Adjustments!$L$10,IF(AW11&lt;Adjustments!$J$9,Adjustments!$L$9,0)))))</f>
        <v>0.2</v>
      </c>
      <c r="BA11" s="169">
        <f>INDEX(Adjustments!$C$4:$C$2520,MATCH(AR11,Adjustments!$B$4:$B$2520,0))</f>
        <v>0</v>
      </c>
      <c r="BB11" s="153" t="str">
        <f>INDEX(AG$6:AG$182,MATCH($AR11,$AF$6:$AF$182,0))</f>
        <v>4</v>
      </c>
      <c r="BC11" s="153">
        <f>INDEX(AH$6:AH$182,MATCH($AR11,$AF$6:$AF$182,0))</f>
        <v>10</v>
      </c>
      <c r="BD11" s="153">
        <f>INDEX(AI$6:AI$182,MATCH($AR11,$AF$6:$AF$182,0))</f>
        <v>4</v>
      </c>
      <c r="BE11" s="153">
        <f>BC11-AO11</f>
        <v>4</v>
      </c>
      <c r="BF11" s="153"/>
      <c r="BG11" s="153"/>
      <c r="BH11" s="195" t="str">
        <f>INDEX($AE$6:$AE$182,MATCH(AR11,$AF$6:$AF$182,0))</f>
        <v>WR</v>
      </c>
      <c r="BI11" s="195">
        <f>SUMIF($BH$6:BH11,BH11,$BK$6:BK11)</f>
        <v>2</v>
      </c>
      <c r="BJ11" s="194">
        <v>1</v>
      </c>
      <c r="BK11" s="194">
        <f t="shared" si="4"/>
        <v>1</v>
      </c>
      <c r="BL11" s="194" t="str">
        <f>IF('Real Time Draft Tool'!B11="y","y","")</f>
        <v/>
      </c>
      <c r="BM11" s="194" t="str">
        <f t="shared" si="5"/>
        <v>WR 2</v>
      </c>
    </row>
    <row r="12" spans="2:65" x14ac:dyDescent="0.25">
      <c r="B12" s="102" t="s">
        <v>45</v>
      </c>
      <c r="C12" s="103" t="s">
        <v>163</v>
      </c>
      <c r="D12" s="103">
        <v>75</v>
      </c>
      <c r="E12" s="140">
        <v>15</v>
      </c>
      <c r="F12" s="141">
        <v>2.4876594650000001</v>
      </c>
      <c r="G12" s="104">
        <v>0.80392238942187577</v>
      </c>
      <c r="H12" s="142">
        <v>0.29405996653653649</v>
      </c>
      <c r="I12" s="106" t="s">
        <v>239</v>
      </c>
      <c r="J12" s="99"/>
      <c r="K12" s="101">
        <v>7</v>
      </c>
      <c r="L12" s="102" t="s">
        <v>46</v>
      </c>
      <c r="M12" s="103" t="s">
        <v>156</v>
      </c>
      <c r="N12" s="143">
        <v>14</v>
      </c>
      <c r="O12" s="108">
        <v>2</v>
      </c>
      <c r="P12" s="141">
        <v>6.5478230166666673</v>
      </c>
      <c r="Q12" s="105">
        <v>1.1225858193281351</v>
      </c>
      <c r="R12" s="142">
        <v>0.61683617982451511</v>
      </c>
      <c r="S12" s="106" t="s">
        <v>64</v>
      </c>
      <c r="T12" s="99"/>
      <c r="U12" s="107">
        <v>7</v>
      </c>
      <c r="V12" s="102" t="s">
        <v>50</v>
      </c>
      <c r="W12" s="103" t="s">
        <v>163</v>
      </c>
      <c r="X12" s="143">
        <v>23</v>
      </c>
      <c r="Y12" s="108">
        <v>5</v>
      </c>
      <c r="Z12" s="141">
        <v>5.9340844550000007</v>
      </c>
      <c r="AA12" s="104">
        <v>0.97080920334189669</v>
      </c>
      <c r="AB12" s="142">
        <v>0.63354033729449444</v>
      </c>
      <c r="AC12" s="106" t="s">
        <v>38</v>
      </c>
      <c r="AD12" s="202"/>
      <c r="AE12" s="195" t="s">
        <v>257</v>
      </c>
      <c r="AF12" s="195" t="str">
        <f t="shared" si="2"/>
        <v>Cam Newton</v>
      </c>
      <c r="AG12" s="195" t="str">
        <f t="shared" si="2"/>
        <v>12</v>
      </c>
      <c r="AH12" s="195">
        <f t="shared" si="3"/>
        <v>75</v>
      </c>
      <c r="AI12" s="195">
        <f t="shared" si="0"/>
        <v>15</v>
      </c>
      <c r="AJ12" s="196">
        <f t="shared" si="1"/>
        <v>2.4876594650000001</v>
      </c>
      <c r="AK12" s="196">
        <f t="shared" si="1"/>
        <v>0.80392238942187577</v>
      </c>
      <c r="AL12" s="197">
        <f t="shared" si="1"/>
        <v>0.29405996653653649</v>
      </c>
      <c r="AM12" s="195" t="str">
        <f t="shared" si="1"/>
        <v>3+</v>
      </c>
      <c r="AN12" s="153"/>
      <c r="AO12" s="153">
        <v>7</v>
      </c>
      <c r="AP12" s="153">
        <v>7</v>
      </c>
      <c r="AQ12" s="153">
        <f>AP12-AO12</f>
        <v>0</v>
      </c>
      <c r="AR12" s="86" t="s">
        <v>145</v>
      </c>
      <c r="AS12" s="153" t="str">
        <f>BH12&amp;" "&amp;BI12</f>
        <v>TE 1</v>
      </c>
      <c r="AT12" s="153">
        <f>IF(AU12&gt;8,1,IF(AU12&gt;6.4,2,IF(AU12&gt;6,3,IF(AU12&gt;5,4,IF(AU12&gt;3.5,5,IF(AU12&gt;2.5,6,IF(AU12&gt;1.5,7,IF(AU12&gt;0.5,8,IF(AU12&gt;-0.5,9,10)))))))))</f>
        <v>2</v>
      </c>
      <c r="AU12" s="169">
        <f>SUM(AV12,AZ12,BA12)</f>
        <v>7.4068646033333323</v>
      </c>
      <c r="AV12" s="169">
        <f>INDEX(AJ$6:AJ$182,MATCH($AR12,$AF$6:$AF$182,0))</f>
        <v>7.2068646033333321</v>
      </c>
      <c r="AW12" s="169">
        <f>INDEX(AK$6:AK$182,MATCH($AR12,$AF$6:$AF$182,0))</f>
        <v>0.65995436192573964</v>
      </c>
      <c r="AX12" s="168">
        <f>SUMIFS(AV13:AV$183,AV13:AV$183,"&gt;"&amp;0,$BH13:$BH$183,"="&amp;$BH12,$BK13:$BK$183,"="&amp;1)/SUMIFS(AV$6:AV$183,AV$6:AV$183,"&gt;"&amp;0,$BH$6:$BH$183,"="&amp;$BH12)</f>
        <v>0.75164217974291025</v>
      </c>
      <c r="AY12" s="168">
        <f>SUMIFS(AU13:AU$183,AU13:AU$183,"&gt;"&amp;0,BH13:BH$183,"="&amp;BH12,BK13:BK$183,"="&amp;1)/SUMIFS(AU$6:AU$183,AU$6:AU$183,"&gt;"&amp;0,BH$6:BH$183,"="&amp;BH12)</f>
        <v>0.7516219144586701</v>
      </c>
      <c r="AZ12" s="169">
        <f>IF(AW12&gt;Adjustments!$J$6,Adjustments!$L$6,IF(AW12&gt;Adjustments!$J$7,Adjustments!$L$7,IF(AW12&gt;Adjustments!$J$8,Adjustments!$L$8,IF(AW12&lt;Adjustments!$J$10,Adjustments!$L$10,IF(AW12&lt;Adjustments!$J$9,Adjustments!$L$9,0)))))</f>
        <v>0.2</v>
      </c>
      <c r="BA12" s="169">
        <f>INDEX(Adjustments!$C$4:$C$2520,MATCH(AR12,Adjustments!$B$4:$B$2520,0))</f>
        <v>0</v>
      </c>
      <c r="BB12" s="153" t="str">
        <f>INDEX(AG$6:AG$182,MATCH($AR12,$AF$6:$AF$182,0))</f>
        <v>6</v>
      </c>
      <c r="BC12" s="153">
        <f>INDEX(AH$6:AH$182,MATCH($AR12,$AF$6:$AF$182,0))</f>
        <v>8</v>
      </c>
      <c r="BD12" s="153">
        <f>INDEX(AI$6:AI$182,MATCH($AR12,$AF$6:$AF$182,0))</f>
        <v>1</v>
      </c>
      <c r="BE12" s="153">
        <f>BC12-AO12</f>
        <v>1</v>
      </c>
      <c r="BF12" s="153"/>
      <c r="BG12" s="153"/>
      <c r="BH12" s="195" t="str">
        <f>INDEX($AE$6:$AE$182,MATCH(AR12,$AF$6:$AF$182,0))</f>
        <v>TE</v>
      </c>
      <c r="BI12" s="195">
        <f>SUMIF($BH$6:BH12,BH12,$BK$6:BK12)</f>
        <v>1</v>
      </c>
      <c r="BJ12" s="194">
        <v>1</v>
      </c>
      <c r="BK12" s="194">
        <f t="shared" si="4"/>
        <v>1</v>
      </c>
      <c r="BL12" s="194" t="str">
        <f>IF('Real Time Draft Tool'!B12="y","y","")</f>
        <v/>
      </c>
      <c r="BM12" s="194" t="str">
        <f t="shared" si="5"/>
        <v>TE 1</v>
      </c>
    </row>
    <row r="13" spans="2:65" x14ac:dyDescent="0.25">
      <c r="B13" s="102" t="s">
        <v>54</v>
      </c>
      <c r="C13" s="103" t="s">
        <v>105</v>
      </c>
      <c r="D13" s="103">
        <v>86</v>
      </c>
      <c r="E13" s="140">
        <v>20</v>
      </c>
      <c r="F13" s="141">
        <v>2.2390990783333335</v>
      </c>
      <c r="G13" s="104">
        <v>1.0500343262308243</v>
      </c>
      <c r="H13" s="142">
        <v>0.23541116972670573</v>
      </c>
      <c r="I13" s="106" t="s">
        <v>38</v>
      </c>
      <c r="J13" s="99"/>
      <c r="K13" s="101">
        <v>8</v>
      </c>
      <c r="L13" s="102" t="s">
        <v>52</v>
      </c>
      <c r="M13" s="103" t="s">
        <v>130</v>
      </c>
      <c r="N13" s="143">
        <v>14</v>
      </c>
      <c r="O13" s="108">
        <v>1</v>
      </c>
      <c r="P13" s="141">
        <v>6.5370938400000016</v>
      </c>
      <c r="Q13" s="105">
        <v>1.4369016512860988</v>
      </c>
      <c r="R13" s="142">
        <v>0.57395128034154064</v>
      </c>
      <c r="S13" s="106" t="s">
        <v>64</v>
      </c>
      <c r="T13" s="99"/>
      <c r="U13" s="107">
        <v>8</v>
      </c>
      <c r="V13" s="102" t="s">
        <v>53</v>
      </c>
      <c r="W13" s="103" t="s">
        <v>113</v>
      </c>
      <c r="X13" s="143">
        <v>23</v>
      </c>
      <c r="Y13" s="108">
        <v>2</v>
      </c>
      <c r="Z13" s="141">
        <v>5.4371146833333333</v>
      </c>
      <c r="AA13" s="104">
        <v>0.49915589959203871</v>
      </c>
      <c r="AB13" s="142">
        <v>0.59282566315674834</v>
      </c>
      <c r="AC13" s="106" t="s">
        <v>64</v>
      </c>
      <c r="AD13" s="202"/>
      <c r="AE13" s="195" t="s">
        <v>257</v>
      </c>
      <c r="AF13" s="195" t="str">
        <f t="shared" si="2"/>
        <v>Colin Kaepernick</v>
      </c>
      <c r="AG13" s="195" t="str">
        <f t="shared" si="2"/>
        <v>8</v>
      </c>
      <c r="AH13" s="195">
        <f t="shared" si="3"/>
        <v>86</v>
      </c>
      <c r="AI13" s="195">
        <f t="shared" si="0"/>
        <v>20</v>
      </c>
      <c r="AJ13" s="196">
        <f t="shared" si="1"/>
        <v>2.2390990783333335</v>
      </c>
      <c r="AK13" s="196">
        <f t="shared" si="1"/>
        <v>1.0500343262308243</v>
      </c>
      <c r="AL13" s="197">
        <f t="shared" si="1"/>
        <v>0.23541116972670573</v>
      </c>
      <c r="AM13" s="195" t="str">
        <f t="shared" si="1"/>
        <v>3</v>
      </c>
      <c r="AN13" s="153"/>
      <c r="AO13" s="153">
        <v>8</v>
      </c>
      <c r="AP13" s="153">
        <v>9</v>
      </c>
      <c r="AQ13" s="153">
        <f>AP13-AO13</f>
        <v>1</v>
      </c>
      <c r="AR13" s="86" t="s">
        <v>36</v>
      </c>
      <c r="AS13" s="153" t="str">
        <f>BH13&amp;" "&amp;BI13</f>
        <v>WR 3</v>
      </c>
      <c r="AT13" s="153">
        <f>IF(AU13&gt;8,1,IF(AU13&gt;6.4,2,IF(AU13&gt;6,3,IF(AU13&gt;5,4,IF(AU13&gt;3.5,5,IF(AU13&gt;2.5,6,IF(AU13&gt;1.5,7,IF(AU13&gt;0.5,8,IF(AU13&gt;-0.5,9,10)))))))))</f>
        <v>2</v>
      </c>
      <c r="AU13" s="169">
        <f>SUM(AV13,AZ13,BA13)</f>
        <v>7.3164688000000009</v>
      </c>
      <c r="AV13" s="169">
        <f>INDEX(AJ$6:AJ$182,MATCH($AR13,$AF$6:$AF$182,0))</f>
        <v>7.0164688000000011</v>
      </c>
      <c r="AW13" s="169">
        <f>INDEX(AK$6:AK$182,MATCH($AR13,$AF$6:$AF$182,0))</f>
        <v>0.52771277517451254</v>
      </c>
      <c r="AX13" s="168">
        <f>SUMIFS(AV14:AV$183,AV14:AV$183,"&gt;"&amp;0,$BH14:$BH$183,"="&amp;$BH13,$BK14:$BK$183,"="&amp;1)/SUMIFS(AV$6:AV$183,AV$6:AV$183,"&gt;"&amp;0,$BH$6:$BH$183,"="&amp;$BH13)</f>
        <v>0.82542088872377872</v>
      </c>
      <c r="AY13" s="168">
        <f>SUMIFS(AU14:AU$183,AU14:AU$183,"&gt;"&amp;0,BH14:BH$183,"="&amp;BH13,BK14:BK$183,"="&amp;1)/SUMIFS(AU$6:AU$183,AU$6:AU$183,"&gt;"&amp;0,BH$6:BH$183,"="&amp;BH13)</f>
        <v>0.82404838243836054</v>
      </c>
      <c r="AZ13" s="169">
        <f>IF(AW13&gt;Adjustments!$J$6,Adjustments!$L$6,IF(AW13&gt;Adjustments!$J$7,Adjustments!$L$7,IF(AW13&gt;Adjustments!$J$8,Adjustments!$L$8,IF(AW13&lt;Adjustments!$J$10,Adjustments!$L$10,IF(AW13&lt;Adjustments!$J$9,Adjustments!$L$9,0)))))</f>
        <v>0.3</v>
      </c>
      <c r="BA13" s="169">
        <f>INDEX(Adjustments!$C$4:$C$2520,MATCH(AR13,Adjustments!$B$4:$B$2520,0))</f>
        <v>0</v>
      </c>
      <c r="BB13" s="153" t="str">
        <f>INDEX(AG$6:AG$182,MATCH($AR13,$AF$6:$AF$182,0))</f>
        <v>11</v>
      </c>
      <c r="BC13" s="153">
        <f>INDEX(AH$6:AH$182,MATCH($AR13,$AF$6:$AF$182,0))</f>
        <v>12</v>
      </c>
      <c r="BD13" s="153">
        <f>INDEX(AI$6:AI$182,MATCH($AR13,$AF$6:$AF$182,0))</f>
        <v>3</v>
      </c>
      <c r="BE13" s="153">
        <f>BC13-AO13</f>
        <v>4</v>
      </c>
      <c r="BF13" s="153"/>
      <c r="BG13" s="153"/>
      <c r="BH13" s="195" t="str">
        <f>INDEX($AE$6:$AE$182,MATCH(AR13,$AF$6:$AF$182,0))</f>
        <v>WR</v>
      </c>
      <c r="BI13" s="195">
        <f>SUMIF($BH$6:BH13,BH13,$BK$6:BK13)</f>
        <v>3</v>
      </c>
      <c r="BJ13" s="194">
        <v>1</v>
      </c>
      <c r="BK13" s="194">
        <f t="shared" si="4"/>
        <v>1</v>
      </c>
      <c r="BL13" s="194" t="str">
        <f>IF('Real Time Draft Tool'!B13="y","y","")</f>
        <v/>
      </c>
      <c r="BM13" s="194" t="str">
        <f t="shared" si="5"/>
        <v>WR 3</v>
      </c>
    </row>
    <row r="14" spans="2:65" x14ac:dyDescent="0.25">
      <c r="B14" s="102" t="s">
        <v>51</v>
      </c>
      <c r="C14" s="103" t="s">
        <v>130</v>
      </c>
      <c r="D14" s="103">
        <v>67</v>
      </c>
      <c r="E14" s="140">
        <v>-3</v>
      </c>
      <c r="F14" s="141">
        <v>2.1184740283333334</v>
      </c>
      <c r="G14" s="104">
        <v>0.88846991953062171</v>
      </c>
      <c r="H14" s="142">
        <v>0.17992190887313619</v>
      </c>
      <c r="I14" s="106" t="s">
        <v>38</v>
      </c>
      <c r="J14" s="99"/>
      <c r="K14" s="101">
        <v>9</v>
      </c>
      <c r="L14" s="102" t="s">
        <v>59</v>
      </c>
      <c r="M14" s="103" t="s">
        <v>58</v>
      </c>
      <c r="N14" s="143">
        <v>13</v>
      </c>
      <c r="O14" s="108">
        <v>-4</v>
      </c>
      <c r="P14" s="141">
        <v>6.2511323716666674</v>
      </c>
      <c r="Q14" s="105">
        <v>1.8329607937369126</v>
      </c>
      <c r="R14" s="142">
        <v>0.53294235650242794</v>
      </c>
      <c r="S14" s="106" t="s">
        <v>38</v>
      </c>
      <c r="T14" s="99"/>
      <c r="U14" s="107">
        <v>9</v>
      </c>
      <c r="V14" s="102" t="s">
        <v>56</v>
      </c>
      <c r="W14" s="103" t="s">
        <v>113</v>
      </c>
      <c r="X14" s="143">
        <v>24</v>
      </c>
      <c r="Y14" s="108">
        <v>2</v>
      </c>
      <c r="Z14" s="141">
        <v>5.3406313400000007</v>
      </c>
      <c r="AA14" s="104">
        <v>0.66924630089691151</v>
      </c>
      <c r="AB14" s="142">
        <v>0.55283348396573906</v>
      </c>
      <c r="AC14" s="106" t="s">
        <v>38</v>
      </c>
      <c r="AD14" s="202"/>
      <c r="AE14" s="195" t="s">
        <v>257</v>
      </c>
      <c r="AF14" s="195" t="str">
        <f t="shared" si="2"/>
        <v>Robert Griffin III</v>
      </c>
      <c r="AG14" s="195" t="str">
        <f t="shared" si="2"/>
        <v>10</v>
      </c>
      <c r="AH14" s="195">
        <f t="shared" si="3"/>
        <v>67</v>
      </c>
      <c r="AI14" s="195">
        <f t="shared" si="0"/>
        <v>-3</v>
      </c>
      <c r="AJ14" s="196">
        <f t="shared" si="1"/>
        <v>2.1184740283333334</v>
      </c>
      <c r="AK14" s="196">
        <f t="shared" si="1"/>
        <v>0.88846991953062171</v>
      </c>
      <c r="AL14" s="197">
        <f t="shared" si="1"/>
        <v>0.17992190887313619</v>
      </c>
      <c r="AM14" s="195" t="str">
        <f t="shared" si="1"/>
        <v>3</v>
      </c>
      <c r="AN14" s="153"/>
      <c r="AO14" s="153">
        <v>9</v>
      </c>
      <c r="AP14" s="153">
        <v>11</v>
      </c>
      <c r="AQ14" s="153">
        <f>AP14-AO14</f>
        <v>2</v>
      </c>
      <c r="AR14" s="86" t="s">
        <v>44</v>
      </c>
      <c r="AS14" s="153" t="str">
        <f>BH14&amp;" "&amp;BI14</f>
        <v>WR 4</v>
      </c>
      <c r="AT14" s="153">
        <f>IF(AU14&gt;8,1,IF(AU14&gt;6.4,2,IF(AU14&gt;6,3,IF(AU14&gt;5,4,IF(AU14&gt;3.5,5,IF(AU14&gt;2.5,6,IF(AU14&gt;1.5,7,IF(AU14&gt;0.5,8,IF(AU14&gt;-0.5,9,10)))))))))</f>
        <v>2</v>
      </c>
      <c r="AU14" s="169">
        <f>SUM(AV14,AZ14,BA14)</f>
        <v>6.9903409390909097</v>
      </c>
      <c r="AV14" s="169">
        <f>INDEX(AJ$6:AJ$182,MATCH($AR14,$AF$6:$AF$182,0))</f>
        <v>6.6903409390909099</v>
      </c>
      <c r="AW14" s="169">
        <f>INDEX(AK$6:AK$182,MATCH($AR14,$AF$6:$AF$182,0))</f>
        <v>0.40140732543028035</v>
      </c>
      <c r="AX14" s="168">
        <f>SUMIFS(AV15:AV$183,AV15:AV$183,"&gt;"&amp;0,$BH15:$BH$183,"="&amp;$BH14,$BK15:$BK$183,"="&amp;1)/SUMIFS(AV$6:AV$183,AV$6:AV$183,"&gt;"&amp;0,$BH$6:$BH$183,"="&amp;$BH14)</f>
        <v>0.77532169695199304</v>
      </c>
      <c r="AY14" s="168">
        <f>SUMIFS(AU15:AU$183,AU15:AU$183,"&gt;"&amp;0,BH15:BH$183,"="&amp;BH14,BK15:BK$183,"="&amp;1)/SUMIFS(AU$6:AU$183,AU$6:AU$183,"&gt;"&amp;0,BH$6:BH$183,"="&amp;BH14)</f>
        <v>0.77239888389040945</v>
      </c>
      <c r="AZ14" s="169">
        <f>IF(AW14&gt;Adjustments!$J$6,Adjustments!$L$6,IF(AW14&gt;Adjustments!$J$7,Adjustments!$L$7,IF(AW14&gt;Adjustments!$J$8,Adjustments!$L$8,IF(AW14&lt;Adjustments!$J$10,Adjustments!$L$10,IF(AW14&lt;Adjustments!$J$9,Adjustments!$L$9,0)))))</f>
        <v>0.3</v>
      </c>
      <c r="BA14" s="169">
        <f>INDEX(Adjustments!$C$4:$C$2520,MATCH(AR14,Adjustments!$B$4:$B$2520,0))</f>
        <v>0</v>
      </c>
      <c r="BB14" s="153" t="str">
        <f>INDEX(AG$6:AG$182,MATCH($AR14,$AF$6:$AF$182,0))</f>
        <v>4</v>
      </c>
      <c r="BC14" s="153">
        <f>INDEX(AH$6:AH$182,MATCH($AR14,$AF$6:$AF$182,0))</f>
        <v>13</v>
      </c>
      <c r="BD14" s="153">
        <f>INDEX(AI$6:AI$182,MATCH($AR14,$AF$6:$AF$182,0))</f>
        <v>2</v>
      </c>
      <c r="BE14" s="153">
        <f>BC14-AO14</f>
        <v>4</v>
      </c>
      <c r="BF14" s="153"/>
      <c r="BG14" s="153"/>
      <c r="BH14" s="195" t="str">
        <f>INDEX($AE$6:$AE$182,MATCH(AR14,$AF$6:$AF$182,0))</f>
        <v>WR</v>
      </c>
      <c r="BI14" s="195">
        <f>SUMIF($BH$6:BH14,BH14,$BK$6:BK14)</f>
        <v>4</v>
      </c>
      <c r="BJ14" s="194">
        <v>1</v>
      </c>
      <c r="BK14" s="194">
        <f t="shared" si="4"/>
        <v>1</v>
      </c>
      <c r="BL14" s="194" t="str">
        <f>IF('Real Time Draft Tool'!B14="y","y","")</f>
        <v/>
      </c>
      <c r="BM14" s="194" t="str">
        <f t="shared" si="5"/>
        <v>WR 4</v>
      </c>
    </row>
    <row r="15" spans="2:65" x14ac:dyDescent="0.25">
      <c r="B15" s="102" t="s">
        <v>57</v>
      </c>
      <c r="C15" s="103" t="s">
        <v>130</v>
      </c>
      <c r="D15" s="103">
        <v>71</v>
      </c>
      <c r="E15" s="140">
        <v>-5</v>
      </c>
      <c r="F15" s="141">
        <v>1.6733938600000013</v>
      </c>
      <c r="G15" s="104">
        <v>0.58220570034499397</v>
      </c>
      <c r="H15" s="142">
        <v>0.13609064770759163</v>
      </c>
      <c r="I15" s="106" t="s">
        <v>58</v>
      </c>
      <c r="J15" s="99"/>
      <c r="K15" s="101">
        <v>10</v>
      </c>
      <c r="L15" s="102" t="s">
        <v>55</v>
      </c>
      <c r="M15" s="103" t="s">
        <v>58</v>
      </c>
      <c r="N15" s="143">
        <v>20</v>
      </c>
      <c r="O15" s="108">
        <v>1</v>
      </c>
      <c r="P15" s="141">
        <v>5.8384167866666674</v>
      </c>
      <c r="Q15" s="105">
        <v>0.86859416413518065</v>
      </c>
      <c r="R15" s="142">
        <v>0.49464094563635552</v>
      </c>
      <c r="S15" s="106" t="s">
        <v>85</v>
      </c>
      <c r="T15" s="99"/>
      <c r="U15" s="107">
        <v>10</v>
      </c>
      <c r="V15" s="102" t="s">
        <v>60</v>
      </c>
      <c r="W15" s="103" t="s">
        <v>113</v>
      </c>
      <c r="X15" s="143">
        <v>27</v>
      </c>
      <c r="Y15" s="108">
        <v>1</v>
      </c>
      <c r="Z15" s="141">
        <v>4.7457032349999997</v>
      </c>
      <c r="AA15" s="104">
        <v>0.95640204269767548</v>
      </c>
      <c r="AB15" s="142">
        <v>0.51729629705302616</v>
      </c>
      <c r="AC15" s="106" t="s">
        <v>58</v>
      </c>
      <c r="AD15" s="202"/>
      <c r="AE15" s="195" t="s">
        <v>257</v>
      </c>
      <c r="AF15" s="195" t="str">
        <f t="shared" si="2"/>
        <v>Tom Brady</v>
      </c>
      <c r="AG15" s="195" t="str">
        <f t="shared" si="2"/>
        <v>10</v>
      </c>
      <c r="AH15" s="195">
        <f t="shared" si="3"/>
        <v>71</v>
      </c>
      <c r="AI15" s="195">
        <f t="shared" si="0"/>
        <v>-5</v>
      </c>
      <c r="AJ15" s="196">
        <f t="shared" si="1"/>
        <v>1.6733938600000013</v>
      </c>
      <c r="AK15" s="196">
        <f t="shared" si="1"/>
        <v>0.58220570034499397</v>
      </c>
      <c r="AL15" s="197">
        <f t="shared" si="1"/>
        <v>0.13609064770759163</v>
      </c>
      <c r="AM15" s="195" t="str">
        <f t="shared" si="1"/>
        <v>4</v>
      </c>
      <c r="AN15" s="153"/>
      <c r="AO15" s="153">
        <v>10</v>
      </c>
      <c r="AP15" s="153">
        <v>8</v>
      </c>
      <c r="AQ15" s="153">
        <f>AP15-AO15</f>
        <v>-2</v>
      </c>
      <c r="AR15" s="86" t="s">
        <v>43</v>
      </c>
      <c r="AS15" s="153" t="str">
        <f>BH15&amp;" "&amp;BI15</f>
        <v>RB 5</v>
      </c>
      <c r="AT15" s="153">
        <f>IF(AU15&gt;8,1,IF(AU15&gt;6.4,2,IF(AU15&gt;6,3,IF(AU15&gt;5,4,IF(AU15&gt;3.5,5,IF(AU15&gt;2.5,6,IF(AU15&gt;1.5,7,IF(AU15&gt;0.5,8,IF(AU15&gt;-0.5,9,10)))))))))</f>
        <v>2</v>
      </c>
      <c r="AU15" s="169">
        <f>SUM(AV15,AZ15,BA15)</f>
        <v>6.8330521433333349</v>
      </c>
      <c r="AV15" s="169">
        <f>INDEX(AJ$6:AJ$182,MATCH($AR15,$AF$6:$AF$182,0))</f>
        <v>7.1330521433333347</v>
      </c>
      <c r="AW15" s="169">
        <f>INDEX(AK$6:AK$182,MATCH($AR15,$AF$6:$AF$182,0))</f>
        <v>1.2696235992168823</v>
      </c>
      <c r="AX15" s="168">
        <f>SUMIFS(AV16:AV$183,AV16:AV$183,"&gt;"&amp;0,$BH16:$BH$183,"="&amp;$BH15,$BK16:$BK$183,"="&amp;1)/SUMIFS(AV$6:AV$183,AV$6:AV$183,"&gt;"&amp;0,$BH$6:$BH$183,"="&amp;$BH15)</f>
        <v>0.70400544859295489</v>
      </c>
      <c r="AY15" s="168">
        <f>SUMIFS(AU16:AU$183,AU16:AU$183,"&gt;"&amp;0,BH16:BH$183,"="&amp;BH15,BK16:BK$183,"="&amp;1)/SUMIFS(AU$6:AU$183,AU$6:AU$183,"&gt;"&amp;0,BH$6:BH$183,"="&amp;BH15)</f>
        <v>0.69979648146739637</v>
      </c>
      <c r="AZ15" s="169">
        <f>IF(AW15&gt;Adjustments!$J$6,Adjustments!$L$6,IF(AW15&gt;Adjustments!$J$7,Adjustments!$L$7,IF(AW15&gt;Adjustments!$J$8,Adjustments!$L$8,IF(AW15&lt;Adjustments!$J$10,Adjustments!$L$10,IF(AW15&lt;Adjustments!$J$9,Adjustments!$L$9,0)))))</f>
        <v>-0.3</v>
      </c>
      <c r="BA15" s="169">
        <f>INDEX(Adjustments!$C$4:$C$2520,MATCH(AR15,Adjustments!$B$4:$B$2520,0))</f>
        <v>0</v>
      </c>
      <c r="BB15" s="153" t="str">
        <f>INDEX(AG$6:AG$182,MATCH($AR15,$AF$6:$AF$182,0))</f>
        <v>9</v>
      </c>
      <c r="BC15" s="153">
        <f>INDEX(AH$6:AH$182,MATCH($AR15,$AF$6:$AF$182,0))</f>
        <v>6</v>
      </c>
      <c r="BD15" s="153">
        <f>INDEX(AI$6:AI$182,MATCH($AR15,$AF$6:$AF$182,0))</f>
        <v>-2</v>
      </c>
      <c r="BE15" s="153">
        <f>BC15-AO15</f>
        <v>-4</v>
      </c>
      <c r="BF15" s="153"/>
      <c r="BG15" s="153"/>
      <c r="BH15" s="195" t="str">
        <f>INDEX($AE$6:$AE$182,MATCH(AR15,$AF$6:$AF$182,0))</f>
        <v>RB</v>
      </c>
      <c r="BI15" s="195">
        <f>SUMIF($BH$6:BH15,BH15,$BK$6:BK15)</f>
        <v>5</v>
      </c>
      <c r="BJ15" s="194">
        <v>1</v>
      </c>
      <c r="BK15" s="194">
        <f t="shared" si="4"/>
        <v>1</v>
      </c>
      <c r="BL15" s="194" t="str">
        <f>IF('Real Time Draft Tool'!B15="y","y","")</f>
        <v/>
      </c>
      <c r="BM15" s="194" t="str">
        <f t="shared" si="5"/>
        <v>RB 5</v>
      </c>
    </row>
    <row r="16" spans="2:65" x14ac:dyDescent="0.25">
      <c r="B16" s="102" t="s">
        <v>65</v>
      </c>
      <c r="C16" s="103" t="s">
        <v>58</v>
      </c>
      <c r="D16" s="103">
        <v>109</v>
      </c>
      <c r="E16" s="140">
        <v>30</v>
      </c>
      <c r="F16" s="141">
        <v>1.5545063900000011</v>
      </c>
      <c r="G16" s="104">
        <v>0.70886046069835029</v>
      </c>
      <c r="H16" s="142">
        <v>9.5373410007437848E-2</v>
      </c>
      <c r="I16" s="106" t="s">
        <v>58</v>
      </c>
      <c r="J16" s="99"/>
      <c r="K16" s="101">
        <v>11</v>
      </c>
      <c r="L16" s="102" t="s">
        <v>62</v>
      </c>
      <c r="M16" s="103" t="s">
        <v>163</v>
      </c>
      <c r="N16" s="143">
        <v>17</v>
      </c>
      <c r="O16" s="108">
        <v>-3</v>
      </c>
      <c r="P16" s="141">
        <v>5.710795564545454</v>
      </c>
      <c r="Q16" s="105">
        <v>0.80788154158099312</v>
      </c>
      <c r="R16" s="142">
        <v>0.45717676051868428</v>
      </c>
      <c r="S16" s="106" t="s">
        <v>58</v>
      </c>
      <c r="T16" s="99"/>
      <c r="U16" s="107">
        <v>11</v>
      </c>
      <c r="V16" s="102" t="s">
        <v>63</v>
      </c>
      <c r="W16" s="103" t="s">
        <v>130</v>
      </c>
      <c r="X16" s="143">
        <v>38</v>
      </c>
      <c r="Y16" s="108">
        <v>9</v>
      </c>
      <c r="Z16" s="141">
        <v>4.3628251200000001</v>
      </c>
      <c r="AA16" s="104">
        <v>1.1807147610856152</v>
      </c>
      <c r="AB16" s="142">
        <v>0.48462621127659877</v>
      </c>
      <c r="AC16" s="106" t="s">
        <v>58</v>
      </c>
      <c r="AD16" s="202"/>
      <c r="AE16" s="195" t="s">
        <v>257</v>
      </c>
      <c r="AF16" s="195" t="str">
        <f t="shared" si="2"/>
        <v>Russell Wilson</v>
      </c>
      <c r="AG16" s="195" t="str">
        <f t="shared" si="2"/>
        <v>4</v>
      </c>
      <c r="AH16" s="195">
        <f t="shared" si="3"/>
        <v>109</v>
      </c>
      <c r="AI16" s="195">
        <f t="shared" si="0"/>
        <v>30</v>
      </c>
      <c r="AJ16" s="196">
        <f t="shared" si="1"/>
        <v>1.5545063900000011</v>
      </c>
      <c r="AK16" s="196">
        <f t="shared" si="1"/>
        <v>0.70886046069835029</v>
      </c>
      <c r="AL16" s="197">
        <f t="shared" si="1"/>
        <v>9.5373410007437848E-2</v>
      </c>
      <c r="AM16" s="195" t="str">
        <f t="shared" si="1"/>
        <v>4</v>
      </c>
      <c r="AN16" s="153"/>
      <c r="AO16" s="153">
        <v>11</v>
      </c>
      <c r="AP16" s="153">
        <v>14</v>
      </c>
      <c r="AQ16" s="153">
        <f>AP16-AO16</f>
        <v>3</v>
      </c>
      <c r="AR16" s="86" t="s">
        <v>47</v>
      </c>
      <c r="AS16" s="153" t="str">
        <f>BH16&amp;" "&amp;BI16</f>
        <v>WR 5</v>
      </c>
      <c r="AT16" s="153">
        <f>IF(AU16&gt;8,1,IF(AU16&gt;6.4,2,IF(AU16&gt;6,3,IF(AU16&gt;5,4,IF(AU16&gt;3.5,5,IF(AU16&gt;2.5,6,IF(AU16&gt;1.5,7,IF(AU16&gt;0.5,8,IF(AU16&gt;-0.5,9,10)))))))))</f>
        <v>2</v>
      </c>
      <c r="AU16" s="169">
        <f>SUM(AV16,AZ16,BA16)</f>
        <v>6.7022292366666667</v>
      </c>
      <c r="AV16" s="169">
        <f>INDEX(AJ$6:AJ$182,MATCH($AR16,$AF$6:$AF$182,0))</f>
        <v>6.5022292366666665</v>
      </c>
      <c r="AW16" s="169">
        <f>INDEX(AK$6:AK$182,MATCH($AR16,$AF$6:$AF$182,0))</f>
        <v>0.79965260538513017</v>
      </c>
      <c r="AX16" s="168">
        <f>SUMIFS(AV17:AV$183,AV17:AV$183,"&gt;"&amp;0,$BH17:$BH$183,"="&amp;$BH16,$BK17:$BK$183,"="&amp;1)/SUMIFS(AV$6:AV$183,AV$6:AV$183,"&gt;"&amp;0,$BH$6:$BH$183,"="&amp;$BH16)</f>
        <v>0.72663113955924263</v>
      </c>
      <c r="AY16" s="168">
        <f>SUMIFS(AU17:AU$183,AU17:AU$183,"&gt;"&amp;0,BH17:BH$183,"="&amp;BH16,BK17:BK$183,"="&amp;1)/SUMIFS(AU$6:AU$183,AU$6:AU$183,"&gt;"&amp;0,BH$6:BH$183,"="&amp;BH16)</f>
        <v>0.72287815489542739</v>
      </c>
      <c r="AZ16" s="169">
        <f>IF(AW16&gt;Adjustments!$J$6,Adjustments!$L$6,IF(AW16&gt;Adjustments!$J$7,Adjustments!$L$7,IF(AW16&gt;Adjustments!$J$8,Adjustments!$L$8,IF(AW16&lt;Adjustments!$J$10,Adjustments!$L$10,IF(AW16&lt;Adjustments!$J$9,Adjustments!$L$9,0)))))</f>
        <v>0.2</v>
      </c>
      <c r="BA16" s="169">
        <f>INDEX(Adjustments!$C$4:$C$2520,MATCH(AR16,Adjustments!$B$4:$B$2520,0))</f>
        <v>0</v>
      </c>
      <c r="BB16" s="153" t="str">
        <f>INDEX(AG$6:AG$182,MATCH($AR16,$AF$6:$AF$182,0))</f>
        <v>9</v>
      </c>
      <c r="BC16" s="153">
        <f>INDEX(AH$6:AH$182,MATCH($AR16,$AF$6:$AF$182,0))</f>
        <v>17</v>
      </c>
      <c r="BD16" s="153">
        <f>INDEX(AI$6:AI$182,MATCH($AR16,$AF$6:$AF$182,0))</f>
        <v>3</v>
      </c>
      <c r="BE16" s="153">
        <f>BC16-AO16</f>
        <v>6</v>
      </c>
      <c r="BF16" s="153"/>
      <c r="BG16" s="153"/>
      <c r="BH16" s="195" t="str">
        <f>INDEX($AE$6:$AE$182,MATCH(AR16,$AF$6:$AF$182,0))</f>
        <v>WR</v>
      </c>
      <c r="BI16" s="195">
        <f>SUMIF($BH$6:BH16,BH16,$BK$6:BK16)</f>
        <v>5</v>
      </c>
      <c r="BJ16" s="194">
        <v>1</v>
      </c>
      <c r="BK16" s="194">
        <f t="shared" si="4"/>
        <v>1</v>
      </c>
      <c r="BL16" s="194" t="str">
        <f>IF('Real Time Draft Tool'!B16="y","y","")</f>
        <v/>
      </c>
      <c r="BM16" s="194" t="str">
        <f t="shared" si="5"/>
        <v>WR 5</v>
      </c>
    </row>
    <row r="17" spans="2:65" x14ac:dyDescent="0.25">
      <c r="B17" s="102" t="s">
        <v>61</v>
      </c>
      <c r="C17" s="103" t="s">
        <v>113</v>
      </c>
      <c r="D17" s="103">
        <v>78</v>
      </c>
      <c r="E17" s="140">
        <v>-6</v>
      </c>
      <c r="F17" s="141">
        <v>1.3784365583333338</v>
      </c>
      <c r="G17" s="104">
        <v>0.59571770182587491</v>
      </c>
      <c r="H17" s="142">
        <v>5.926797527825655E-2</v>
      </c>
      <c r="I17" s="106" t="s">
        <v>58</v>
      </c>
      <c r="J17" s="99"/>
      <c r="K17" s="101">
        <v>12</v>
      </c>
      <c r="L17" s="102" t="s">
        <v>70</v>
      </c>
      <c r="M17" s="103" t="s">
        <v>91</v>
      </c>
      <c r="N17" s="143">
        <v>24</v>
      </c>
      <c r="O17" s="108">
        <v>0</v>
      </c>
      <c r="P17" s="141">
        <v>5.0435063800000002</v>
      </c>
      <c r="Q17" s="105">
        <v>1.1171285239868824</v>
      </c>
      <c r="R17" s="142">
        <v>0.42409015208963347</v>
      </c>
      <c r="S17" s="106" t="s">
        <v>58</v>
      </c>
      <c r="T17" s="99"/>
      <c r="U17" s="107">
        <v>12</v>
      </c>
      <c r="V17" s="102" t="s">
        <v>71</v>
      </c>
      <c r="W17" s="103" t="s">
        <v>91</v>
      </c>
      <c r="X17" s="143">
        <v>37</v>
      </c>
      <c r="Y17" s="108">
        <v>5</v>
      </c>
      <c r="Z17" s="141">
        <v>4.1941334633333334</v>
      </c>
      <c r="AA17" s="104">
        <v>0.74437947138824323</v>
      </c>
      <c r="AB17" s="142">
        <v>0.45321933700681727</v>
      </c>
      <c r="AC17" s="106" t="s">
        <v>58</v>
      </c>
      <c r="AD17" s="202"/>
      <c r="AE17" s="195" t="s">
        <v>257</v>
      </c>
      <c r="AF17" s="195" t="str">
        <f t="shared" si="2"/>
        <v>Matt Ryan</v>
      </c>
      <c r="AG17" s="195" t="str">
        <f t="shared" si="2"/>
        <v>9</v>
      </c>
      <c r="AH17" s="195">
        <f t="shared" si="3"/>
        <v>78</v>
      </c>
      <c r="AI17" s="195">
        <f t="shared" si="0"/>
        <v>-6</v>
      </c>
      <c r="AJ17" s="196">
        <f t="shared" si="1"/>
        <v>1.3784365583333338</v>
      </c>
      <c r="AK17" s="196">
        <f t="shared" si="1"/>
        <v>0.59571770182587491</v>
      </c>
      <c r="AL17" s="197">
        <f t="shared" si="1"/>
        <v>5.926797527825655E-2</v>
      </c>
      <c r="AM17" s="195" t="str">
        <f t="shared" si="1"/>
        <v>4</v>
      </c>
      <c r="AN17" s="153"/>
      <c r="AO17" s="153">
        <v>12</v>
      </c>
      <c r="AP17" s="153">
        <v>15</v>
      </c>
      <c r="AQ17" s="153">
        <f>AP17-AO17</f>
        <v>3</v>
      </c>
      <c r="AR17" s="86" t="s">
        <v>41</v>
      </c>
      <c r="AS17" s="153" t="str">
        <f>BH17&amp;" "&amp;BI17</f>
        <v>WR 6</v>
      </c>
      <c r="AT17" s="153">
        <f>IF(AU17&gt;8,1,IF(AU17&gt;6.4,2,IF(AU17&gt;6,3,IF(AU17&gt;5,4,IF(AU17&gt;3.5,5,IF(AU17&gt;2.5,6,IF(AU17&gt;1.5,7,IF(AU17&gt;0.5,8,IF(AU17&gt;-0.5,9,10)))))))))</f>
        <v>2</v>
      </c>
      <c r="AU17" s="169">
        <f>SUM(AV17,AZ17,BA17)</f>
        <v>6.69743756</v>
      </c>
      <c r="AV17" s="169">
        <f>INDEX(AJ$6:AJ$182,MATCH($AR17,$AF$6:$AF$182,0))</f>
        <v>6.4974375599999998</v>
      </c>
      <c r="AW17" s="169">
        <f>INDEX(AK$6:AK$182,MATCH($AR17,$AF$6:$AF$182,0))</f>
        <v>0.67476167957194266</v>
      </c>
      <c r="AX17" s="168">
        <f>SUMIFS(AV18:AV$183,AV18:AV$183,"&gt;"&amp;0,$BH18:$BH$183,"="&amp;$BH17,$BK18:$BK$183,"="&amp;1)/SUMIFS(AV$6:AV$183,AV$6:AV$183,"&gt;"&amp;0,$BH$6:$BH$183,"="&amp;$BH17)</f>
        <v>0.67797646361564634</v>
      </c>
      <c r="AY17" s="168">
        <f>SUMIFS(AU18:AU$183,AU18:AU$183,"&gt;"&amp;0,BH18:BH$183,"="&amp;BH17,BK18:BK$183,"="&amp;1)/SUMIFS(AU$6:AU$183,AU$6:AU$183,"&gt;"&amp;0,BH$6:BH$183,"="&amp;BH17)</f>
        <v>0.67339283013883555</v>
      </c>
      <c r="AZ17" s="169">
        <f>IF(AW17&gt;Adjustments!$J$6,Adjustments!$L$6,IF(AW17&gt;Adjustments!$J$7,Adjustments!$L$7,IF(AW17&gt;Adjustments!$J$8,Adjustments!$L$8,IF(AW17&lt;Adjustments!$J$10,Adjustments!$L$10,IF(AW17&lt;Adjustments!$J$9,Adjustments!$L$9,0)))))</f>
        <v>0.2</v>
      </c>
      <c r="BA17" s="169">
        <f>INDEX(Adjustments!$C$4:$C$2520,MATCH(AR17,Adjustments!$B$4:$B$2520,0))</f>
        <v>0</v>
      </c>
      <c r="BB17" s="153" t="str">
        <f>INDEX(AG$6:AG$182,MATCH($AR17,$AF$6:$AF$182,0))</f>
        <v>9</v>
      </c>
      <c r="BC17" s="153">
        <f>INDEX(AH$6:AH$182,MATCH($AR17,$AF$6:$AF$182,0))</f>
        <v>15</v>
      </c>
      <c r="BD17" s="153">
        <f>INDEX(AI$6:AI$182,MATCH($AR17,$AF$6:$AF$182,0))</f>
        <v>0</v>
      </c>
      <c r="BE17" s="153">
        <f>BC17-AO17</f>
        <v>3</v>
      </c>
      <c r="BF17" s="153"/>
      <c r="BG17" s="153"/>
      <c r="BH17" s="195" t="str">
        <f>INDEX($AE$6:$AE$182,MATCH(AR17,$AF$6:$AF$182,0))</f>
        <v>WR</v>
      </c>
      <c r="BI17" s="195">
        <f>SUMIF($BH$6:BH17,BH17,$BK$6:BK17)</f>
        <v>6</v>
      </c>
      <c r="BJ17" s="194">
        <v>1</v>
      </c>
      <c r="BK17" s="194">
        <f t="shared" si="4"/>
        <v>1</v>
      </c>
      <c r="BL17" s="194" t="str">
        <f>IF('Real Time Draft Tool'!B17="y","y","")</f>
        <v/>
      </c>
      <c r="BM17" s="194" t="str">
        <f t="shared" si="5"/>
        <v>WR 6</v>
      </c>
    </row>
    <row r="18" spans="2:65" x14ac:dyDescent="0.25">
      <c r="B18" s="102" t="s">
        <v>68</v>
      </c>
      <c r="C18" s="103" t="s">
        <v>156</v>
      </c>
      <c r="D18" s="103">
        <v>91</v>
      </c>
      <c r="E18" s="140">
        <v>3</v>
      </c>
      <c r="F18" s="141">
        <v>1.1267480466666673</v>
      </c>
      <c r="G18" s="104">
        <v>1.0375276190441181</v>
      </c>
      <c r="H18" s="142">
        <v>2.9755026126397004E-2</v>
      </c>
      <c r="I18" s="106" t="s">
        <v>69</v>
      </c>
      <c r="J18" s="99"/>
      <c r="K18" s="101">
        <v>13</v>
      </c>
      <c r="L18" s="102" t="s">
        <v>74</v>
      </c>
      <c r="M18" s="103" t="s">
        <v>58</v>
      </c>
      <c r="N18" s="143">
        <v>31</v>
      </c>
      <c r="O18" s="108">
        <v>4</v>
      </c>
      <c r="P18" s="141">
        <v>4.5813282849999997</v>
      </c>
      <c r="Q18" s="105">
        <v>0.96011829109817359</v>
      </c>
      <c r="R18" s="142">
        <v>0.39403554253231787</v>
      </c>
      <c r="S18" s="106" t="s">
        <v>73</v>
      </c>
      <c r="T18" s="99"/>
      <c r="U18" s="107">
        <v>13</v>
      </c>
      <c r="V18" s="102" t="s">
        <v>67</v>
      </c>
      <c r="W18" s="103" t="s">
        <v>130</v>
      </c>
      <c r="X18" s="143">
        <v>35</v>
      </c>
      <c r="Y18" s="108">
        <v>2</v>
      </c>
      <c r="Z18" s="141">
        <v>4.0516605566666675</v>
      </c>
      <c r="AA18" s="104">
        <v>0.61661957730861672</v>
      </c>
      <c r="AB18" s="142">
        <v>0.42287934072402616</v>
      </c>
      <c r="AC18" s="106" t="s">
        <v>58</v>
      </c>
      <c r="AD18" s="202"/>
      <c r="AE18" s="195" t="s">
        <v>257</v>
      </c>
      <c r="AF18" s="195" t="str">
        <f t="shared" si="2"/>
        <v>Tony Romo</v>
      </c>
      <c r="AG18" s="195" t="str">
        <f t="shared" si="2"/>
        <v>11</v>
      </c>
      <c r="AH18" s="195">
        <f t="shared" si="3"/>
        <v>91</v>
      </c>
      <c r="AI18" s="195">
        <f t="shared" si="0"/>
        <v>3</v>
      </c>
      <c r="AJ18" s="196">
        <f t="shared" si="1"/>
        <v>1.1267480466666673</v>
      </c>
      <c r="AK18" s="196">
        <f t="shared" si="1"/>
        <v>1.0375276190441181</v>
      </c>
      <c r="AL18" s="197">
        <f t="shared" si="1"/>
        <v>2.9755026126397004E-2</v>
      </c>
      <c r="AM18" s="195" t="str">
        <f t="shared" si="1"/>
        <v>4-</v>
      </c>
      <c r="AN18" s="153"/>
      <c r="AO18" s="153">
        <v>13</v>
      </c>
      <c r="AP18" s="153">
        <v>10</v>
      </c>
      <c r="AQ18" s="153">
        <f>AP18-AO18</f>
        <v>-3</v>
      </c>
      <c r="AR18" s="86" t="s">
        <v>49</v>
      </c>
      <c r="AS18" s="153" t="str">
        <f>BH18&amp;" "&amp;BI18</f>
        <v>RB 6</v>
      </c>
      <c r="AT18" s="153">
        <f>IF(AU18&gt;8,1,IF(AU18&gt;6.4,2,IF(AU18&gt;6,3,IF(AU18&gt;5,4,IF(AU18&gt;3.5,5,IF(AU18&gt;2.5,6,IF(AU18&gt;1.5,7,IF(AU18&gt;0.5,8,IF(AU18&gt;-0.5,9,10)))))))))</f>
        <v>2</v>
      </c>
      <c r="AU18" s="169">
        <f>SUM(AV18,AZ18,BA18)</f>
        <v>6.4396906949999986</v>
      </c>
      <c r="AV18" s="169">
        <f>INDEX(AJ$6:AJ$182,MATCH($AR18,$AF$6:$AF$182,0))</f>
        <v>6.7396906949999984</v>
      </c>
      <c r="AW18" s="169">
        <f>INDEX(AK$6:AK$182,MATCH($AR18,$AF$6:$AF$182,0))</f>
        <v>1.2642062561994321</v>
      </c>
      <c r="AX18" s="168">
        <f>SUMIFS(AV19:AV$183,AV19:AV$183,"&gt;"&amp;0,$BH19:$BH$183,"="&amp;$BH18,$BK19:$BK$183,"="&amp;1)/SUMIFS(AV$6:AV$183,AV$6:AV$183,"&gt;"&amp;0,$BH$6:$BH$183,"="&amp;$BH18)</f>
        <v>0.65979146527320287</v>
      </c>
      <c r="AY18" s="168">
        <f>SUMIFS(AU19:AU$183,AU19:AU$183,"&gt;"&amp;0,BH19:BH$183,"="&amp;BH18,BK19:BK$183,"="&amp;1)/SUMIFS(AU$6:AU$183,AU$6:AU$183,"&gt;"&amp;0,BH$6:BH$183,"="&amp;BH18)</f>
        <v>0.65527227208909744</v>
      </c>
      <c r="AZ18" s="169">
        <f>IF(AW18&gt;Adjustments!$J$6,Adjustments!$L$6,IF(AW18&gt;Adjustments!$J$7,Adjustments!$L$7,IF(AW18&gt;Adjustments!$J$8,Adjustments!$L$8,IF(AW18&lt;Adjustments!$J$10,Adjustments!$L$10,IF(AW18&lt;Adjustments!$J$9,Adjustments!$L$9,0)))))</f>
        <v>-0.3</v>
      </c>
      <c r="BA18" s="169">
        <f>INDEX(Adjustments!$C$4:$C$2520,MATCH(AR18,Adjustments!$B$4:$B$2520,0))</f>
        <v>0</v>
      </c>
      <c r="BB18" s="153" t="str">
        <f>INDEX(AG$6:AG$182,MATCH($AR18,$AF$6:$AF$182,0))</f>
        <v>4</v>
      </c>
      <c r="BC18" s="153">
        <f>INDEX(AH$6:AH$182,MATCH($AR18,$AF$6:$AF$182,0))</f>
        <v>13</v>
      </c>
      <c r="BD18" s="153">
        <f>INDEX(AI$6:AI$182,MATCH($AR18,$AF$6:$AF$182,0))</f>
        <v>3</v>
      </c>
      <c r="BE18" s="153">
        <f>BC18-AO18</f>
        <v>0</v>
      </c>
      <c r="BF18" s="153"/>
      <c r="BG18" s="153"/>
      <c r="BH18" s="195" t="str">
        <f>INDEX($AE$6:$AE$182,MATCH(AR18,$AF$6:$AF$182,0))</f>
        <v>RB</v>
      </c>
      <c r="BI18" s="195">
        <f>SUMIF($BH$6:BH18,BH18,$BK$6:BK18)</f>
        <v>6</v>
      </c>
      <c r="BJ18" s="194">
        <v>1</v>
      </c>
      <c r="BK18" s="194">
        <f t="shared" si="4"/>
        <v>1</v>
      </c>
      <c r="BL18" s="194" t="str">
        <f>IF('Real Time Draft Tool'!B18="y","y","")</f>
        <v/>
      </c>
      <c r="BM18" s="194" t="str">
        <f t="shared" si="5"/>
        <v>RB 6</v>
      </c>
    </row>
    <row r="19" spans="2:65" x14ac:dyDescent="0.25">
      <c r="B19" s="102" t="s">
        <v>72</v>
      </c>
      <c r="C19" s="103" t="s">
        <v>113</v>
      </c>
      <c r="D19" s="103">
        <v>106</v>
      </c>
      <c r="E19" s="140">
        <v>9</v>
      </c>
      <c r="F19" s="141">
        <v>0.54331058666666743</v>
      </c>
      <c r="G19" s="104">
        <v>0.51785885729106784</v>
      </c>
      <c r="H19" s="142">
        <v>1.5524073815987504E-2</v>
      </c>
      <c r="I19" s="106" t="s">
        <v>227</v>
      </c>
      <c r="J19" s="99"/>
      <c r="K19" s="101">
        <v>14</v>
      </c>
      <c r="L19" s="102" t="s">
        <v>66</v>
      </c>
      <c r="M19" s="103" t="s">
        <v>113</v>
      </c>
      <c r="N19" s="143">
        <v>32</v>
      </c>
      <c r="O19" s="108">
        <v>4</v>
      </c>
      <c r="P19" s="141">
        <v>4.5098210033333341</v>
      </c>
      <c r="Q19" s="105">
        <v>1.3416412730916076</v>
      </c>
      <c r="R19" s="142">
        <v>0.364450037849681</v>
      </c>
      <c r="S19" s="106" t="s">
        <v>73</v>
      </c>
      <c r="T19" s="99"/>
      <c r="U19" s="107">
        <v>14</v>
      </c>
      <c r="V19" s="102" t="s">
        <v>75</v>
      </c>
      <c r="W19" s="103" t="s">
        <v>58</v>
      </c>
      <c r="X19" s="143">
        <v>40</v>
      </c>
      <c r="Y19" s="108">
        <v>2</v>
      </c>
      <c r="Z19" s="141">
        <v>3.6642032750000002</v>
      </c>
      <c r="AA19" s="104">
        <v>1.0685520514202678</v>
      </c>
      <c r="AB19" s="142">
        <v>0.39544073569084609</v>
      </c>
      <c r="AC19" s="106" t="s">
        <v>73</v>
      </c>
      <c r="AD19" s="202"/>
      <c r="AE19" s="195" t="s">
        <v>257</v>
      </c>
      <c r="AF19" s="195" t="str">
        <f t="shared" si="2"/>
        <v>Jay Cutler</v>
      </c>
      <c r="AG19" s="195" t="str">
        <f t="shared" si="2"/>
        <v>9</v>
      </c>
      <c r="AH19" s="195">
        <f t="shared" si="3"/>
        <v>106</v>
      </c>
      <c r="AI19" s="195">
        <f t="shared" si="0"/>
        <v>9</v>
      </c>
      <c r="AJ19" s="196">
        <f t="shared" si="1"/>
        <v>0.54331058666666743</v>
      </c>
      <c r="AK19" s="196">
        <f t="shared" si="1"/>
        <v>0.51785885729106784</v>
      </c>
      <c r="AL19" s="197">
        <f t="shared" si="1"/>
        <v>1.5524073815987504E-2</v>
      </c>
      <c r="AM19" s="195" t="str">
        <f t="shared" si="1"/>
        <v>5-</v>
      </c>
      <c r="AN19" s="153"/>
      <c r="AO19" s="153">
        <v>14</v>
      </c>
      <c r="AP19" s="153">
        <v>16</v>
      </c>
      <c r="AQ19" s="153">
        <f>AP19-AO19</f>
        <v>2</v>
      </c>
      <c r="AR19" s="86" t="s">
        <v>25</v>
      </c>
      <c r="AS19" s="153" t="str">
        <f>BH19&amp;" "&amp;BI19</f>
        <v>QB 1</v>
      </c>
      <c r="AT19" s="153">
        <f>IF(AU19&gt;8,1,IF(AU19&gt;6.4,2,IF(AU19&gt;6,3,IF(AU19&gt;5,4,IF(AU19&gt;3.5,5,IF(AU19&gt;2.5,6,IF(AU19&gt;1.5,7,IF(AU19&gt;0.5,8,IF(AU19&gt;-0.5,9,10)))))))))</f>
        <v>2</v>
      </c>
      <c r="AU19" s="169">
        <f>SUM(AV19,AZ19,BA19)</f>
        <v>6.4282234575000006</v>
      </c>
      <c r="AV19" s="169">
        <f>INDEX(AJ$6:AJ$182,MATCH($AR19,$AF$6:$AF$182,0))</f>
        <v>6.4282234575000006</v>
      </c>
      <c r="AW19" s="169">
        <f>INDEX(AK$6:AK$182,MATCH($AR19,$AF$6:$AF$182,0))</f>
        <v>0.80398801148326904</v>
      </c>
      <c r="AX19" s="168">
        <f>SUMIFS(AV20:AV$183,AV20:AV$183,"&gt;"&amp;0,$BH20:$BH$183,"="&amp;$BH19,$BK20:$BK$183,"="&amp;1)/SUMIFS(AV$6:AV$183,AV$6:AV$183,"&gt;"&amp;0,$BH$6:$BH$183,"="&amp;$BH19)</f>
        <v>0.83162532866221783</v>
      </c>
      <c r="AY19" s="168">
        <f>SUMIFS(AU20:AU$183,AU20:AU$183,"&gt;"&amp;0,BH20:BH$183,"="&amp;BH19,BK20:BK$183,"="&amp;1)/SUMIFS(AU$6:AU$183,AU$6:AU$183,"&gt;"&amp;0,BH$6:BH$183,"="&amp;BH19)</f>
        <v>0.8371993778555048</v>
      </c>
      <c r="AZ19" s="170">
        <f>IF(AW19&gt;Adjustments!$J$6,Adjustments!$L$6,IF(AW19&gt;Adjustments!$J$7,Adjustments!$L$7,IF(AW19&gt;Adjustments!$J$8,Adjustments!$L$8,IF(AW19&lt;Adjustments!$J$10,Adjustments!$L$10,IF(AW19&lt;Adjustments!$J$9,Adjustments!$L$9,0)))))</f>
        <v>0</v>
      </c>
      <c r="BA19" s="169">
        <f>INDEX(Adjustments!$C$4:$C$2520,MATCH(AR19,Adjustments!$B$4:$B$2520,0))</f>
        <v>0</v>
      </c>
      <c r="BB19" s="153" t="str">
        <f>INDEX(AG$6:AG$182,MATCH($AR19,$AF$6:$AF$182,0))</f>
        <v>4</v>
      </c>
      <c r="BC19" s="153">
        <f>INDEX(AH$6:AH$182,MATCH($AR19,$AF$6:$AF$182,0))</f>
        <v>11</v>
      </c>
      <c r="BD19" s="153">
        <f>INDEX(AI$6:AI$182,MATCH($AR19,$AF$6:$AF$182,0))</f>
        <v>-5</v>
      </c>
      <c r="BE19" s="153">
        <f>BC19-AO19</f>
        <v>-3</v>
      </c>
      <c r="BF19" s="153"/>
      <c r="BG19" s="153"/>
      <c r="BH19" s="195" t="str">
        <f>INDEX($AE$6:$AE$182,MATCH(AR19,$AF$6:$AF$182,0))</f>
        <v>QB</v>
      </c>
      <c r="BI19" s="201">
        <f>SUMIF($BH$6:BH19,BH19,$BK$6:BK19)</f>
        <v>1</v>
      </c>
      <c r="BJ19" s="194">
        <v>1</v>
      </c>
      <c r="BK19" s="194">
        <f t="shared" si="4"/>
        <v>1</v>
      </c>
      <c r="BL19" s="194" t="str">
        <f>IF('Real Time Draft Tool'!B19="y","y","")</f>
        <v/>
      </c>
      <c r="BM19" s="194" t="str">
        <f t="shared" si="5"/>
        <v>QB 1</v>
      </c>
    </row>
    <row r="20" spans="2:65" x14ac:dyDescent="0.25">
      <c r="B20" s="102" t="s">
        <v>76</v>
      </c>
      <c r="C20" s="103" t="s">
        <v>130</v>
      </c>
      <c r="D20" s="103">
        <v>111</v>
      </c>
      <c r="E20" s="140">
        <v>11</v>
      </c>
      <c r="F20" s="141">
        <v>0.41538765000000061</v>
      </c>
      <c r="G20" s="104">
        <v>0.58917752345768115</v>
      </c>
      <c r="H20" s="142">
        <v>4.643811250609268E-3</v>
      </c>
      <c r="I20" s="106" t="s">
        <v>73</v>
      </c>
      <c r="J20" s="99"/>
      <c r="K20" s="101">
        <v>15</v>
      </c>
      <c r="L20" s="102" t="s">
        <v>77</v>
      </c>
      <c r="M20" s="103" t="s">
        <v>58</v>
      </c>
      <c r="N20" s="143">
        <v>30</v>
      </c>
      <c r="O20" s="108">
        <v>0</v>
      </c>
      <c r="P20" s="141">
        <v>4.3626845150000007</v>
      </c>
      <c r="Q20" s="105">
        <v>0.99004243852916352</v>
      </c>
      <c r="R20" s="142">
        <v>0.33582978373050437</v>
      </c>
      <c r="S20" s="106" t="s">
        <v>73</v>
      </c>
      <c r="T20" s="99"/>
      <c r="U20" s="107">
        <v>15</v>
      </c>
      <c r="V20" s="102" t="s">
        <v>86</v>
      </c>
      <c r="W20" s="103" t="s">
        <v>130</v>
      </c>
      <c r="X20" s="143">
        <v>36</v>
      </c>
      <c r="Y20" s="108">
        <v>-3</v>
      </c>
      <c r="Z20" s="141">
        <v>3.6199793266666664</v>
      </c>
      <c r="AA20" s="104">
        <v>0.60607127598325594</v>
      </c>
      <c r="AB20" s="142">
        <v>0.36833329226641337</v>
      </c>
      <c r="AC20" s="106" t="s">
        <v>73</v>
      </c>
      <c r="AD20" s="202"/>
      <c r="AE20" s="195" t="s">
        <v>257</v>
      </c>
      <c r="AF20" s="195" t="str">
        <f t="shared" si="2"/>
        <v>Philip Rivers</v>
      </c>
      <c r="AG20" s="195" t="str">
        <f t="shared" si="2"/>
        <v>10</v>
      </c>
      <c r="AH20" s="195">
        <f t="shared" si="3"/>
        <v>111</v>
      </c>
      <c r="AI20" s="195">
        <f t="shared" si="0"/>
        <v>11</v>
      </c>
      <c r="AJ20" s="196">
        <f t="shared" si="1"/>
        <v>0.41538765000000061</v>
      </c>
      <c r="AK20" s="196">
        <f t="shared" si="1"/>
        <v>0.58917752345768115</v>
      </c>
      <c r="AL20" s="197">
        <f t="shared" si="1"/>
        <v>4.643811250609268E-3</v>
      </c>
      <c r="AM20" s="195" t="str">
        <f t="shared" si="1"/>
        <v>5</v>
      </c>
      <c r="AN20" s="153"/>
      <c r="AO20" s="153">
        <v>15</v>
      </c>
      <c r="AP20" s="153">
        <v>12</v>
      </c>
      <c r="AQ20" s="153">
        <f>AP20-AO20</f>
        <v>-3</v>
      </c>
      <c r="AR20" s="86" t="s">
        <v>46</v>
      </c>
      <c r="AS20" s="153" t="str">
        <f>BH20&amp;" "&amp;BI20</f>
        <v>RB 7</v>
      </c>
      <c r="AT20" s="153">
        <f>IF(AU20&gt;8,1,IF(AU20&gt;6.4,2,IF(AU20&gt;6,3,IF(AU20&gt;5,4,IF(AU20&gt;3.5,5,IF(AU20&gt;2.5,6,IF(AU20&gt;1.5,7,IF(AU20&gt;0.5,8,IF(AU20&gt;-0.5,9,10)))))))))</f>
        <v>3</v>
      </c>
      <c r="AU20" s="169">
        <f>SUM(AV20,AZ20,BA20)</f>
        <v>6.397823016666667</v>
      </c>
      <c r="AV20" s="169">
        <f>INDEX(AJ$6:AJ$182,MATCH($AR20,$AF$6:$AF$182,0))</f>
        <v>6.5478230166666673</v>
      </c>
      <c r="AW20" s="169">
        <f>INDEX(AK$6:AK$182,MATCH($AR20,$AF$6:$AF$182,0))</f>
        <v>1.1225858193281351</v>
      </c>
      <c r="AX20" s="168">
        <f>SUMIFS(AV21:AV$183,AV21:AV$183,"&gt;"&amp;0,$BH21:$BH$183,"="&amp;$BH20,$BK21:$BK$183,"="&amp;1)/SUMIFS(AV$6:AV$183,AV$6:AV$183,"&gt;"&amp;0,$BH$6:$BH$183,"="&amp;$BH20)</f>
        <v>0.61683617982451544</v>
      </c>
      <c r="AY20" s="168">
        <f>SUMIFS(AU21:AU$183,AU21:AU$183,"&gt;"&amp;0,BH21:BH$183,"="&amp;BH20,BK21:BK$183,"="&amp;1)/SUMIFS(AU$6:AU$183,AU$6:AU$183,"&gt;"&amp;0,BH$6:BH$183,"="&amp;BH20)</f>
        <v>0.61103753706051256</v>
      </c>
      <c r="AZ20" s="169">
        <f>IF(AW20&gt;Adjustments!$J$6,Adjustments!$L$6,IF(AW20&gt;Adjustments!$J$7,Adjustments!$L$7,IF(AW20&gt;Adjustments!$J$8,Adjustments!$L$8,IF(AW20&lt;Adjustments!$J$10,Adjustments!$L$10,IF(AW20&lt;Adjustments!$J$9,Adjustments!$L$9,0)))))</f>
        <v>-0.15</v>
      </c>
      <c r="BA20" s="169">
        <f>INDEX(Adjustments!$C$4:$C$2520,MATCH(AR20,Adjustments!$B$4:$B$2520,0))</f>
        <v>0</v>
      </c>
      <c r="BB20" s="153" t="str">
        <f>INDEX(AG$6:AG$182,MATCH($AR20,$AF$6:$AF$182,0))</f>
        <v>11</v>
      </c>
      <c r="BC20" s="153">
        <f>INDEX(AH$6:AH$182,MATCH($AR20,$AF$6:$AF$182,0))</f>
        <v>14</v>
      </c>
      <c r="BD20" s="153">
        <f>INDEX(AI$6:AI$182,MATCH($AR20,$AF$6:$AF$182,0))</f>
        <v>2</v>
      </c>
      <c r="BE20" s="153">
        <f>BC20-AO20</f>
        <v>-1</v>
      </c>
      <c r="BF20" s="153"/>
      <c r="BG20" s="153"/>
      <c r="BH20" s="195" t="str">
        <f>INDEX($AE$6:$AE$182,MATCH(AR20,$AF$6:$AF$182,0))</f>
        <v>RB</v>
      </c>
      <c r="BI20" s="195">
        <f>SUMIF($BH$6:BH20,BH20,$BK$6:BK20)</f>
        <v>7</v>
      </c>
      <c r="BJ20" s="194">
        <v>1</v>
      </c>
      <c r="BK20" s="194">
        <f t="shared" si="4"/>
        <v>1</v>
      </c>
      <c r="BL20" s="194" t="str">
        <f>IF('Real Time Draft Tool'!B20="y","y","")</f>
        <v/>
      </c>
      <c r="BM20" s="194" t="str">
        <f t="shared" si="5"/>
        <v>RB 7</v>
      </c>
    </row>
    <row r="21" spans="2:65" x14ac:dyDescent="0.25">
      <c r="B21" s="102" t="s">
        <v>79</v>
      </c>
      <c r="C21" s="103" t="s">
        <v>163</v>
      </c>
      <c r="D21" s="103">
        <v>129</v>
      </c>
      <c r="E21" s="140">
        <v>22</v>
      </c>
      <c r="F21" s="141">
        <v>0.17729184666666692</v>
      </c>
      <c r="G21" s="104">
        <v>0.3425940619565358</v>
      </c>
      <c r="H21" s="142">
        <v>0</v>
      </c>
      <c r="I21" s="106" t="s">
        <v>227</v>
      </c>
      <c r="J21" s="99"/>
      <c r="K21" s="101">
        <v>16</v>
      </c>
      <c r="L21" s="102" t="s">
        <v>80</v>
      </c>
      <c r="M21" s="103" t="s">
        <v>156</v>
      </c>
      <c r="N21" s="143">
        <v>47</v>
      </c>
      <c r="O21" s="108">
        <v>12</v>
      </c>
      <c r="P21" s="141">
        <v>3.9248230966666666</v>
      </c>
      <c r="Q21" s="105">
        <v>1.1981856933912791</v>
      </c>
      <c r="R21" s="142">
        <v>0.31008200526676322</v>
      </c>
      <c r="S21" s="106" t="s">
        <v>227</v>
      </c>
      <c r="T21" s="99"/>
      <c r="U21" s="107">
        <v>16</v>
      </c>
      <c r="V21" s="102" t="s">
        <v>78</v>
      </c>
      <c r="W21" s="103" t="s">
        <v>113</v>
      </c>
      <c r="X21" s="143">
        <v>46</v>
      </c>
      <c r="Y21" s="108">
        <v>6</v>
      </c>
      <c r="Z21" s="141">
        <v>3.586401251666667</v>
      </c>
      <c r="AA21" s="104">
        <v>0.86562133058720525</v>
      </c>
      <c r="AB21" s="142">
        <v>0.34147729109792352</v>
      </c>
      <c r="AC21" s="106" t="s">
        <v>73</v>
      </c>
      <c r="AD21" s="202"/>
      <c r="AE21" s="195" t="s">
        <v>257</v>
      </c>
      <c r="AF21" s="195" t="str">
        <f t="shared" si="2"/>
        <v>Ben Roethlisberger</v>
      </c>
      <c r="AG21" s="195" t="str">
        <f t="shared" si="2"/>
        <v>12</v>
      </c>
      <c r="AH21" s="195">
        <f t="shared" si="3"/>
        <v>129</v>
      </c>
      <c r="AI21" s="195">
        <f t="shared" si="0"/>
        <v>22</v>
      </c>
      <c r="AJ21" s="196">
        <f t="shared" si="1"/>
        <v>0.17729184666666692</v>
      </c>
      <c r="AK21" s="196">
        <f t="shared" si="1"/>
        <v>0.3425940619565358</v>
      </c>
      <c r="AL21" s="197">
        <f t="shared" si="1"/>
        <v>0</v>
      </c>
      <c r="AM21" s="195" t="str">
        <f t="shared" si="1"/>
        <v>5-</v>
      </c>
      <c r="AN21" s="153"/>
      <c r="AO21" s="153">
        <v>16</v>
      </c>
      <c r="AP21" s="153">
        <v>13</v>
      </c>
      <c r="AQ21" s="153">
        <f>AP21-AO21</f>
        <v>-3</v>
      </c>
      <c r="AR21" s="86" t="s">
        <v>52</v>
      </c>
      <c r="AS21" s="153" t="str">
        <f>BH21&amp;" "&amp;BI21</f>
        <v>RB 8</v>
      </c>
      <c r="AT21" s="153">
        <f>IF(AU21&gt;8,1,IF(AU21&gt;6.4,2,IF(AU21&gt;6,3,IF(AU21&gt;5,4,IF(AU21&gt;3.5,5,IF(AU21&gt;2.5,6,IF(AU21&gt;1.5,7,IF(AU21&gt;0.5,8,IF(AU21&gt;-0.5,9,10)))))))))</f>
        <v>3</v>
      </c>
      <c r="AU21" s="169">
        <f>SUM(AV21,AZ21,BA21)</f>
        <v>6.2370938400000018</v>
      </c>
      <c r="AV21" s="169">
        <f>INDEX(AJ$6:AJ$182,MATCH($AR21,$AF$6:$AF$182,0))</f>
        <v>6.5370938400000016</v>
      </c>
      <c r="AW21" s="169">
        <f>INDEX(AK$6:AK$182,MATCH($AR21,$AF$6:$AF$182,0))</f>
        <v>1.4369016512860988</v>
      </c>
      <c r="AX21" s="168">
        <f>SUMIFS(AV22:AV$183,AV22:AV$183,"&gt;"&amp;0,$BH22:$BH$183,"="&amp;$BH21,$BK22:$BK$183,"="&amp;1)/SUMIFS(AV$6:AV$183,AV$6:AV$183,"&gt;"&amp;0,$BH$6:$BH$183,"="&amp;$BH21)</f>
        <v>0.57395128034154097</v>
      </c>
      <c r="AY21" s="168">
        <f>SUMIFS(AU22:AU$183,AU22:AU$183,"&gt;"&amp;0,BH22:BH$183,"="&amp;BH21,BK22:BK$183,"="&amp;1)/SUMIFS(AU$6:AU$183,AU$6:AU$183,"&gt;"&amp;0,BH$6:BH$183,"="&amp;BH21)</f>
        <v>0.5679140882495507</v>
      </c>
      <c r="AZ21" s="169">
        <f>IF(AW21&gt;Adjustments!$J$6,Adjustments!$L$6,IF(AW21&gt;Adjustments!$J$7,Adjustments!$L$7,IF(AW21&gt;Adjustments!$J$8,Adjustments!$L$8,IF(AW21&lt;Adjustments!$J$10,Adjustments!$L$10,IF(AW21&lt;Adjustments!$J$9,Adjustments!$L$9,0)))))</f>
        <v>-0.3</v>
      </c>
      <c r="BA21" s="169">
        <f>INDEX(Adjustments!$C$4:$C$2520,MATCH(AR21,Adjustments!$B$4:$B$2520,0))</f>
        <v>0</v>
      </c>
      <c r="BB21" s="153" t="str">
        <f>INDEX(AG$6:AG$182,MATCH($AR21,$AF$6:$AF$182,0))</f>
        <v>10</v>
      </c>
      <c r="BC21" s="153">
        <f>INDEX(AH$6:AH$182,MATCH($AR21,$AF$6:$AF$182,0))</f>
        <v>14</v>
      </c>
      <c r="BD21" s="153">
        <f>INDEX(AI$6:AI$182,MATCH($AR21,$AF$6:$AF$182,0))</f>
        <v>1</v>
      </c>
      <c r="BE21" s="153">
        <f>BC21-AO21</f>
        <v>-2</v>
      </c>
      <c r="BF21" s="153"/>
      <c r="BG21" s="153"/>
      <c r="BH21" s="195" t="str">
        <f>INDEX($AE$6:$AE$182,MATCH(AR21,$AF$6:$AF$182,0))</f>
        <v>RB</v>
      </c>
      <c r="BI21" s="195">
        <f>SUMIF($BH$6:BH21,BH21,$BK$6:BK21)</f>
        <v>8</v>
      </c>
      <c r="BJ21" s="194">
        <v>1</v>
      </c>
      <c r="BK21" s="194">
        <f t="shared" si="4"/>
        <v>1</v>
      </c>
      <c r="BL21" s="194" t="str">
        <f>IF('Real Time Draft Tool'!B21="y","y","")</f>
        <v/>
      </c>
      <c r="BM21" s="194" t="str">
        <f t="shared" si="5"/>
        <v>RB 8</v>
      </c>
    </row>
    <row r="22" spans="2:65" x14ac:dyDescent="0.25">
      <c r="B22" s="102" t="s">
        <v>82</v>
      </c>
      <c r="C22" s="103" t="s">
        <v>58</v>
      </c>
      <c r="D22" s="103">
        <v>136</v>
      </c>
      <c r="E22" s="140">
        <v>18</v>
      </c>
      <c r="F22" s="141">
        <v>-0.24283942333333189</v>
      </c>
      <c r="G22" s="104">
        <v>0.45181987780962118</v>
      </c>
      <c r="H22" s="142">
        <v>0</v>
      </c>
      <c r="I22" s="106" t="s">
        <v>83</v>
      </c>
      <c r="J22" s="99"/>
      <c r="K22" s="101">
        <v>17</v>
      </c>
      <c r="L22" s="102" t="s">
        <v>106</v>
      </c>
      <c r="M22" s="103" t="s">
        <v>130</v>
      </c>
      <c r="N22" s="143">
        <v>28</v>
      </c>
      <c r="O22" s="108">
        <v>-8</v>
      </c>
      <c r="P22" s="141">
        <v>3.7724272333333331</v>
      </c>
      <c r="Q22" s="105">
        <v>0.9087930814758941</v>
      </c>
      <c r="R22" s="142">
        <v>0.28533398012470174</v>
      </c>
      <c r="S22" s="106" t="s">
        <v>73</v>
      </c>
      <c r="T22" s="99"/>
      <c r="U22" s="107">
        <v>17</v>
      </c>
      <c r="V22" s="102" t="s">
        <v>81</v>
      </c>
      <c r="W22" s="103" t="s">
        <v>105</v>
      </c>
      <c r="X22" s="143">
        <v>40</v>
      </c>
      <c r="Y22" s="108">
        <v>-1</v>
      </c>
      <c r="Z22" s="141">
        <v>3.5108907950000003</v>
      </c>
      <c r="AA22" s="104">
        <v>1.0101765084448233</v>
      </c>
      <c r="AB22" s="142">
        <v>0.31518673388569235</v>
      </c>
      <c r="AC22" s="106" t="s">
        <v>73</v>
      </c>
      <c r="AD22" s="202"/>
      <c r="AE22" s="195" t="s">
        <v>257</v>
      </c>
      <c r="AF22" s="195" t="str">
        <f t="shared" si="2"/>
        <v>Andy Dalton</v>
      </c>
      <c r="AG22" s="195" t="str">
        <f t="shared" si="2"/>
        <v>4</v>
      </c>
      <c r="AH22" s="195">
        <f t="shared" si="3"/>
        <v>136</v>
      </c>
      <c r="AI22" s="195">
        <f t="shared" si="0"/>
        <v>18</v>
      </c>
      <c r="AJ22" s="196">
        <f t="shared" ref="AJ22:AM37" si="6">F22</f>
        <v>-0.24283942333333189</v>
      </c>
      <c r="AK22" s="196">
        <f t="shared" si="6"/>
        <v>0.45181987780962118</v>
      </c>
      <c r="AL22" s="197">
        <f t="shared" si="6"/>
        <v>0</v>
      </c>
      <c r="AM22" s="195" t="str">
        <f t="shared" si="6"/>
        <v>6</v>
      </c>
      <c r="AN22" s="153"/>
      <c r="AO22" s="153">
        <v>17</v>
      </c>
      <c r="AP22" s="153">
        <v>18</v>
      </c>
      <c r="AQ22" s="153">
        <f>AP22-AO22</f>
        <v>1</v>
      </c>
      <c r="AR22" s="86" t="s">
        <v>50</v>
      </c>
      <c r="AS22" s="153" t="str">
        <f>BH22&amp;" "&amp;BI22</f>
        <v>WR 7</v>
      </c>
      <c r="AT22" s="153">
        <f>IF(AU22&gt;8,1,IF(AU22&gt;6.4,2,IF(AU22&gt;6,3,IF(AU22&gt;5,4,IF(AU22&gt;3.5,5,IF(AU22&gt;2.5,6,IF(AU22&gt;1.5,7,IF(AU22&gt;0.5,8,IF(AU22&gt;-0.5,9,10)))))))))</f>
        <v>4</v>
      </c>
      <c r="AU22" s="169">
        <f>SUM(AV22,AZ22,BA22)</f>
        <v>5.9340844550000007</v>
      </c>
      <c r="AV22" s="169">
        <f>INDEX(AJ$6:AJ$182,MATCH($AR22,$AF$6:$AF$182,0))</f>
        <v>5.9340844550000007</v>
      </c>
      <c r="AW22" s="169">
        <f>INDEX(AK$6:AK$182,MATCH($AR22,$AF$6:$AF$182,0))</f>
        <v>0.97080920334189669</v>
      </c>
      <c r="AX22" s="168">
        <f>SUMIFS(AV23:AV$183,AV23:AV$183,"&gt;"&amp;0,$BH23:$BH$183,"="&amp;$BH22,$BK23:$BK$183,"="&amp;1)/SUMIFS(AV$6:AV$183,AV$6:AV$183,"&gt;"&amp;0,$BH$6:$BH$183,"="&amp;$BH22)</f>
        <v>0.63354033729449455</v>
      </c>
      <c r="AY22" s="168">
        <f>SUMIFS(AU23:AU$183,AU23:AU$183,"&gt;"&amp;0,BH23:BH$183,"="&amp;BH22,BK23:BK$183,"="&amp;1)/SUMIFS(AU$6:AU$183,AU$6:AU$183,"&gt;"&amp;0,BH$6:BH$183,"="&amp;BH22)</f>
        <v>0.62954768880560019</v>
      </c>
      <c r="AZ22" s="169">
        <f>IF(AW22&gt;Adjustments!$J$6,Adjustments!$L$6,IF(AW22&gt;Adjustments!$J$7,Adjustments!$L$7,IF(AW22&gt;Adjustments!$J$8,Adjustments!$L$8,IF(AW22&lt;Adjustments!$J$10,Adjustments!$L$10,IF(AW22&lt;Adjustments!$J$9,Adjustments!$L$9,0)))))</f>
        <v>0</v>
      </c>
      <c r="BA22" s="169">
        <f>INDEX(Adjustments!$C$4:$C$2520,MATCH(AR22,Adjustments!$B$4:$B$2520,0))</f>
        <v>0</v>
      </c>
      <c r="BB22" s="153" t="str">
        <f>INDEX(AG$6:AG$182,MATCH($AR22,$AF$6:$AF$182,0))</f>
        <v>12</v>
      </c>
      <c r="BC22" s="153">
        <f>INDEX(AH$6:AH$182,MATCH($AR22,$AF$6:$AF$182,0))</f>
        <v>23</v>
      </c>
      <c r="BD22" s="153">
        <f>INDEX(AI$6:AI$182,MATCH($AR22,$AF$6:$AF$182,0))</f>
        <v>5</v>
      </c>
      <c r="BE22" s="153">
        <f>BC22-AO22</f>
        <v>6</v>
      </c>
      <c r="BF22" s="153"/>
      <c r="BG22" s="153"/>
      <c r="BH22" s="195" t="str">
        <f>INDEX($AE$6:$AE$182,MATCH(AR22,$AF$6:$AF$182,0))</f>
        <v>WR</v>
      </c>
      <c r="BI22" s="195">
        <f>SUMIF($BH$6:BH22,BH22,$BK$6:BK22)</f>
        <v>7</v>
      </c>
      <c r="BJ22" s="194">
        <v>1</v>
      </c>
      <c r="BK22" s="194">
        <f t="shared" si="4"/>
        <v>1</v>
      </c>
      <c r="BL22" s="194" t="str">
        <f>IF('Real Time Draft Tool'!B22="y","y","")</f>
        <v/>
      </c>
      <c r="BM22" s="194" t="str">
        <f t="shared" si="5"/>
        <v>WR 7</v>
      </c>
    </row>
    <row r="23" spans="2:65" x14ac:dyDescent="0.25">
      <c r="B23" s="102" t="s">
        <v>87</v>
      </c>
      <c r="C23" s="103" t="s">
        <v>83</v>
      </c>
      <c r="D23" s="103">
        <v>170</v>
      </c>
      <c r="E23" s="140">
        <v>48</v>
      </c>
      <c r="F23" s="141">
        <v>-0.59750083166666634</v>
      </c>
      <c r="G23" s="104">
        <v>0.87546707988796901</v>
      </c>
      <c r="H23" s="142">
        <v>0</v>
      </c>
      <c r="I23" s="106" t="s">
        <v>83</v>
      </c>
      <c r="J23" s="99"/>
      <c r="K23" s="101">
        <v>18</v>
      </c>
      <c r="L23" s="102" t="s">
        <v>88</v>
      </c>
      <c r="M23" s="103" t="s">
        <v>113</v>
      </c>
      <c r="N23" s="143">
        <v>34</v>
      </c>
      <c r="O23" s="108">
        <v>-3</v>
      </c>
      <c r="P23" s="141">
        <v>3.7653411090909095</v>
      </c>
      <c r="Q23" s="105">
        <v>0.9793028596451121</v>
      </c>
      <c r="R23" s="142">
        <v>0.26063244165290955</v>
      </c>
      <c r="S23" s="106" t="s">
        <v>183</v>
      </c>
      <c r="T23" s="99"/>
      <c r="U23" s="107">
        <v>18</v>
      </c>
      <c r="V23" s="102" t="s">
        <v>93</v>
      </c>
      <c r="W23" s="103" t="s">
        <v>105</v>
      </c>
      <c r="X23" s="143">
        <v>46</v>
      </c>
      <c r="Y23" s="108">
        <v>1</v>
      </c>
      <c r="Z23" s="141">
        <v>3.0965210933333336</v>
      </c>
      <c r="AA23" s="104">
        <v>1.4709088387886291</v>
      </c>
      <c r="AB23" s="142">
        <v>0.29199909584263528</v>
      </c>
      <c r="AC23" s="106" t="s">
        <v>73</v>
      </c>
      <c r="AD23" s="202"/>
      <c r="AE23" s="195" t="s">
        <v>257</v>
      </c>
      <c r="AF23" s="195" t="str">
        <f t="shared" si="2"/>
        <v>Alex Smith</v>
      </c>
      <c r="AG23" s="195" t="str">
        <f t="shared" si="2"/>
        <v>6</v>
      </c>
      <c r="AH23" s="195">
        <f t="shared" si="3"/>
        <v>170</v>
      </c>
      <c r="AI23" s="195">
        <f t="shared" si="0"/>
        <v>48</v>
      </c>
      <c r="AJ23" s="196">
        <f t="shared" si="6"/>
        <v>-0.59750083166666634</v>
      </c>
      <c r="AK23" s="196">
        <f t="shared" si="6"/>
        <v>0.87546707988796901</v>
      </c>
      <c r="AL23" s="197">
        <f t="shared" si="6"/>
        <v>0</v>
      </c>
      <c r="AM23" s="195" t="str">
        <f t="shared" si="6"/>
        <v>6</v>
      </c>
      <c r="AN23" s="153"/>
      <c r="AO23" s="153">
        <v>18</v>
      </c>
      <c r="AP23" s="153">
        <v>19</v>
      </c>
      <c r="AQ23" s="153">
        <f>AP23-AO23</f>
        <v>1</v>
      </c>
      <c r="AR23" s="86" t="s">
        <v>55</v>
      </c>
      <c r="AS23" s="153" t="str">
        <f>BH23&amp;" "&amp;BI23</f>
        <v>RB 9</v>
      </c>
      <c r="AT23" s="153">
        <f>IF(AU23&gt;8,1,IF(AU23&gt;6.4,2,IF(AU23&gt;6,3,IF(AU23&gt;5,4,IF(AU23&gt;3.5,5,IF(AU23&gt;2.5,6,IF(AU23&gt;1.5,7,IF(AU23&gt;0.5,8,IF(AU23&gt;-0.5,9,10)))))))))</f>
        <v>4</v>
      </c>
      <c r="AU23" s="169">
        <f>SUM(AV23,AZ23,BA23)</f>
        <v>5.8384167866666674</v>
      </c>
      <c r="AV23" s="169">
        <f>INDEX(AJ$6:AJ$182,MATCH($AR23,$AF$6:$AF$182,0))</f>
        <v>5.8384167866666674</v>
      </c>
      <c r="AW23" s="169">
        <f>INDEX(AK$6:AK$182,MATCH($AR23,$AF$6:$AF$182,0))</f>
        <v>0.86859416413518065</v>
      </c>
      <c r="AX23" s="168">
        <f>SUMIFS(AV24:AV$183,AV24:AV$183,"&gt;"&amp;0,$BH24:$BH$183,"="&amp;$BH23,$BK24:$BK$183,"="&amp;1)/SUMIFS(AV$6:AV$183,AV$6:AV$183,"&gt;"&amp;0,$BH$6:$BH$183,"="&amp;$BH23)</f>
        <v>0.53564986947546867</v>
      </c>
      <c r="AY23" s="168">
        <f>SUMIFS(AU24:AU$183,AU24:AU$183,"&gt;"&amp;0,BH24:BH$183,"="&amp;BH23,BK24:BK$183,"="&amp;1)/SUMIFS(AU$6:AU$183,AU$6:AU$183,"&gt;"&amp;0,BH$6:BH$183,"="&amp;BH23)</f>
        <v>0.52754710421891116</v>
      </c>
      <c r="AZ23" s="169">
        <f>IF(AW23&gt;Adjustments!$J$6,Adjustments!$L$6,IF(AW23&gt;Adjustments!$J$7,Adjustments!$L$7,IF(AW23&gt;Adjustments!$J$8,Adjustments!$L$8,IF(AW23&lt;Adjustments!$J$10,Adjustments!$L$10,IF(AW23&lt;Adjustments!$J$9,Adjustments!$L$9,0)))))</f>
        <v>0</v>
      </c>
      <c r="BA23" s="169">
        <f>INDEX(Adjustments!$C$4:$C$2520,MATCH(AR23,Adjustments!$B$4:$B$2520,0))</f>
        <v>0</v>
      </c>
      <c r="BB23" s="153" t="str">
        <f>INDEX(AG$6:AG$182,MATCH($AR23,$AF$6:$AF$182,0))</f>
        <v>4</v>
      </c>
      <c r="BC23" s="153">
        <f>INDEX(AH$6:AH$182,MATCH($AR23,$AF$6:$AF$182,0))</f>
        <v>20</v>
      </c>
      <c r="BD23" s="153">
        <f>INDEX(AI$6:AI$182,MATCH($AR23,$AF$6:$AF$182,0))</f>
        <v>1</v>
      </c>
      <c r="BE23" s="153">
        <f>BC23-AO23</f>
        <v>2</v>
      </c>
      <c r="BF23" s="153"/>
      <c r="BG23" s="153"/>
      <c r="BH23" s="195" t="str">
        <f>INDEX($AE$6:$AE$182,MATCH(AR23,$AF$6:$AF$182,0))</f>
        <v>RB</v>
      </c>
      <c r="BI23" s="195">
        <f>SUMIF($BH$6:BH23,BH23,$BK$6:BK23)</f>
        <v>9</v>
      </c>
      <c r="BJ23" s="194">
        <v>1</v>
      </c>
      <c r="BK23" s="194">
        <f t="shared" si="4"/>
        <v>1</v>
      </c>
      <c r="BL23" s="194" t="str">
        <f>IF('Real Time Draft Tool'!B23="y","y","")</f>
        <v/>
      </c>
      <c r="BM23" s="194" t="str">
        <f t="shared" si="5"/>
        <v>RB 9</v>
      </c>
    </row>
    <row r="24" spans="2:65" x14ac:dyDescent="0.25">
      <c r="B24" s="102" t="s">
        <v>90</v>
      </c>
      <c r="C24" s="103" t="s">
        <v>73</v>
      </c>
      <c r="D24" s="103">
        <v>170</v>
      </c>
      <c r="E24" s="140">
        <v>37</v>
      </c>
      <c r="F24" s="141">
        <v>-1.0339643933333329</v>
      </c>
      <c r="G24" s="104">
        <v>0.85890662938798512</v>
      </c>
      <c r="H24" s="142">
        <v>0</v>
      </c>
      <c r="I24" s="106" t="s">
        <v>83</v>
      </c>
      <c r="J24" s="99"/>
      <c r="K24" s="101">
        <v>19</v>
      </c>
      <c r="L24" s="102" t="s">
        <v>102</v>
      </c>
      <c r="M24" s="103" t="s">
        <v>130</v>
      </c>
      <c r="N24" s="143">
        <v>43</v>
      </c>
      <c r="O24" s="108">
        <v>1</v>
      </c>
      <c r="P24" s="141">
        <v>3.4694397733333329</v>
      </c>
      <c r="Q24" s="105">
        <v>1.1130637854107908</v>
      </c>
      <c r="R24" s="142">
        <v>0.23787208673323265</v>
      </c>
      <c r="S24" s="106" t="s">
        <v>73</v>
      </c>
      <c r="T24" s="99"/>
      <c r="U24" s="107">
        <v>19</v>
      </c>
      <c r="V24" s="102" t="s">
        <v>89</v>
      </c>
      <c r="W24" s="103" t="s">
        <v>58</v>
      </c>
      <c r="X24" s="143">
        <v>41</v>
      </c>
      <c r="Y24" s="108">
        <v>-5</v>
      </c>
      <c r="Z24" s="141">
        <v>3.0918335133333334</v>
      </c>
      <c r="AA24" s="104">
        <v>1.3120561125288195</v>
      </c>
      <c r="AB24" s="142">
        <v>0.26884655974303734</v>
      </c>
      <c r="AC24" s="106" t="s">
        <v>73</v>
      </c>
      <c r="AD24" s="202"/>
      <c r="AE24" s="195" t="s">
        <v>257</v>
      </c>
      <c r="AF24" s="195" t="str">
        <f t="shared" si="2"/>
        <v>Ryan Tannehill</v>
      </c>
      <c r="AG24" s="195" t="str">
        <f t="shared" si="2"/>
        <v>5</v>
      </c>
      <c r="AH24" s="195">
        <f t="shared" si="3"/>
        <v>170</v>
      </c>
      <c r="AI24" s="195">
        <f t="shared" si="0"/>
        <v>37</v>
      </c>
      <c r="AJ24" s="196">
        <f t="shared" si="6"/>
        <v>-1.0339643933333329</v>
      </c>
      <c r="AK24" s="196">
        <f t="shared" si="6"/>
        <v>0.85890662938798512</v>
      </c>
      <c r="AL24" s="197">
        <f t="shared" si="6"/>
        <v>0</v>
      </c>
      <c r="AM24" s="195" t="str">
        <f t="shared" si="6"/>
        <v>6</v>
      </c>
      <c r="AN24" s="153"/>
      <c r="AO24" s="153">
        <v>19</v>
      </c>
      <c r="AP24" s="153">
        <v>17</v>
      </c>
      <c r="AQ24" s="153">
        <f>AP24-AO24</f>
        <v>-2</v>
      </c>
      <c r="AR24" s="86" t="s">
        <v>59</v>
      </c>
      <c r="AS24" s="153" t="str">
        <f>BH24&amp;" "&amp;BI24</f>
        <v>RB 10</v>
      </c>
      <c r="AT24" s="153">
        <f>IF(AU24&gt;8,1,IF(AU24&gt;6.4,2,IF(AU24&gt;6,3,IF(AU24&gt;5,4,IF(AU24&gt;3.5,5,IF(AU24&gt;2.5,6,IF(AU24&gt;1.5,7,IF(AU24&gt;0.5,8,IF(AU24&gt;-0.5,9,10)))))))))</f>
        <v>4</v>
      </c>
      <c r="AU24" s="169">
        <f>SUM(AV24,AZ24,BA24)</f>
        <v>5.7511323716666674</v>
      </c>
      <c r="AV24" s="169">
        <f>INDEX(AJ$6:AJ$182,MATCH($AR24,$AF$6:$AF$182,0))</f>
        <v>6.2511323716666674</v>
      </c>
      <c r="AW24" s="169">
        <f>INDEX(AK$6:AK$182,MATCH($AR24,$AF$6:$AF$182,0))</f>
        <v>1.8329607937369126</v>
      </c>
      <c r="AX24" s="168">
        <f>SUMIFS(AV25:AV$183,AV25:AV$183,"&gt;"&amp;0,$BH25:$BH$183,"="&amp;$BH24,$BK25:$BK$183,"="&amp;1)/SUMIFS(AV$6:AV$183,AV$6:AV$183,"&gt;"&amp;0,$BH$6:$BH$183,"="&amp;$BH24)</f>
        <v>0.49464094563635597</v>
      </c>
      <c r="AY24" s="168">
        <f>SUMIFS(AU25:AU$183,AU25:AU$183,"&gt;"&amp;0,BH25:BH$183,"="&amp;BH24,BK25:BK$183,"="&amp;1)/SUMIFS(AU$6:AU$183,AU$6:AU$183,"&gt;"&amp;0,BH$6:BH$183,"="&amp;BH24)</f>
        <v>0.48778360718058</v>
      </c>
      <c r="AZ24" s="169">
        <f>IF(AW24&gt;Adjustments!$J$6,Adjustments!$L$6,IF(AW24&gt;Adjustments!$J$7,Adjustments!$L$7,IF(AW24&gt;Adjustments!$J$8,Adjustments!$L$8,IF(AW24&lt;Adjustments!$J$10,Adjustments!$L$10,IF(AW24&lt;Adjustments!$J$9,Adjustments!$L$9,0)))))</f>
        <v>-0.5</v>
      </c>
      <c r="BA24" s="169">
        <f>INDEX(Adjustments!$C$4:$C$2520,MATCH(AR24,Adjustments!$B$4:$B$2520,0))</f>
        <v>0</v>
      </c>
      <c r="BB24" s="153" t="str">
        <f>INDEX(AG$6:AG$182,MATCH($AR24,$AF$6:$AF$182,0))</f>
        <v>4</v>
      </c>
      <c r="BC24" s="153">
        <f>INDEX(AH$6:AH$182,MATCH($AR24,$AF$6:$AF$182,0))</f>
        <v>13</v>
      </c>
      <c r="BD24" s="153">
        <f>INDEX(AI$6:AI$182,MATCH($AR24,$AF$6:$AF$182,0))</f>
        <v>-4</v>
      </c>
      <c r="BE24" s="153">
        <f>BC24-AO24</f>
        <v>-6</v>
      </c>
      <c r="BF24" s="153"/>
      <c r="BG24" s="153"/>
      <c r="BH24" s="195" t="str">
        <f>INDEX($AE$6:$AE$182,MATCH(AR24,$AF$6:$AF$182,0))</f>
        <v>RB</v>
      </c>
      <c r="BI24" s="195">
        <f>SUMIF($BH$6:BH24,BH24,$BK$6:BK24)</f>
        <v>10</v>
      </c>
      <c r="BJ24" s="194">
        <v>1</v>
      </c>
      <c r="BK24" s="194">
        <f t="shared" si="4"/>
        <v>1</v>
      </c>
      <c r="BL24" s="194" t="str">
        <f>IF('Real Time Draft Tool'!B24="y","y","")</f>
        <v/>
      </c>
      <c r="BM24" s="194" t="str">
        <f t="shared" si="5"/>
        <v>RB 10</v>
      </c>
    </row>
    <row r="25" spans="2:65" x14ac:dyDescent="0.25">
      <c r="B25" s="102" t="s">
        <v>94</v>
      </c>
      <c r="C25" s="103" t="s">
        <v>58</v>
      </c>
      <c r="D25" s="103">
        <v>161</v>
      </c>
      <c r="E25" s="140">
        <v>15</v>
      </c>
      <c r="F25" s="141">
        <v>-1.7778810500000002</v>
      </c>
      <c r="G25" s="104">
        <v>0.63896725527186349</v>
      </c>
      <c r="H25" s="142">
        <v>0</v>
      </c>
      <c r="I25" s="106" t="s">
        <v>91</v>
      </c>
      <c r="J25" s="99"/>
      <c r="K25" s="101">
        <v>20</v>
      </c>
      <c r="L25" s="102" t="s">
        <v>99</v>
      </c>
      <c r="M25" s="103" t="s">
        <v>105</v>
      </c>
      <c r="N25" s="143">
        <v>54</v>
      </c>
      <c r="O25" s="108">
        <v>11</v>
      </c>
      <c r="P25" s="141">
        <v>3.255104386666666</v>
      </c>
      <c r="Q25" s="105">
        <v>1.2151389345290264</v>
      </c>
      <c r="R25" s="142">
        <v>0.21651782322631782</v>
      </c>
      <c r="S25" s="106" t="s">
        <v>199</v>
      </c>
      <c r="T25" s="99"/>
      <c r="U25" s="107">
        <v>20</v>
      </c>
      <c r="V25" s="102" t="s">
        <v>100</v>
      </c>
      <c r="W25" s="103" t="s">
        <v>58</v>
      </c>
      <c r="X25" s="143">
        <v>60</v>
      </c>
      <c r="Y25" s="108">
        <v>8</v>
      </c>
      <c r="Z25" s="141">
        <v>2.7813283449999999</v>
      </c>
      <c r="AA25" s="104">
        <v>0.70214494987043263</v>
      </c>
      <c r="AB25" s="142">
        <v>0.24801917539819815</v>
      </c>
      <c r="AC25" s="106" t="s">
        <v>73</v>
      </c>
      <c r="AD25" s="202"/>
      <c r="AE25" s="195" t="s">
        <v>257</v>
      </c>
      <c r="AF25" s="195" t="str">
        <f t="shared" si="2"/>
        <v>Carson Palmer</v>
      </c>
      <c r="AG25" s="195" t="str">
        <f t="shared" si="2"/>
        <v>4</v>
      </c>
      <c r="AH25" s="195">
        <f t="shared" si="3"/>
        <v>161</v>
      </c>
      <c r="AI25" s="195">
        <f t="shared" si="0"/>
        <v>15</v>
      </c>
      <c r="AJ25" s="196">
        <f t="shared" si="6"/>
        <v>-1.7778810500000002</v>
      </c>
      <c r="AK25" s="196">
        <f t="shared" si="6"/>
        <v>0.63896725527186349</v>
      </c>
      <c r="AL25" s="197">
        <f t="shared" si="6"/>
        <v>0</v>
      </c>
      <c r="AM25" s="195" t="str">
        <f t="shared" si="6"/>
        <v>7</v>
      </c>
      <c r="AN25" s="153"/>
      <c r="AO25" s="153">
        <v>20</v>
      </c>
      <c r="AP25" s="153">
        <v>21</v>
      </c>
      <c r="AQ25" s="153">
        <f>AP25-AO25</f>
        <v>1</v>
      </c>
      <c r="AR25" s="86" t="s">
        <v>53</v>
      </c>
      <c r="AS25" s="153" t="str">
        <f>BH25&amp;" "&amp;BI25</f>
        <v>WR 8</v>
      </c>
      <c r="AT25" s="153">
        <f>IF(AU25&gt;8,1,IF(AU25&gt;6.4,2,IF(AU25&gt;6,3,IF(AU25&gt;5,4,IF(AU25&gt;3.5,5,IF(AU25&gt;2.5,6,IF(AU25&gt;1.5,7,IF(AU25&gt;0.5,8,IF(AU25&gt;-0.5,9,10)))))))))</f>
        <v>4</v>
      </c>
      <c r="AU25" s="169">
        <f>SUM(AV25,AZ25,BA25)</f>
        <v>5.7371146833333331</v>
      </c>
      <c r="AV25" s="169">
        <f>INDEX(AJ$6:AJ$182,MATCH($AR25,$AF$6:$AF$182,0))</f>
        <v>5.4371146833333333</v>
      </c>
      <c r="AW25" s="169">
        <f>INDEX(AK$6:AK$182,MATCH($AR25,$AF$6:$AF$182,0))</f>
        <v>0.49915589959203871</v>
      </c>
      <c r="AX25" s="168">
        <f>SUMIFS(AV26:AV$183,AV26:AV$183,"&gt;"&amp;0,$BH26:$BH$183,"="&amp;$BH25,$BK26:$BK$183,"="&amp;1)/SUMIFS(AV$6:AV$183,AV$6:AV$183,"&gt;"&amp;0,$BH$6:$BH$183,"="&amp;$BH25)</f>
        <v>0.59282566315674823</v>
      </c>
      <c r="AY25" s="168">
        <f>SUMIFS(AU26:AU$183,AU26:AU$183,"&gt;"&amp;0,BH26:BH$183,"="&amp;BH25,BK26:BK$183,"="&amp;1)/SUMIFS(AU$6:AU$183,AU$6:AU$183,"&gt;"&amp;0,BH$6:BH$183,"="&amp;BH25)</f>
        <v>0.58715789707896238</v>
      </c>
      <c r="AZ25" s="169">
        <f>IF(AW25&gt;Adjustments!$J$6,Adjustments!$L$6,IF(AW25&gt;Adjustments!$J$7,Adjustments!$L$7,IF(AW25&gt;Adjustments!$J$8,Adjustments!$L$8,IF(AW25&lt;Adjustments!$J$10,Adjustments!$L$10,IF(AW25&lt;Adjustments!$J$9,Adjustments!$L$9,0)))))</f>
        <v>0.3</v>
      </c>
      <c r="BA25" s="169">
        <f>INDEX(Adjustments!$C$4:$C$2520,MATCH(AR25,Adjustments!$B$4:$B$2520,0))</f>
        <v>0</v>
      </c>
      <c r="BB25" s="153" t="str">
        <f>INDEX(AG$6:AG$182,MATCH($AR25,$AF$6:$AF$182,0))</f>
        <v>9</v>
      </c>
      <c r="BC25" s="153">
        <f>INDEX(AH$6:AH$182,MATCH($AR25,$AF$6:$AF$182,0))</f>
        <v>23</v>
      </c>
      <c r="BD25" s="153">
        <f>INDEX(AI$6:AI$182,MATCH($AR25,$AF$6:$AF$182,0))</f>
        <v>2</v>
      </c>
      <c r="BE25" s="153">
        <f>BC25-AO25</f>
        <v>3</v>
      </c>
      <c r="BF25" s="153"/>
      <c r="BG25" s="153"/>
      <c r="BH25" s="195" t="str">
        <f>INDEX($AE$6:$AE$182,MATCH(AR25,$AF$6:$AF$182,0))</f>
        <v>WR</v>
      </c>
      <c r="BI25" s="195">
        <f>SUMIF($BH$6:BH25,BH25,$BK$6:BK25)</f>
        <v>8</v>
      </c>
      <c r="BJ25" s="194">
        <v>1</v>
      </c>
      <c r="BK25" s="194">
        <f t="shared" si="4"/>
        <v>1</v>
      </c>
      <c r="BL25" s="194" t="str">
        <f>IF('Real Time Draft Tool'!B25="y","y","")</f>
        <v/>
      </c>
      <c r="BM25" s="194" t="str">
        <f t="shared" si="5"/>
        <v>WR 8</v>
      </c>
    </row>
    <row r="26" spans="2:65" x14ac:dyDescent="0.25">
      <c r="B26" s="102" t="s">
        <v>97</v>
      </c>
      <c r="C26" s="103" t="s">
        <v>156</v>
      </c>
      <c r="D26" s="103" t="s">
        <v>236</v>
      </c>
      <c r="E26" s="140" t="s">
        <v>236</v>
      </c>
      <c r="F26" s="141">
        <v>-2.0229716549999992</v>
      </c>
      <c r="G26" s="104">
        <v>0.77261124077931431</v>
      </c>
      <c r="H26" s="142">
        <v>0</v>
      </c>
      <c r="I26" s="106" t="s">
        <v>177</v>
      </c>
      <c r="J26" s="80"/>
      <c r="K26" s="101">
        <v>21</v>
      </c>
      <c r="L26" s="102" t="s">
        <v>92</v>
      </c>
      <c r="M26" s="103" t="s">
        <v>113</v>
      </c>
      <c r="N26" s="143">
        <v>64</v>
      </c>
      <c r="O26" s="108">
        <v>20</v>
      </c>
      <c r="P26" s="141">
        <v>3.2356304583333331</v>
      </c>
      <c r="Q26" s="105">
        <v>0.96086714744621815</v>
      </c>
      <c r="R26" s="142">
        <v>0.19529131334808797</v>
      </c>
      <c r="S26" s="106" t="s">
        <v>83</v>
      </c>
      <c r="T26" s="99"/>
      <c r="U26" s="107">
        <v>21</v>
      </c>
      <c r="V26" s="102" t="s">
        <v>107</v>
      </c>
      <c r="W26" s="103" t="s">
        <v>130</v>
      </c>
      <c r="X26" s="143">
        <v>48</v>
      </c>
      <c r="Y26" s="108">
        <v>-8</v>
      </c>
      <c r="Z26" s="141">
        <v>2.6094221050000002</v>
      </c>
      <c r="AA26" s="104">
        <v>0.92841128012339835</v>
      </c>
      <c r="AB26" s="142">
        <v>0.2284790742819619</v>
      </c>
      <c r="AC26" s="106" t="s">
        <v>227</v>
      </c>
      <c r="AD26" s="202"/>
      <c r="AE26" s="195" t="s">
        <v>257</v>
      </c>
      <c r="AF26" s="195" t="str">
        <f t="shared" si="2"/>
        <v>Joe Flacco</v>
      </c>
      <c r="AG26" s="195" t="str">
        <f t="shared" si="2"/>
        <v>11</v>
      </c>
      <c r="AH26" s="195">
        <f t="shared" si="3"/>
        <v>200</v>
      </c>
      <c r="AI26" s="195">
        <f t="shared" si="0"/>
        <v>0</v>
      </c>
      <c r="AJ26" s="196">
        <f t="shared" si="6"/>
        <v>-2.0229716549999992</v>
      </c>
      <c r="AK26" s="196">
        <f t="shared" si="6"/>
        <v>0.77261124077931431</v>
      </c>
      <c r="AL26" s="197">
        <f t="shared" si="6"/>
        <v>0</v>
      </c>
      <c r="AM26" s="195" t="str">
        <f t="shared" si="6"/>
        <v>7+</v>
      </c>
      <c r="AN26" s="153"/>
      <c r="AO26" s="153">
        <v>21</v>
      </c>
      <c r="AP26" s="153">
        <v>20</v>
      </c>
      <c r="AQ26" s="153">
        <f>AP26-AO26</f>
        <v>-1</v>
      </c>
      <c r="AR26" s="86" t="s">
        <v>62</v>
      </c>
      <c r="AS26" s="153" t="str">
        <f>BH26&amp;" "&amp;BI26</f>
        <v>RB 11</v>
      </c>
      <c r="AT26" s="153">
        <f>IF(AU26&gt;8,1,IF(AU26&gt;6.4,2,IF(AU26&gt;6,3,IF(AU26&gt;5,4,IF(AU26&gt;3.5,5,IF(AU26&gt;2.5,6,IF(AU26&gt;1.5,7,IF(AU26&gt;0.5,8,IF(AU26&gt;-0.5,9,10)))))))))</f>
        <v>4</v>
      </c>
      <c r="AU26" s="169">
        <f>SUM(AV26,AZ26,BA26)</f>
        <v>5.710795564545454</v>
      </c>
      <c r="AV26" s="169">
        <f>INDEX(AJ$6:AJ$182,MATCH($AR26,$AF$6:$AF$182,0))</f>
        <v>5.710795564545454</v>
      </c>
      <c r="AW26" s="169">
        <f>INDEX(AK$6:AK$182,MATCH($AR26,$AF$6:$AF$182,0))</f>
        <v>0.80788154158099312</v>
      </c>
      <c r="AX26" s="168">
        <f>SUMIFS(AV27:AV$183,AV27:AV$183,"&gt;"&amp;0,$BH27:$BH$183,"="&amp;$BH26,$BK27:$BK$183,"="&amp;1)/SUMIFS(AV$6:AV$183,AV$6:AV$183,"&gt;"&amp;0,$BH$6:$BH$183,"="&amp;$BH26)</f>
        <v>0.45717676051868478</v>
      </c>
      <c r="AY26" s="168">
        <f>SUMIFS(AU27:AU$183,AU27:AU$183,"&gt;"&amp;0,BH27:BH$183,"="&amp;BH26,BK27:BK$183,"="&amp;1)/SUMIFS(AU$6:AU$183,AU$6:AU$183,"&gt;"&amp;0,BH$6:BH$183,"="&amp;BH26)</f>
        <v>0.44829900000373107</v>
      </c>
      <c r="AZ26" s="169">
        <f>IF(AW26&gt;Adjustments!$J$6,Adjustments!$L$6,IF(AW26&gt;Adjustments!$J$7,Adjustments!$L$7,IF(AW26&gt;Adjustments!$J$8,Adjustments!$L$8,IF(AW26&lt;Adjustments!$J$10,Adjustments!$L$10,IF(AW26&lt;Adjustments!$J$9,Adjustments!$L$9,0)))))</f>
        <v>0</v>
      </c>
      <c r="BA26" s="169">
        <f>INDEX(Adjustments!$C$4:$C$2520,MATCH(AR26,Adjustments!$B$4:$B$2520,0))</f>
        <v>0</v>
      </c>
      <c r="BB26" s="153" t="str">
        <f>INDEX(AG$6:AG$182,MATCH($AR26,$AF$6:$AF$182,0))</f>
        <v>12</v>
      </c>
      <c r="BC26" s="153">
        <f>INDEX(AH$6:AH$182,MATCH($AR26,$AF$6:$AF$182,0))</f>
        <v>17</v>
      </c>
      <c r="BD26" s="153">
        <f>INDEX(AI$6:AI$182,MATCH($AR26,$AF$6:$AF$182,0))</f>
        <v>-3</v>
      </c>
      <c r="BE26" s="153">
        <f>BC26-AO26</f>
        <v>-4</v>
      </c>
      <c r="BF26" s="153"/>
      <c r="BG26" s="153"/>
      <c r="BH26" s="195" t="str">
        <f>INDEX($AE$6:$AE$182,MATCH(AR26,$AF$6:$AF$182,0))</f>
        <v>RB</v>
      </c>
      <c r="BI26" s="195">
        <f>SUMIF($BH$6:BH26,BH26,$BK$6:BK26)</f>
        <v>11</v>
      </c>
      <c r="BJ26" s="194">
        <v>1</v>
      </c>
      <c r="BK26" s="194">
        <f t="shared" si="4"/>
        <v>1</v>
      </c>
      <c r="BL26" s="194" t="str">
        <f>IF('Real Time Draft Tool'!B26="y","y","")</f>
        <v/>
      </c>
      <c r="BM26" s="194" t="str">
        <f t="shared" si="5"/>
        <v>RB 11</v>
      </c>
    </row>
    <row r="27" spans="2:65" x14ac:dyDescent="0.25">
      <c r="B27" s="102" t="s">
        <v>104</v>
      </c>
      <c r="C27" s="103" t="s">
        <v>58</v>
      </c>
      <c r="D27" s="103">
        <v>181</v>
      </c>
      <c r="E27" s="140">
        <v>27</v>
      </c>
      <c r="F27" s="141">
        <v>-2.1767288966666665</v>
      </c>
      <c r="G27" s="104">
        <v>0.97605984039223392</v>
      </c>
      <c r="H27" s="142">
        <v>0</v>
      </c>
      <c r="I27" s="106" t="s">
        <v>91</v>
      </c>
      <c r="J27" s="85"/>
      <c r="K27" s="101">
        <v>22</v>
      </c>
      <c r="L27" s="102" t="s">
        <v>117</v>
      </c>
      <c r="M27" s="103" t="s">
        <v>113</v>
      </c>
      <c r="N27" s="143">
        <v>50</v>
      </c>
      <c r="O27" s="108">
        <v>3</v>
      </c>
      <c r="P27" s="141">
        <v>2.9859752299999998</v>
      </c>
      <c r="Q27" s="105">
        <v>1.3015573314477766</v>
      </c>
      <c r="R27" s="142">
        <v>0.17570260149364694</v>
      </c>
      <c r="S27" s="106" t="s">
        <v>83</v>
      </c>
      <c r="T27" s="99"/>
      <c r="U27" s="107">
        <v>22</v>
      </c>
      <c r="V27" s="102" t="s">
        <v>115</v>
      </c>
      <c r="W27" s="103" t="s">
        <v>130</v>
      </c>
      <c r="X27" s="143">
        <v>50</v>
      </c>
      <c r="Y27" s="108">
        <v>-7</v>
      </c>
      <c r="Z27" s="141">
        <v>2.5630626900000006</v>
      </c>
      <c r="AA27" s="104">
        <v>0.95445045543233797</v>
      </c>
      <c r="AB27" s="142">
        <v>0.20928612576133435</v>
      </c>
      <c r="AC27" s="106" t="s">
        <v>147</v>
      </c>
      <c r="AD27" s="202"/>
      <c r="AE27" s="195" t="s">
        <v>257</v>
      </c>
      <c r="AF27" s="195" t="str">
        <f t="shared" si="2"/>
        <v>Sam Bradford</v>
      </c>
      <c r="AG27" s="195" t="str">
        <f t="shared" si="2"/>
        <v>4</v>
      </c>
      <c r="AH27" s="195">
        <f t="shared" si="3"/>
        <v>181</v>
      </c>
      <c r="AI27" s="195">
        <f t="shared" si="0"/>
        <v>27</v>
      </c>
      <c r="AJ27" s="196">
        <f t="shared" si="6"/>
        <v>-2.1767288966666665</v>
      </c>
      <c r="AK27" s="196">
        <f t="shared" si="6"/>
        <v>0.97605984039223392</v>
      </c>
      <c r="AL27" s="197">
        <f t="shared" si="6"/>
        <v>0</v>
      </c>
      <c r="AM27" s="195" t="str">
        <f t="shared" si="6"/>
        <v>7</v>
      </c>
      <c r="AN27" s="153"/>
      <c r="AO27" s="153">
        <v>22</v>
      </c>
      <c r="AP27" s="153">
        <v>22</v>
      </c>
      <c r="AQ27" s="153">
        <f>AP27-AO27</f>
        <v>0</v>
      </c>
      <c r="AR27" s="86" t="s">
        <v>56</v>
      </c>
      <c r="AS27" s="153" t="str">
        <f>BH27&amp;" "&amp;BI27</f>
        <v>WR 9</v>
      </c>
      <c r="AT27" s="153">
        <f>IF(AU27&gt;8,1,IF(AU27&gt;6.4,2,IF(AU27&gt;6,3,IF(AU27&gt;5,4,IF(AU27&gt;3.5,5,IF(AU27&gt;2.5,6,IF(AU27&gt;1.5,7,IF(AU27&gt;0.5,8,IF(AU27&gt;-0.5,9,10)))))))))</f>
        <v>4</v>
      </c>
      <c r="AU27" s="169">
        <f>SUM(AV27,AZ27,BA27)</f>
        <v>5.5406313400000009</v>
      </c>
      <c r="AV27" s="169">
        <f>INDEX(AJ$6:AJ$182,MATCH($AR27,$AF$6:$AF$182,0))</f>
        <v>5.3406313400000007</v>
      </c>
      <c r="AW27" s="169">
        <f>INDEX(AK$6:AK$182,MATCH($AR27,$AF$6:$AF$182,0))</f>
        <v>0.66924630089691151</v>
      </c>
      <c r="AX27" s="168">
        <f>SUMIFS(AV28:AV$183,AV28:AV$183,"&gt;"&amp;0,$BH28:$BH$183,"="&amp;$BH27,$BK28:$BK$183,"="&amp;1)/SUMIFS(AV$6:AV$183,AV$6:AV$183,"&gt;"&amp;0,$BH$6:$BH$183,"="&amp;$BH27)</f>
        <v>0.55283348396573917</v>
      </c>
      <c r="AY27" s="168">
        <f>SUMIFS(AU28:AU$183,AU28:AU$183,"&gt;"&amp;0,BH28:BH$183,"="&amp;BH27,BK28:BK$183,"="&amp;1)/SUMIFS(AU$6:AU$183,AU$6:AU$183,"&gt;"&amp;0,BH$6:BH$183,"="&amp;BH27)</f>
        <v>0.54621986088822971</v>
      </c>
      <c r="AZ27" s="169">
        <f>IF(AW27&gt;Adjustments!$J$6,Adjustments!$L$6,IF(AW27&gt;Adjustments!$J$7,Adjustments!$L$7,IF(AW27&gt;Adjustments!$J$8,Adjustments!$L$8,IF(AW27&lt;Adjustments!$J$10,Adjustments!$L$10,IF(AW27&lt;Adjustments!$J$9,Adjustments!$L$9,0)))))</f>
        <v>0.2</v>
      </c>
      <c r="BA27" s="169">
        <f>INDEX(Adjustments!$C$4:$C$2520,MATCH(AR27,Adjustments!$B$4:$B$2520,0))</f>
        <v>0</v>
      </c>
      <c r="BB27" s="153" t="str">
        <f>INDEX(AG$6:AG$182,MATCH($AR27,$AF$6:$AF$182,0))</f>
        <v>9</v>
      </c>
      <c r="BC27" s="153">
        <f>INDEX(AH$6:AH$182,MATCH($AR27,$AF$6:$AF$182,0))</f>
        <v>24</v>
      </c>
      <c r="BD27" s="153">
        <f>INDEX(AI$6:AI$182,MATCH($AR27,$AF$6:$AF$182,0))</f>
        <v>2</v>
      </c>
      <c r="BE27" s="153">
        <f>BC27-AO27</f>
        <v>2</v>
      </c>
      <c r="BF27" s="153"/>
      <c r="BG27" s="153"/>
      <c r="BH27" s="195" t="str">
        <f>INDEX($AE$6:$AE$182,MATCH(AR27,$AF$6:$AF$182,0))</f>
        <v>WR</v>
      </c>
      <c r="BI27" s="195">
        <f>SUMIF($BH$6:BH27,BH27,$BK$6:BK27)</f>
        <v>9</v>
      </c>
      <c r="BJ27" s="194">
        <v>1</v>
      </c>
      <c r="BK27" s="194">
        <f t="shared" si="4"/>
        <v>1</v>
      </c>
      <c r="BL27" s="194" t="str">
        <f>IF('Real Time Draft Tool'!B27="y","y","")</f>
        <v/>
      </c>
      <c r="BM27" s="194" t="str">
        <f t="shared" si="5"/>
        <v>WR 9</v>
      </c>
    </row>
    <row r="28" spans="2:65" x14ac:dyDescent="0.25">
      <c r="B28" s="102" t="s">
        <v>101</v>
      </c>
      <c r="C28" s="103" t="s">
        <v>105</v>
      </c>
      <c r="D28" s="103">
        <v>157</v>
      </c>
      <c r="E28" s="140">
        <v>0</v>
      </c>
      <c r="F28" s="141">
        <v>-2.26793727</v>
      </c>
      <c r="G28" s="104">
        <v>0.73312552507149864</v>
      </c>
      <c r="H28" s="142">
        <v>0</v>
      </c>
      <c r="I28" s="106" t="s">
        <v>177</v>
      </c>
      <c r="J28" s="81"/>
      <c r="K28" s="101">
        <v>23</v>
      </c>
      <c r="L28" s="102" t="s">
        <v>114</v>
      </c>
      <c r="M28" s="103" t="s">
        <v>156</v>
      </c>
      <c r="N28" s="143">
        <v>57</v>
      </c>
      <c r="O28" s="108">
        <v>9</v>
      </c>
      <c r="P28" s="141">
        <v>2.941374198333333</v>
      </c>
      <c r="Q28" s="105">
        <v>1.1533726260414119</v>
      </c>
      <c r="R28" s="142">
        <v>0.15640648307700525</v>
      </c>
      <c r="S28" s="106" t="s">
        <v>83</v>
      </c>
      <c r="T28" s="99"/>
      <c r="U28" s="107">
        <v>23</v>
      </c>
      <c r="V28" s="102" t="s">
        <v>111</v>
      </c>
      <c r="W28" s="103" t="s">
        <v>58</v>
      </c>
      <c r="X28" s="143">
        <v>50</v>
      </c>
      <c r="Y28" s="108">
        <v>-9</v>
      </c>
      <c r="Z28" s="141">
        <v>2.5195366583333336</v>
      </c>
      <c r="AA28" s="104">
        <v>1.3043622316256431</v>
      </c>
      <c r="AB28" s="142">
        <v>0.1904191126492884</v>
      </c>
      <c r="AC28" s="106" t="s">
        <v>83</v>
      </c>
      <c r="AD28" s="202"/>
      <c r="AE28" s="195" t="s">
        <v>257</v>
      </c>
      <c r="AF28" s="195" t="str">
        <f t="shared" si="2"/>
        <v>Eli Manning</v>
      </c>
      <c r="AG28" s="195" t="str">
        <f t="shared" si="2"/>
        <v>8</v>
      </c>
      <c r="AH28" s="195">
        <f t="shared" si="3"/>
        <v>157</v>
      </c>
      <c r="AI28" s="195">
        <f t="shared" si="0"/>
        <v>0</v>
      </c>
      <c r="AJ28" s="196">
        <f t="shared" si="6"/>
        <v>-2.26793727</v>
      </c>
      <c r="AK28" s="196">
        <f t="shared" si="6"/>
        <v>0.73312552507149864</v>
      </c>
      <c r="AL28" s="197">
        <f t="shared" si="6"/>
        <v>0</v>
      </c>
      <c r="AM28" s="195" t="str">
        <f t="shared" si="6"/>
        <v>7+</v>
      </c>
      <c r="AN28" s="153"/>
      <c r="AO28" s="153">
        <v>23</v>
      </c>
      <c r="AP28" s="153">
        <v>23</v>
      </c>
      <c r="AQ28" s="153">
        <f>AP28-AO28</f>
        <v>0</v>
      </c>
      <c r="AR28" s="86" t="s">
        <v>30</v>
      </c>
      <c r="AS28" s="153" t="str">
        <f>BH28&amp;" "&amp;BI28</f>
        <v>QB 2</v>
      </c>
      <c r="AT28" s="153">
        <f>IF(AU28&gt;8,1,IF(AU28&gt;6.4,2,IF(AU28&gt;6,3,IF(AU28&gt;5,4,IF(AU28&gt;3.5,5,IF(AU28&gt;2.5,6,IF(AU28&gt;1.5,7,IF(AU28&gt;0.5,8,IF(AU28&gt;-0.5,9,10)))))))))</f>
        <v>5</v>
      </c>
      <c r="AU28" s="169">
        <f>SUM(AV28,AZ28,BA28)</f>
        <v>4.9355896233333327</v>
      </c>
      <c r="AV28" s="169">
        <f>INDEX(AJ$6:AJ$182,MATCH($AR28,$AF$6:$AF$182,0))</f>
        <v>5.0855896233333331</v>
      </c>
      <c r="AW28" s="169">
        <f>INDEX(AK$6:AK$182,MATCH($AR28,$AF$6:$AF$182,0))</f>
        <v>1.0472248015294765</v>
      </c>
      <c r="AX28" s="168">
        <f>SUMIFS(AV29:AV$183,AV29:AV$183,"&gt;"&amp;0,$BH29:$BH$183,"="&amp;$BH28,$BK29:$BK$183,"="&amp;1)/SUMIFS(AV$6:AV$183,AV$6:AV$183,"&gt;"&amp;0,$BH$6:$BH$183,"="&amp;$BH28)</f>
        <v>0.69841831010586508</v>
      </c>
      <c r="AY28" s="168">
        <f>SUMIFS(AU29:AU$183,AU29:AU$183,"&gt;"&amp;0,BH29:BH$183,"="&amp;BH28,BK29:BK$183,"="&amp;1)/SUMIFS(AU$6:AU$183,AU$6:AU$183,"&gt;"&amp;0,BH$6:BH$183,"="&amp;BH28)</f>
        <v>0.71220106896954116</v>
      </c>
      <c r="AZ28" s="169">
        <f>IF(AW28&gt;Adjustments!$J$6,Adjustments!$L$6,IF(AW28&gt;Adjustments!$J$7,Adjustments!$L$7,IF(AW28&gt;Adjustments!$J$8,Adjustments!$L$8,IF(AW28&lt;Adjustments!$J$10,Adjustments!$L$10,IF(AW28&lt;Adjustments!$J$9,Adjustments!$L$9,0)))))</f>
        <v>-0.15</v>
      </c>
      <c r="BA28" s="169">
        <f>INDEX(Adjustments!$C$4:$C$2520,MATCH(AR28,Adjustments!$B$4:$B$2520,0))</f>
        <v>0</v>
      </c>
      <c r="BB28" s="153" t="str">
        <f>INDEX(AG$6:AG$182,MATCH($AR28,$AF$6:$AF$182,0))</f>
        <v>9</v>
      </c>
      <c r="BC28" s="153">
        <f>INDEX(AH$6:AH$182,MATCH($AR28,$AF$6:$AF$182,0))</f>
        <v>21</v>
      </c>
      <c r="BD28" s="153">
        <f>INDEX(AI$6:AI$182,MATCH($AR28,$AF$6:$AF$182,0))</f>
        <v>-2</v>
      </c>
      <c r="BE28" s="153">
        <f>BC28-AO28</f>
        <v>-2</v>
      </c>
      <c r="BF28" s="153"/>
      <c r="BG28" s="153"/>
      <c r="BH28" s="195" t="str">
        <f>INDEX($AE$6:$AE$182,MATCH(AR28,$AF$6:$AF$182,0))</f>
        <v>QB</v>
      </c>
      <c r="BI28" s="195">
        <f>SUMIF($BH$6:BH28,BH28,$BK$6:BK28)</f>
        <v>2</v>
      </c>
      <c r="BJ28" s="194">
        <v>1</v>
      </c>
      <c r="BK28" s="194">
        <f t="shared" si="4"/>
        <v>1</v>
      </c>
      <c r="BL28" s="194" t="str">
        <f>IF('Real Time Draft Tool'!B28="y","y","")</f>
        <v/>
      </c>
      <c r="BM28" s="194" t="str">
        <f t="shared" si="5"/>
        <v>QB 2</v>
      </c>
    </row>
    <row r="29" spans="2:65" x14ac:dyDescent="0.25">
      <c r="B29" s="102" t="s">
        <v>108</v>
      </c>
      <c r="C29" s="103" t="s">
        <v>113</v>
      </c>
      <c r="D29" s="103" t="s">
        <v>236</v>
      </c>
      <c r="E29" s="140" t="s">
        <v>236</v>
      </c>
      <c r="F29" s="141">
        <v>-2.8638633863636365</v>
      </c>
      <c r="G29" s="104">
        <v>1.1273768578188279</v>
      </c>
      <c r="H29" s="142">
        <v>0</v>
      </c>
      <c r="I29" s="106" t="s">
        <v>91</v>
      </c>
      <c r="J29" s="99"/>
      <c r="K29" s="101">
        <v>24</v>
      </c>
      <c r="L29" s="102" t="s">
        <v>110</v>
      </c>
      <c r="M29" s="103" t="s">
        <v>130</v>
      </c>
      <c r="N29" s="143">
        <v>63</v>
      </c>
      <c r="O29" s="108">
        <v>13</v>
      </c>
      <c r="P29" s="141">
        <v>2.88212526</v>
      </c>
      <c r="Q29" s="105">
        <v>1.2882828974505698</v>
      </c>
      <c r="R29" s="142">
        <v>0.13749905187016762</v>
      </c>
      <c r="S29" s="106" t="s">
        <v>83</v>
      </c>
      <c r="T29" s="99"/>
      <c r="U29" s="107">
        <v>24</v>
      </c>
      <c r="V29" s="102" t="s">
        <v>96</v>
      </c>
      <c r="W29" s="103" t="s">
        <v>113</v>
      </c>
      <c r="X29" s="143">
        <v>75</v>
      </c>
      <c r="Y29" s="108">
        <v>14</v>
      </c>
      <c r="Z29" s="141">
        <v>2.4407190200000004</v>
      </c>
      <c r="AA29" s="104">
        <v>0.91212470820039571</v>
      </c>
      <c r="AB29" s="142">
        <v>0.17214230861833565</v>
      </c>
      <c r="AC29" s="106" t="s">
        <v>147</v>
      </c>
      <c r="AD29" s="202"/>
      <c r="AE29" s="195" t="s">
        <v>257</v>
      </c>
      <c r="AF29" s="195" t="str">
        <f t="shared" si="2"/>
        <v>EJ Manuel</v>
      </c>
      <c r="AG29" s="195" t="str">
        <f t="shared" si="2"/>
        <v>9</v>
      </c>
      <c r="AH29" s="195">
        <f t="shared" si="3"/>
        <v>200</v>
      </c>
      <c r="AI29" s="195">
        <f t="shared" si="0"/>
        <v>0</v>
      </c>
      <c r="AJ29" s="196">
        <f t="shared" si="6"/>
        <v>-2.8638633863636365</v>
      </c>
      <c r="AK29" s="196">
        <f t="shared" si="6"/>
        <v>1.1273768578188279</v>
      </c>
      <c r="AL29" s="197">
        <f t="shared" si="6"/>
        <v>0</v>
      </c>
      <c r="AM29" s="195" t="str">
        <f t="shared" si="6"/>
        <v>7</v>
      </c>
      <c r="AN29" s="153"/>
      <c r="AO29" s="153">
        <v>24</v>
      </c>
      <c r="AP29" s="153">
        <v>24</v>
      </c>
      <c r="AQ29" s="153">
        <f>AP29-AO29</f>
        <v>0</v>
      </c>
      <c r="AR29" s="86" t="s">
        <v>70</v>
      </c>
      <c r="AS29" s="153" t="str">
        <f>BH29&amp;" "&amp;BI29</f>
        <v>RB 12</v>
      </c>
      <c r="AT29" s="153">
        <f>IF(AU29&gt;8,1,IF(AU29&gt;6.4,2,IF(AU29&gt;6,3,IF(AU29&gt;5,4,IF(AU29&gt;3.5,5,IF(AU29&gt;2.5,6,IF(AU29&gt;1.5,7,IF(AU29&gt;0.5,8,IF(AU29&gt;-0.5,9,10)))))))))</f>
        <v>5</v>
      </c>
      <c r="AU29" s="169">
        <f>SUM(AV29,AZ29,BA29)</f>
        <v>4.8935063799999998</v>
      </c>
      <c r="AV29" s="169">
        <f>INDEX(AJ$6:AJ$182,MATCH($AR29,$AF$6:$AF$182,0))</f>
        <v>5.0435063800000002</v>
      </c>
      <c r="AW29" s="169">
        <f>INDEX(AK$6:AK$182,MATCH($AR29,$AF$6:$AF$182,0))</f>
        <v>1.1171285239868824</v>
      </c>
      <c r="AX29" s="168">
        <f>SUMIFS(AV30:AV$183,AV30:AV$183,"&gt;"&amp;0,$BH30:$BH$183,"="&amp;$BH29,$BK30:$BK$183,"="&amp;1)/SUMIFS(AV$6:AV$183,AV$6:AV$183,"&gt;"&amp;0,$BH$6:$BH$183,"="&amp;$BH29)</f>
        <v>0.4240901520896338</v>
      </c>
      <c r="AY29" s="168">
        <f>SUMIFS(AU30:AU$183,AU30:AU$183,"&gt;"&amp;0,BH30:BH$183,"="&amp;BH29,BK30:BK$183,"="&amp;1)/SUMIFS(AU$6:AU$183,AU$6:AU$183,"&gt;"&amp;0,BH$6:BH$183,"="&amp;BH29)</f>
        <v>0.41446515409769513</v>
      </c>
      <c r="AZ29" s="169">
        <f>IF(AW29&gt;Adjustments!$J$6,Adjustments!$L$6,IF(AW29&gt;Adjustments!$J$7,Adjustments!$L$7,IF(AW29&gt;Adjustments!$J$8,Adjustments!$L$8,IF(AW29&lt;Adjustments!$J$10,Adjustments!$L$10,IF(AW29&lt;Adjustments!$J$9,Adjustments!$L$9,0)))))</f>
        <v>-0.15</v>
      </c>
      <c r="BA29" s="169">
        <f>INDEX(Adjustments!$C$4:$C$2520,MATCH(AR29,Adjustments!$B$4:$B$2520,0))</f>
        <v>0</v>
      </c>
      <c r="BB29" s="153" t="str">
        <f>INDEX(AG$6:AG$182,MATCH($AR29,$AF$6:$AF$182,0))</f>
        <v>7</v>
      </c>
      <c r="BC29" s="153">
        <f>INDEX(AH$6:AH$182,MATCH($AR29,$AF$6:$AF$182,0))</f>
        <v>24</v>
      </c>
      <c r="BD29" s="153">
        <f>INDEX(AI$6:AI$182,MATCH($AR29,$AF$6:$AF$182,0))</f>
        <v>0</v>
      </c>
      <c r="BE29" s="153">
        <f>BC29-AO29</f>
        <v>0</v>
      </c>
      <c r="BF29" s="153"/>
      <c r="BG29" s="153"/>
      <c r="BH29" s="195" t="str">
        <f>INDEX($AE$6:$AE$182,MATCH(AR29,$AF$6:$AF$182,0))</f>
        <v>RB</v>
      </c>
      <c r="BI29" s="195">
        <f>SUMIF($BH$6:BH29,BH29,$BK$6:BK29)</f>
        <v>12</v>
      </c>
      <c r="BJ29" s="194">
        <v>1</v>
      </c>
      <c r="BK29" s="194">
        <f t="shared" si="4"/>
        <v>1</v>
      </c>
      <c r="BL29" s="194" t="str">
        <f>IF('Real Time Draft Tool'!B29="y","y","")</f>
        <v/>
      </c>
      <c r="BM29" s="194" t="str">
        <f t="shared" si="5"/>
        <v>RB 12</v>
      </c>
    </row>
    <row r="30" spans="2:65" x14ac:dyDescent="0.25">
      <c r="B30" s="102" t="s">
        <v>112</v>
      </c>
      <c r="C30" s="103" t="s">
        <v>91</v>
      </c>
      <c r="D30" s="103">
        <v>166</v>
      </c>
      <c r="E30" s="140">
        <v>-39</v>
      </c>
      <c r="F30" s="141">
        <v>-3.5420299683333329</v>
      </c>
      <c r="G30" s="104">
        <v>1.3797604651040543</v>
      </c>
      <c r="H30" s="142">
        <v>0</v>
      </c>
      <c r="I30" s="106" t="s">
        <v>105</v>
      </c>
      <c r="J30" s="99"/>
      <c r="K30" s="101">
        <v>25</v>
      </c>
      <c r="L30" s="102" t="s">
        <v>84</v>
      </c>
      <c r="M30" s="103" t="s">
        <v>130</v>
      </c>
      <c r="N30" s="143">
        <v>49</v>
      </c>
      <c r="O30" s="108">
        <v>-2</v>
      </c>
      <c r="P30" s="141">
        <v>2.8526513316666668</v>
      </c>
      <c r="Q30" s="105">
        <v>1.0631225600749401</v>
      </c>
      <c r="R30" s="142">
        <v>0.11878497668435106</v>
      </c>
      <c r="S30" s="106" t="s">
        <v>199</v>
      </c>
      <c r="T30" s="99"/>
      <c r="U30" s="107">
        <v>25</v>
      </c>
      <c r="V30" s="102" t="s">
        <v>103</v>
      </c>
      <c r="W30" s="103" t="s">
        <v>130</v>
      </c>
      <c r="X30" s="143">
        <v>64</v>
      </c>
      <c r="Y30" s="108">
        <v>-4</v>
      </c>
      <c r="Z30" s="141">
        <v>2.1856127999999999</v>
      </c>
      <c r="AA30" s="104">
        <v>1.4573807925872597</v>
      </c>
      <c r="AB30" s="142">
        <v>0.1557758131283542</v>
      </c>
      <c r="AC30" s="106" t="s">
        <v>147</v>
      </c>
      <c r="AD30" s="202"/>
      <c r="AE30" s="195" t="s">
        <v>257</v>
      </c>
      <c r="AF30" s="195" t="str">
        <f t="shared" si="2"/>
        <v>Josh McCown</v>
      </c>
      <c r="AG30" s="195" t="str">
        <f t="shared" si="2"/>
        <v>7</v>
      </c>
      <c r="AH30" s="195">
        <f t="shared" si="3"/>
        <v>166</v>
      </c>
      <c r="AI30" s="195">
        <f t="shared" si="0"/>
        <v>-39</v>
      </c>
      <c r="AJ30" s="196">
        <f t="shared" si="6"/>
        <v>-3.5420299683333329</v>
      </c>
      <c r="AK30" s="196">
        <f t="shared" si="6"/>
        <v>1.3797604651040543</v>
      </c>
      <c r="AL30" s="197">
        <f t="shared" si="6"/>
        <v>0</v>
      </c>
      <c r="AM30" s="195" t="str">
        <f t="shared" si="6"/>
        <v>8</v>
      </c>
      <c r="AN30" s="153"/>
      <c r="AO30" s="153">
        <v>25</v>
      </c>
      <c r="AP30" s="153">
        <v>25</v>
      </c>
      <c r="AQ30" s="153">
        <f>AP30-AO30</f>
        <v>0</v>
      </c>
      <c r="AR30" s="86" t="s">
        <v>34</v>
      </c>
      <c r="AS30" s="153" t="str">
        <f>BH30&amp;" "&amp;BI30</f>
        <v>QB 3</v>
      </c>
      <c r="AT30" s="153">
        <f>IF(AU30&gt;8,1,IF(AU30&gt;6.4,2,IF(AU30&gt;6,3,IF(AU30&gt;5,4,IF(AU30&gt;3.5,5,IF(AU30&gt;2.5,6,IF(AU30&gt;1.5,7,IF(AU30&gt;0.5,8,IF(AU30&gt;-0.5,9,10)))))))))</f>
        <v>5</v>
      </c>
      <c r="AU30" s="169">
        <f>SUM(AV30,AZ30,BA30)</f>
        <v>4.7943791966666662</v>
      </c>
      <c r="AV30" s="169">
        <f>INDEX(AJ$6:AJ$182,MATCH($AR30,$AF$6:$AF$182,0))</f>
        <v>4.7943791966666662</v>
      </c>
      <c r="AW30" s="169">
        <f>INDEX(AK$6:AK$182,MATCH($AR30,$AF$6:$AF$182,0))</f>
        <v>0.8075648441339276</v>
      </c>
      <c r="AX30" s="168">
        <f>SUMIFS(AV31:AV$183,AV31:AV$183,"&gt;"&amp;0,$BH31:$BH$183,"="&amp;$BH30,$BK31:$BK$183,"="&amp;1)/SUMIFS(AV$6:AV$183,AV$6:AV$183,"&gt;"&amp;0,$BH$6:$BH$183,"="&amp;$BH30)</f>
        <v>0.57283897596408084</v>
      </c>
      <c r="AY30" s="168">
        <f>SUMIFS(AU31:AU$183,AU31:AU$183,"&gt;"&amp;0,BH31:BH$183,"="&amp;BH30,BK31:BK$183,"="&amp;1)/SUMIFS(AU$6:AU$183,AU$6:AU$183,"&gt;"&amp;0,BH$6:BH$183,"="&amp;BH30)</f>
        <v>0.59077904293475958</v>
      </c>
      <c r="AZ30" s="169">
        <f>IF(AW30&gt;Adjustments!$J$6,Adjustments!$L$6,IF(AW30&gt;Adjustments!$J$7,Adjustments!$L$7,IF(AW30&gt;Adjustments!$J$8,Adjustments!$L$8,IF(AW30&lt;Adjustments!$J$10,Adjustments!$L$10,IF(AW30&lt;Adjustments!$J$9,Adjustments!$L$9,0)))))</f>
        <v>0</v>
      </c>
      <c r="BA30" s="169">
        <f>INDEX(Adjustments!$C$4:$C$2520,MATCH(AR30,Adjustments!$B$4:$B$2520,0))</f>
        <v>0</v>
      </c>
      <c r="BB30" s="153" t="str">
        <f>INDEX(AG$6:AG$182,MATCH($AR30,$AF$6:$AF$182,0))</f>
        <v>6</v>
      </c>
      <c r="BC30" s="153">
        <f>INDEX(AH$6:AH$182,MATCH($AR30,$AF$6:$AF$182,0))</f>
        <v>19</v>
      </c>
      <c r="BD30" s="153">
        <f>INDEX(AI$6:AI$182,MATCH($AR30,$AF$6:$AF$182,0))</f>
        <v>-6</v>
      </c>
      <c r="BE30" s="153">
        <f>BC30-AO30</f>
        <v>-6</v>
      </c>
      <c r="BF30" s="153"/>
      <c r="BG30" s="153"/>
      <c r="BH30" s="195" t="str">
        <f>INDEX($AE$6:$AE$182,MATCH(AR30,$AF$6:$AF$182,0))</f>
        <v>QB</v>
      </c>
      <c r="BI30" s="195">
        <f>SUMIF($BH$6:BH30,BH30,$BK$6:BK30)</f>
        <v>3</v>
      </c>
      <c r="BJ30" s="194">
        <v>1</v>
      </c>
      <c r="BK30" s="194">
        <f t="shared" si="4"/>
        <v>1</v>
      </c>
      <c r="BL30" s="194" t="str">
        <f>IF('Real Time Draft Tool'!B30="y","y","")</f>
        <v/>
      </c>
      <c r="BM30" s="194" t="str">
        <f t="shared" si="5"/>
        <v>QB 3</v>
      </c>
    </row>
    <row r="31" spans="2:65" x14ac:dyDescent="0.25">
      <c r="B31" s="102" t="s">
        <v>116</v>
      </c>
      <c r="C31" s="103" t="s">
        <v>113</v>
      </c>
      <c r="D31" s="103" t="s">
        <v>236</v>
      </c>
      <c r="E31" s="140" t="s">
        <v>236</v>
      </c>
      <c r="F31" s="141">
        <v>-3.775915364999999</v>
      </c>
      <c r="G31" s="104">
        <v>1.7915208918358252</v>
      </c>
      <c r="H31" s="142">
        <v>0</v>
      </c>
      <c r="I31" s="106" t="s">
        <v>105</v>
      </c>
      <c r="J31" s="99"/>
      <c r="K31" s="101">
        <v>26</v>
      </c>
      <c r="L31" s="102" t="s">
        <v>127</v>
      </c>
      <c r="M31" s="103" t="s">
        <v>105</v>
      </c>
      <c r="N31" s="143">
        <v>55</v>
      </c>
      <c r="O31" s="108">
        <v>2</v>
      </c>
      <c r="P31" s="141">
        <v>2.6885450016666672</v>
      </c>
      <c r="Q31" s="105">
        <v>1.4322759382465609</v>
      </c>
      <c r="R31" s="142">
        <v>0.10114747828308475</v>
      </c>
      <c r="S31" s="106" t="s">
        <v>83</v>
      </c>
      <c r="T31" s="99"/>
      <c r="U31" s="107">
        <v>26</v>
      </c>
      <c r="V31" s="102" t="s">
        <v>118</v>
      </c>
      <c r="W31" s="103" t="s">
        <v>73</v>
      </c>
      <c r="X31" s="143">
        <v>77</v>
      </c>
      <c r="Y31" s="108">
        <v>8</v>
      </c>
      <c r="Z31" s="141">
        <v>2.1721139016666666</v>
      </c>
      <c r="AA31" s="104">
        <v>0.37046537783954053</v>
      </c>
      <c r="AB31" s="142">
        <v>0.13951040126063755</v>
      </c>
      <c r="AC31" s="106" t="s">
        <v>83</v>
      </c>
      <c r="AD31" s="202"/>
      <c r="AE31" s="195" t="s">
        <v>257</v>
      </c>
      <c r="AF31" s="195" t="str">
        <f t="shared" si="2"/>
        <v>Jake Locker</v>
      </c>
      <c r="AG31" s="195" t="str">
        <f t="shared" si="2"/>
        <v>9</v>
      </c>
      <c r="AH31" s="195">
        <f t="shared" si="3"/>
        <v>200</v>
      </c>
      <c r="AI31" s="195">
        <f t="shared" si="0"/>
        <v>0</v>
      </c>
      <c r="AJ31" s="196">
        <f t="shared" si="6"/>
        <v>-3.775915364999999</v>
      </c>
      <c r="AK31" s="196">
        <f t="shared" si="6"/>
        <v>1.7915208918358252</v>
      </c>
      <c r="AL31" s="197">
        <f t="shared" si="6"/>
        <v>0</v>
      </c>
      <c r="AM31" s="195" t="str">
        <f t="shared" si="6"/>
        <v>8</v>
      </c>
      <c r="AN31" s="153"/>
      <c r="AO31" s="153">
        <v>26</v>
      </c>
      <c r="AP31" s="153">
        <v>26</v>
      </c>
      <c r="AQ31" s="153">
        <f>AP31-AO31</f>
        <v>0</v>
      </c>
      <c r="AR31" s="86" t="s">
        <v>60</v>
      </c>
      <c r="AS31" s="153" t="str">
        <f>BH31&amp;" "&amp;BI31</f>
        <v>WR 10</v>
      </c>
      <c r="AT31" s="153">
        <f>IF(AU31&gt;8,1,IF(AU31&gt;6.4,2,IF(AU31&gt;6,3,IF(AU31&gt;5,4,IF(AU31&gt;3.5,5,IF(AU31&gt;2.5,6,IF(AU31&gt;1.5,7,IF(AU31&gt;0.5,8,IF(AU31&gt;-0.5,9,10)))))))))</f>
        <v>5</v>
      </c>
      <c r="AU31" s="169">
        <f>SUM(AV31,AZ31,BA31)</f>
        <v>4.7457032349999997</v>
      </c>
      <c r="AV31" s="169">
        <f>INDEX(AJ$6:AJ$182,MATCH($AR31,$AF$6:$AF$182,0))</f>
        <v>4.7457032349999997</v>
      </c>
      <c r="AW31" s="169">
        <f>INDEX(AK$6:AK$182,MATCH($AR31,$AF$6:$AF$182,0))</f>
        <v>0.95640204269767548</v>
      </c>
      <c r="AX31" s="168">
        <f>SUMIFS(AV32:AV$183,AV32:AV$183,"&gt;"&amp;0,$BH32:$BH$183,"="&amp;$BH31,$BK32:$BK$183,"="&amp;1)/SUMIFS(AV$6:AV$183,AV$6:AV$183,"&gt;"&amp;0,$BH$6:$BH$183,"="&amp;$BH31)</f>
        <v>0.51729629705302616</v>
      </c>
      <c r="AY31" s="168">
        <f>SUMIFS(AU32:AU$183,AU32:AU$183,"&gt;"&amp;0,BH32:BH$183,"="&amp;BH31,BK32:BK$183,"="&amp;1)/SUMIFS(AU$6:AU$183,AU$6:AU$183,"&gt;"&amp;0,BH$6:BH$183,"="&amp;BH31)</f>
        <v>0.51115530617181615</v>
      </c>
      <c r="AZ31" s="169">
        <f>IF(AW31&gt;Adjustments!$J$6,Adjustments!$L$6,IF(AW31&gt;Adjustments!$J$7,Adjustments!$L$7,IF(AW31&gt;Adjustments!$J$8,Adjustments!$L$8,IF(AW31&lt;Adjustments!$J$10,Adjustments!$L$10,IF(AW31&lt;Adjustments!$J$9,Adjustments!$L$9,0)))))</f>
        <v>0</v>
      </c>
      <c r="BA31" s="169">
        <f>INDEX(Adjustments!$C$4:$C$2520,MATCH(AR31,Adjustments!$B$4:$B$2520,0))</f>
        <v>0</v>
      </c>
      <c r="BB31" s="153" t="str">
        <f>INDEX(AG$6:AG$182,MATCH($AR31,$AF$6:$AF$182,0))</f>
        <v>9</v>
      </c>
      <c r="BC31" s="153">
        <f>INDEX(AH$6:AH$182,MATCH($AR31,$AF$6:$AF$182,0))</f>
        <v>27</v>
      </c>
      <c r="BD31" s="153">
        <f>INDEX(AI$6:AI$182,MATCH($AR31,$AF$6:$AF$182,0))</f>
        <v>1</v>
      </c>
      <c r="BE31" s="153">
        <f>BC31-AO31</f>
        <v>1</v>
      </c>
      <c r="BF31" s="153"/>
      <c r="BG31" s="153"/>
      <c r="BH31" s="195" t="str">
        <f>INDEX($AE$6:$AE$182,MATCH(AR31,$AF$6:$AF$182,0))</f>
        <v>WR</v>
      </c>
      <c r="BI31" s="195">
        <f>SUMIF($BH$6:BH31,BH31,$BK$6:BK31)</f>
        <v>10</v>
      </c>
      <c r="BJ31" s="194">
        <v>1</v>
      </c>
      <c r="BK31" s="194">
        <f t="shared" si="4"/>
        <v>1</v>
      </c>
      <c r="BL31" s="194" t="str">
        <f>IF('Real Time Draft Tool'!B31="y","y","")</f>
        <v/>
      </c>
      <c r="BM31" s="194" t="str">
        <f t="shared" si="5"/>
        <v>WR 10</v>
      </c>
    </row>
    <row r="32" spans="2:65" x14ac:dyDescent="0.25">
      <c r="B32" s="102" t="s">
        <v>119</v>
      </c>
      <c r="C32" s="103" t="s">
        <v>130</v>
      </c>
      <c r="D32" s="103" t="s">
        <v>236</v>
      </c>
      <c r="E32" s="140" t="s">
        <v>236</v>
      </c>
      <c r="F32" s="141">
        <v>-5.2210372199999995</v>
      </c>
      <c r="G32" s="104">
        <v>2.1680306330783039</v>
      </c>
      <c r="H32" s="142">
        <v>0</v>
      </c>
      <c r="I32" s="106" t="s">
        <v>98</v>
      </c>
      <c r="J32" s="99"/>
      <c r="K32" s="101">
        <v>27</v>
      </c>
      <c r="L32" s="102" t="s">
        <v>95</v>
      </c>
      <c r="M32" s="103" t="s">
        <v>83</v>
      </c>
      <c r="N32" s="143">
        <v>72</v>
      </c>
      <c r="O32" s="108">
        <v>14</v>
      </c>
      <c r="P32" s="141">
        <v>2.5584440599999998</v>
      </c>
      <c r="Q32" s="105">
        <v>1.0718215010038779</v>
      </c>
      <c r="R32" s="142">
        <v>8.4363473183669949E-2</v>
      </c>
      <c r="S32" s="106" t="s">
        <v>83</v>
      </c>
      <c r="T32" s="99"/>
      <c r="U32" s="107">
        <v>27</v>
      </c>
      <c r="V32" s="102" t="s">
        <v>122</v>
      </c>
      <c r="W32" s="103" t="s">
        <v>83</v>
      </c>
      <c r="X32" s="143">
        <v>79</v>
      </c>
      <c r="Y32" s="108">
        <v>7</v>
      </c>
      <c r="Z32" s="141">
        <v>1.9634169766666665</v>
      </c>
      <c r="AA32" s="104">
        <v>0.9677383270786416</v>
      </c>
      <c r="AB32" s="142">
        <v>0.12480777182253765</v>
      </c>
      <c r="AC32" s="106" t="s">
        <v>83</v>
      </c>
      <c r="AD32" s="202"/>
      <c r="AE32" s="195" t="s">
        <v>257</v>
      </c>
      <c r="AF32" s="195" t="str">
        <f t="shared" si="2"/>
        <v>Ryan Fitzpatrick</v>
      </c>
      <c r="AG32" s="195" t="str">
        <f t="shared" si="2"/>
        <v>10</v>
      </c>
      <c r="AH32" s="195">
        <f t="shared" si="3"/>
        <v>200</v>
      </c>
      <c r="AI32" s="195">
        <f t="shared" si="0"/>
        <v>0</v>
      </c>
      <c r="AJ32" s="196">
        <f t="shared" si="6"/>
        <v>-5.2210372199999995</v>
      </c>
      <c r="AK32" s="196">
        <f t="shared" si="6"/>
        <v>2.1680306330783039</v>
      </c>
      <c r="AL32" s="197">
        <f t="shared" si="6"/>
        <v>0</v>
      </c>
      <c r="AM32" s="195" t="str">
        <f t="shared" si="6"/>
        <v>8+</v>
      </c>
      <c r="AN32" s="153"/>
      <c r="AO32" s="153">
        <v>27</v>
      </c>
      <c r="AP32" s="153">
        <v>27</v>
      </c>
      <c r="AQ32" s="153">
        <f>AP32-AO32</f>
        <v>0</v>
      </c>
      <c r="AR32" s="86" t="s">
        <v>74</v>
      </c>
      <c r="AS32" s="153" t="str">
        <f>BH32&amp;" "&amp;BI32</f>
        <v>RB 13</v>
      </c>
      <c r="AT32" s="153">
        <f>IF(AU32&gt;8,1,IF(AU32&gt;6.4,2,IF(AU32&gt;6,3,IF(AU32&gt;5,4,IF(AU32&gt;3.5,5,IF(AU32&gt;2.5,6,IF(AU32&gt;1.5,7,IF(AU32&gt;0.5,8,IF(AU32&gt;-0.5,9,10)))))))))</f>
        <v>5</v>
      </c>
      <c r="AU32" s="169">
        <f>SUM(AV32,AZ32,BA32)</f>
        <v>4.5813282849999997</v>
      </c>
      <c r="AV32" s="169">
        <f>INDEX(AJ$6:AJ$182,MATCH($AR32,$AF$6:$AF$182,0))</f>
        <v>4.5813282849999997</v>
      </c>
      <c r="AW32" s="169">
        <f>INDEX(AK$6:AK$182,MATCH($AR32,$AF$6:$AF$182,0))</f>
        <v>0.96011829109817359</v>
      </c>
      <c r="AX32" s="168">
        <f>SUMIFS(AV33:AV$183,AV33:AV$183,"&gt;"&amp;0,$BH33:$BH$183,"="&amp;$BH32,$BK33:$BK$183,"="&amp;1)/SUMIFS(AV$6:AV$183,AV$6:AV$183,"&gt;"&amp;0,$BH$6:$BH$183,"="&amp;$BH32)</f>
        <v>0.39403554253231821</v>
      </c>
      <c r="AY32" s="168">
        <f>SUMIFS(AU33:AU$183,AU33:AU$183,"&gt;"&amp;0,BH33:BH$183,"="&amp;BH32,BK33:BK$183,"="&amp;1)/SUMIFS(AU$6:AU$183,AU$6:AU$183,"&gt;"&amp;0,BH$6:BH$183,"="&amp;BH32)</f>
        <v>0.38278971664998651</v>
      </c>
      <c r="AZ32" s="169">
        <f>IF(AW32&gt;Adjustments!$J$6,Adjustments!$L$6,IF(AW32&gt;Adjustments!$J$7,Adjustments!$L$7,IF(AW32&gt;Adjustments!$J$8,Adjustments!$L$8,IF(AW32&lt;Adjustments!$J$10,Adjustments!$L$10,IF(AW32&lt;Adjustments!$J$9,Adjustments!$L$9,0)))))</f>
        <v>0</v>
      </c>
      <c r="BA32" s="169">
        <f>INDEX(Adjustments!$C$4:$C$2520,MATCH(AR32,Adjustments!$B$4:$B$2520,0))</f>
        <v>0</v>
      </c>
      <c r="BB32" s="153" t="str">
        <f>INDEX(AG$6:AG$182,MATCH($AR32,$AF$6:$AF$182,0))</f>
        <v>4</v>
      </c>
      <c r="BC32" s="153">
        <f>INDEX(AH$6:AH$182,MATCH($AR32,$AF$6:$AF$182,0))</f>
        <v>31</v>
      </c>
      <c r="BD32" s="153">
        <f>INDEX(AI$6:AI$182,MATCH($AR32,$AF$6:$AF$182,0))</f>
        <v>4</v>
      </c>
      <c r="BE32" s="153">
        <f>BC32-AO32</f>
        <v>4</v>
      </c>
      <c r="BF32" s="153"/>
      <c r="BG32" s="153"/>
      <c r="BH32" s="195" t="str">
        <f>INDEX($AE$6:$AE$182,MATCH(AR32,$AF$6:$AF$182,0))</f>
        <v>RB</v>
      </c>
      <c r="BI32" s="195">
        <f>SUMIF($BH$6:BH32,BH32,$BK$6:BK32)</f>
        <v>13</v>
      </c>
      <c r="BJ32" s="194">
        <v>1</v>
      </c>
      <c r="BK32" s="194">
        <f t="shared" si="4"/>
        <v>1</v>
      </c>
      <c r="BL32" s="194" t="str">
        <f>IF('Real Time Draft Tool'!B32="y","y","")</f>
        <v/>
      </c>
      <c r="BM32" s="194" t="str">
        <f t="shared" si="5"/>
        <v>RB 13</v>
      </c>
    </row>
    <row r="33" spans="2:65" x14ac:dyDescent="0.25">
      <c r="B33" s="102" t="s">
        <v>123</v>
      </c>
      <c r="C33" s="103" t="s">
        <v>73</v>
      </c>
      <c r="D33" s="103" t="s">
        <v>236</v>
      </c>
      <c r="E33" s="140" t="s">
        <v>236</v>
      </c>
      <c r="F33" s="141">
        <v>-5.3668538666666672</v>
      </c>
      <c r="G33" s="104">
        <v>1.5845716027681549</v>
      </c>
      <c r="H33" s="142">
        <v>0</v>
      </c>
      <c r="I33" s="106" t="s">
        <v>113</v>
      </c>
      <c r="J33" s="99"/>
      <c r="K33" s="101">
        <v>28</v>
      </c>
      <c r="L33" s="102" t="s">
        <v>124</v>
      </c>
      <c r="M33" s="103" t="s">
        <v>58</v>
      </c>
      <c r="N33" s="143">
        <v>63</v>
      </c>
      <c r="O33" s="108">
        <v>0</v>
      </c>
      <c r="P33" s="141">
        <v>2.3927919366666668</v>
      </c>
      <c r="Q33" s="105">
        <v>1.2817624577534104</v>
      </c>
      <c r="R33" s="142">
        <v>6.8666185642877672E-2</v>
      </c>
      <c r="S33" s="106" t="s">
        <v>147</v>
      </c>
      <c r="T33" s="99"/>
      <c r="U33" s="107">
        <v>28</v>
      </c>
      <c r="V33" s="102" t="s">
        <v>128</v>
      </c>
      <c r="W33" s="103" t="s">
        <v>156</v>
      </c>
      <c r="X33" s="143">
        <v>68</v>
      </c>
      <c r="Y33" s="108">
        <v>-5</v>
      </c>
      <c r="Z33" s="141">
        <v>1.9595512816666667</v>
      </c>
      <c r="AA33" s="104">
        <v>1.0550668378825032</v>
      </c>
      <c r="AB33" s="142">
        <v>0.11013408981729647</v>
      </c>
      <c r="AC33" s="106" t="s">
        <v>83</v>
      </c>
      <c r="AD33" s="202"/>
      <c r="AE33" s="195" t="s">
        <v>257</v>
      </c>
      <c r="AF33" s="195" t="str">
        <f t="shared" si="2"/>
        <v>Matt Schaub</v>
      </c>
      <c r="AG33" s="195" t="str">
        <f t="shared" si="2"/>
        <v>5</v>
      </c>
      <c r="AH33" s="195">
        <f t="shared" si="3"/>
        <v>200</v>
      </c>
      <c r="AI33" s="195">
        <f t="shared" si="0"/>
        <v>0</v>
      </c>
      <c r="AJ33" s="196">
        <f t="shared" si="6"/>
        <v>-5.3668538666666672</v>
      </c>
      <c r="AK33" s="196">
        <f t="shared" si="6"/>
        <v>1.5845716027681549</v>
      </c>
      <c r="AL33" s="197">
        <f t="shared" si="6"/>
        <v>0</v>
      </c>
      <c r="AM33" s="195" t="str">
        <f t="shared" si="6"/>
        <v>9</v>
      </c>
      <c r="AN33" s="153"/>
      <c r="AO33" s="153">
        <v>28</v>
      </c>
      <c r="AP33" s="153">
        <v>32</v>
      </c>
      <c r="AQ33" s="153">
        <f>AP33-AO33</f>
        <v>4</v>
      </c>
      <c r="AR33" s="86" t="s">
        <v>71</v>
      </c>
      <c r="AS33" s="153" t="str">
        <f>BH33&amp;" "&amp;BI33</f>
        <v>WR 11</v>
      </c>
      <c r="AT33" s="153">
        <f>IF(AU33&gt;8,1,IF(AU33&gt;6.4,2,IF(AU33&gt;6,3,IF(AU33&gt;5,4,IF(AU33&gt;3.5,5,IF(AU33&gt;2.5,6,IF(AU33&gt;1.5,7,IF(AU33&gt;0.5,8,IF(AU33&gt;-0.5,9,10)))))))))</f>
        <v>5</v>
      </c>
      <c r="AU33" s="169">
        <f>SUM(AV33,AZ33,BA33)</f>
        <v>4.3941334633333335</v>
      </c>
      <c r="AV33" s="169">
        <f>INDEX(AJ$6:AJ$182,MATCH($AR33,$AF$6:$AF$182,0))</f>
        <v>4.1941334633333334</v>
      </c>
      <c r="AW33" s="169">
        <f>INDEX(AK$6:AK$182,MATCH($AR33,$AF$6:$AF$182,0))</f>
        <v>0.74437947138824323</v>
      </c>
      <c r="AX33" s="168">
        <f>SUMIFS(AV34:AV$183,AV34:AV$183,"&gt;"&amp;0,$BH34:$BH$183,"="&amp;$BH33,$BK34:$BK$183,"="&amp;1)/SUMIFS(AV$6:AV$183,AV$6:AV$183,"&gt;"&amp;0,$BH$6:$BH$183,"="&amp;$BH33)</f>
        <v>0.48588942278324465</v>
      </c>
      <c r="AY33" s="168">
        <f>SUMIFS(AU34:AU$183,AU34:AU$183,"&gt;"&amp;0,BH34:BH$183,"="&amp;BH33,BK34:BK$183,"="&amp;1)/SUMIFS(AU$6:AU$183,AU$6:AU$183,"&gt;"&amp;0,BH$6:BH$183,"="&amp;BH33)</f>
        <v>0.47868839334002899</v>
      </c>
      <c r="AZ33" s="169">
        <f>IF(AW33&gt;Adjustments!$J$6,Adjustments!$L$6,IF(AW33&gt;Adjustments!$J$7,Adjustments!$L$7,IF(AW33&gt;Adjustments!$J$8,Adjustments!$L$8,IF(AW33&lt;Adjustments!$J$10,Adjustments!$L$10,IF(AW33&lt;Adjustments!$J$9,Adjustments!$L$9,0)))))</f>
        <v>0.2</v>
      </c>
      <c r="BA33" s="169">
        <f>INDEX(Adjustments!$C$4:$C$2520,MATCH(AR33,Adjustments!$B$4:$B$2520,0))</f>
        <v>0</v>
      </c>
      <c r="BB33" s="153" t="str">
        <f>INDEX(AG$6:AG$182,MATCH($AR33,$AF$6:$AF$182,0))</f>
        <v>7</v>
      </c>
      <c r="BC33" s="153">
        <f>INDEX(AH$6:AH$182,MATCH($AR33,$AF$6:$AF$182,0))</f>
        <v>37</v>
      </c>
      <c r="BD33" s="153">
        <f>INDEX(AI$6:AI$182,MATCH($AR33,$AF$6:$AF$182,0))</f>
        <v>5</v>
      </c>
      <c r="BE33" s="153">
        <f>BC33-AO33</f>
        <v>9</v>
      </c>
      <c r="BF33" s="153"/>
      <c r="BG33" s="153"/>
      <c r="BH33" s="195" t="str">
        <f>INDEX($AE$6:$AE$182,MATCH(AR33,$AF$6:$AF$182,0))</f>
        <v>WR</v>
      </c>
      <c r="BI33" s="195">
        <f>SUMIF($BH$6:BH33,BH33,$BK$6:BK33)</f>
        <v>11</v>
      </c>
      <c r="BJ33" s="194">
        <v>1</v>
      </c>
      <c r="BK33" s="194">
        <f t="shared" si="4"/>
        <v>1</v>
      </c>
      <c r="BL33" s="194" t="str">
        <f>IF('Real Time Draft Tool'!B33="y","y","")</f>
        <v/>
      </c>
      <c r="BM33" s="194" t="str">
        <f t="shared" si="5"/>
        <v>WR 11</v>
      </c>
    </row>
    <row r="34" spans="2:65" x14ac:dyDescent="0.25">
      <c r="B34" s="102" t="s">
        <v>126</v>
      </c>
      <c r="C34" s="103" t="s">
        <v>58</v>
      </c>
      <c r="D34" s="103">
        <v>144</v>
      </c>
      <c r="E34" s="140">
        <v>-127</v>
      </c>
      <c r="F34" s="141">
        <v>-5.4308455433333327</v>
      </c>
      <c r="G34" s="104">
        <v>3.8348816659743918</v>
      </c>
      <c r="H34" s="142">
        <v>0</v>
      </c>
      <c r="I34" s="106" t="s">
        <v>113</v>
      </c>
      <c r="J34" s="99"/>
      <c r="K34" s="101">
        <v>29</v>
      </c>
      <c r="L34" s="102" t="s">
        <v>121</v>
      </c>
      <c r="M34" s="103" t="s">
        <v>156</v>
      </c>
      <c r="N34" s="143">
        <v>64</v>
      </c>
      <c r="O34" s="108">
        <v>-1</v>
      </c>
      <c r="P34" s="141">
        <v>2.3689093709090914</v>
      </c>
      <c r="Q34" s="105">
        <v>1.0512535509614651</v>
      </c>
      <c r="R34" s="142">
        <v>5.3125573446967667E-2</v>
      </c>
      <c r="S34" s="106" t="s">
        <v>83</v>
      </c>
      <c r="T34" s="99"/>
      <c r="U34" s="107">
        <v>29</v>
      </c>
      <c r="V34" s="102" t="s">
        <v>125</v>
      </c>
      <c r="W34" s="103" t="s">
        <v>91</v>
      </c>
      <c r="X34" s="143">
        <v>69</v>
      </c>
      <c r="Y34" s="108">
        <v>-5</v>
      </c>
      <c r="Z34" s="141">
        <v>1.9125128200000001</v>
      </c>
      <c r="AA34" s="104">
        <v>1.4038875010168599</v>
      </c>
      <c r="AB34" s="142">
        <v>9.5812645303857608E-2</v>
      </c>
      <c r="AC34" s="106" t="s">
        <v>83</v>
      </c>
      <c r="AD34" s="202"/>
      <c r="AE34" s="195" t="s">
        <v>257</v>
      </c>
      <c r="AF34" s="195" t="str">
        <f t="shared" si="2"/>
        <v>Johnny Manziel</v>
      </c>
      <c r="AG34" s="195" t="str">
        <f t="shared" si="2"/>
        <v>4</v>
      </c>
      <c r="AH34" s="195">
        <f t="shared" si="3"/>
        <v>144</v>
      </c>
      <c r="AI34" s="195">
        <f t="shared" si="0"/>
        <v>-127</v>
      </c>
      <c r="AJ34" s="196">
        <f t="shared" si="6"/>
        <v>-5.4308455433333327</v>
      </c>
      <c r="AK34" s="196">
        <f t="shared" si="6"/>
        <v>3.8348816659743918</v>
      </c>
      <c r="AL34" s="197">
        <f t="shared" si="6"/>
        <v>0</v>
      </c>
      <c r="AM34" s="195" t="str">
        <f t="shared" si="6"/>
        <v>9</v>
      </c>
      <c r="AN34" s="153"/>
      <c r="AO34" s="153">
        <v>29</v>
      </c>
      <c r="AP34" s="153">
        <v>30</v>
      </c>
      <c r="AQ34" s="153">
        <f>AP34-AO34</f>
        <v>1</v>
      </c>
      <c r="AR34" s="86" t="s">
        <v>77</v>
      </c>
      <c r="AS34" s="153" t="str">
        <f>BH34&amp;" "&amp;BI34</f>
        <v>RB 14</v>
      </c>
      <c r="AT34" s="153">
        <f>IF(AU34&gt;8,1,IF(AU34&gt;6.4,2,IF(AU34&gt;6,3,IF(AU34&gt;5,4,IF(AU34&gt;3.5,5,IF(AU34&gt;2.5,6,IF(AU34&gt;1.5,7,IF(AU34&gt;0.5,8,IF(AU34&gt;-0.5,9,10)))))))))</f>
        <v>5</v>
      </c>
      <c r="AU34" s="169">
        <f>SUM(AV34,AZ34,BA34)</f>
        <v>4.3626845150000007</v>
      </c>
      <c r="AV34" s="169">
        <f>INDEX(AJ$6:AJ$182,MATCH($AR34,$AF$6:$AF$182,0))</f>
        <v>4.3626845150000007</v>
      </c>
      <c r="AW34" s="169">
        <f>INDEX(AK$6:AK$182,MATCH($AR34,$AF$6:$AF$182,0))</f>
        <v>0.99004243852916352</v>
      </c>
      <c r="AX34" s="168">
        <f>SUMIFS(AV35:AV$183,AV35:AV$183,"&gt;"&amp;0,$BH35:$BH$183,"="&amp;$BH34,$BK35:$BK$183,"="&amp;1)/SUMIFS(AV$6:AV$183,AV$6:AV$183,"&gt;"&amp;0,$BH$6:$BH$183,"="&amp;$BH34)</f>
        <v>0.36541528841314158</v>
      </c>
      <c r="AY34" s="168">
        <f>SUMIFS(AU35:AU$183,AU35:AU$183,"&gt;"&amp;0,BH35:BH$183,"="&amp;BH34,BK35:BK$183,"="&amp;1)/SUMIFS(AU$6:AU$183,AU$6:AU$183,"&gt;"&amp;0,BH$6:BH$183,"="&amp;BH34)</f>
        <v>0.35262598860818128</v>
      </c>
      <c r="AZ34" s="169">
        <f>IF(AW34&gt;Adjustments!$J$6,Adjustments!$L$6,IF(AW34&gt;Adjustments!$J$7,Adjustments!$L$7,IF(AW34&gt;Adjustments!$J$8,Adjustments!$L$8,IF(AW34&lt;Adjustments!$J$10,Adjustments!$L$10,IF(AW34&lt;Adjustments!$J$9,Adjustments!$L$9,0)))))</f>
        <v>0</v>
      </c>
      <c r="BA34" s="169">
        <f>INDEX(Adjustments!$C$4:$C$2520,MATCH(AR34,Adjustments!$B$4:$B$2520,0))</f>
        <v>0</v>
      </c>
      <c r="BB34" s="153" t="str">
        <f>INDEX(AG$6:AG$182,MATCH($AR34,$AF$6:$AF$182,0))</f>
        <v>4</v>
      </c>
      <c r="BC34" s="153">
        <f>INDEX(AH$6:AH$182,MATCH($AR34,$AF$6:$AF$182,0))</f>
        <v>30</v>
      </c>
      <c r="BD34" s="153">
        <f>INDEX(AI$6:AI$182,MATCH($AR34,$AF$6:$AF$182,0))</f>
        <v>0</v>
      </c>
      <c r="BE34" s="153">
        <f>BC34-AO34</f>
        <v>1</v>
      </c>
      <c r="BF34" s="153"/>
      <c r="BG34" s="153"/>
      <c r="BH34" s="195" t="str">
        <f>INDEX($AE$6:$AE$182,MATCH(AR34,$AF$6:$AF$182,0))</f>
        <v>RB</v>
      </c>
      <c r="BI34" s="195">
        <f>SUMIF($BH$6:BH34,BH34,$BK$6:BK34)</f>
        <v>14</v>
      </c>
      <c r="BJ34" s="194">
        <v>1</v>
      </c>
      <c r="BK34" s="194">
        <f t="shared" si="4"/>
        <v>1</v>
      </c>
      <c r="BL34" s="194" t="str">
        <f>IF('Real Time Draft Tool'!B34="y","y","")</f>
        <v/>
      </c>
      <c r="BM34" s="194" t="str">
        <f t="shared" si="5"/>
        <v>RB 14</v>
      </c>
    </row>
    <row r="35" spans="2:65" x14ac:dyDescent="0.25">
      <c r="B35" s="102" t="s">
        <v>129</v>
      </c>
      <c r="C35" s="103" t="s">
        <v>156</v>
      </c>
      <c r="D35" s="103" t="s">
        <v>236</v>
      </c>
      <c r="E35" s="140" t="s">
        <v>236</v>
      </c>
      <c r="F35" s="141">
        <v>-6.0360486383333329</v>
      </c>
      <c r="G35" s="104">
        <v>2.1892955667892426</v>
      </c>
      <c r="H35" s="142">
        <v>0</v>
      </c>
      <c r="I35" s="106" t="s">
        <v>113</v>
      </c>
      <c r="J35" s="99"/>
      <c r="K35" s="101">
        <v>30</v>
      </c>
      <c r="L35" s="102" t="s">
        <v>134</v>
      </c>
      <c r="M35" s="103" t="s">
        <v>113</v>
      </c>
      <c r="N35" s="143">
        <v>101</v>
      </c>
      <c r="O35" s="108">
        <v>23</v>
      </c>
      <c r="P35" s="141">
        <v>1.5744326116666669</v>
      </c>
      <c r="Q35" s="105">
        <v>1.0731339662681803</v>
      </c>
      <c r="R35" s="142">
        <v>4.2796918857232948E-2</v>
      </c>
      <c r="S35" s="106" t="s">
        <v>91</v>
      </c>
      <c r="T35" s="99"/>
      <c r="U35" s="107">
        <v>30</v>
      </c>
      <c r="V35" s="102" t="s">
        <v>132</v>
      </c>
      <c r="W35" s="103" t="s">
        <v>130</v>
      </c>
      <c r="X35" s="143">
        <v>63</v>
      </c>
      <c r="Y35" s="108">
        <v>-12</v>
      </c>
      <c r="Z35" s="141">
        <v>1.8886366136363639</v>
      </c>
      <c r="AA35" s="104">
        <v>0.97289363089983016</v>
      </c>
      <c r="AB35" s="142">
        <v>8.1669992671473055E-2</v>
      </c>
      <c r="AC35" s="106" t="s">
        <v>83</v>
      </c>
      <c r="AD35" s="202"/>
      <c r="AE35" s="195" t="s">
        <v>257</v>
      </c>
      <c r="AF35" s="195" t="str">
        <f t="shared" si="2"/>
        <v>Geno Smith</v>
      </c>
      <c r="AG35" s="195" t="str">
        <f t="shared" si="2"/>
        <v>11</v>
      </c>
      <c r="AH35" s="195">
        <f t="shared" si="3"/>
        <v>200</v>
      </c>
      <c r="AI35" s="195">
        <f t="shared" si="0"/>
        <v>0</v>
      </c>
      <c r="AJ35" s="196">
        <f t="shared" si="6"/>
        <v>-6.0360486383333329</v>
      </c>
      <c r="AK35" s="196">
        <f t="shared" si="6"/>
        <v>2.1892955667892426</v>
      </c>
      <c r="AL35" s="197">
        <f t="shared" si="6"/>
        <v>0</v>
      </c>
      <c r="AM35" s="195" t="str">
        <f t="shared" si="6"/>
        <v>9</v>
      </c>
      <c r="AN35" s="153"/>
      <c r="AO35" s="153">
        <v>30</v>
      </c>
      <c r="AP35" s="153">
        <v>31</v>
      </c>
      <c r="AQ35" s="153">
        <f>AP35-AO35</f>
        <v>1</v>
      </c>
      <c r="AR35" s="153" t="s">
        <v>149</v>
      </c>
      <c r="AS35" s="153" t="str">
        <f>BH35&amp;" "&amp;BI35</f>
        <v>TE 2</v>
      </c>
      <c r="AT35" s="153">
        <f>IF(AU35&gt;8,1,IF(AU35&gt;6.4,2,IF(AU35&gt;6,3,IF(AU35&gt;5,4,IF(AU35&gt;3.5,5,IF(AU35&gt;2.5,6,IF(AU35&gt;1.5,7,IF(AU35&gt;0.5,8,IF(AU35&gt;-0.5,9,10)))))))))</f>
        <v>5</v>
      </c>
      <c r="AU35" s="169">
        <f>SUM(AV35,AZ35,BA35)</f>
        <v>4.2969791966666655</v>
      </c>
      <c r="AV35" s="169">
        <f>INDEX(AJ$6:AJ$182,MATCH($AR35,$AF$6:$AF$182,0))</f>
        <v>4.2969791966666655</v>
      </c>
      <c r="AW35" s="169">
        <f>INDEX(AK$6:AK$182,MATCH($AR35,$AF$6:$AF$182,0))</f>
        <v>0.82840729893912191</v>
      </c>
      <c r="AX35" s="168">
        <f>SUMIFS(AV36:AV$183,AV36:AV$183,"&gt;"&amp;0,$BH36:$BH$183,"="&amp;$BH35,$BK36:$BK$183,"="&amp;1)/SUMIFS(AV$6:AV$183,AV$6:AV$183,"&gt;"&amp;0,$BH$6:$BH$183,"="&amp;$BH35)</f>
        <v>0.60356275190398634</v>
      </c>
      <c r="AY35" s="168">
        <f>SUMIFS(AU36:AU$183,AU36:AU$183,"&gt;"&amp;0,BH36:BH$183,"="&amp;BH35,BK36:BK$183,"="&amp;1)/SUMIFS(AU$6:AU$183,AU$6:AU$183,"&gt;"&amp;0,BH$6:BH$183,"="&amp;BH35)</f>
        <v>0.60752916757644992</v>
      </c>
      <c r="AZ35" s="169">
        <f>IF(AW35&gt;Adjustments!$J$6,Adjustments!$L$6,IF(AW35&gt;Adjustments!$J$7,Adjustments!$L$7,IF(AW35&gt;Adjustments!$J$8,Adjustments!$L$8,IF(AW35&lt;Adjustments!$J$10,Adjustments!$L$10,IF(AW35&lt;Adjustments!$J$9,Adjustments!$L$9,0)))))</f>
        <v>0</v>
      </c>
      <c r="BA35" s="169">
        <f>INDEX(Adjustments!$C$4:$C$2520,MATCH(AR35,Adjustments!$B$4:$B$2520,0))</f>
        <v>0</v>
      </c>
      <c r="BB35" s="153" t="str">
        <f>INDEX(AG$6:AG$182,MATCH($AR35,$AF$6:$AF$182,0))</f>
        <v>4</v>
      </c>
      <c r="BC35" s="153">
        <f>INDEX(AH$6:AH$182,MATCH($AR35,$AF$6:$AF$182,0))</f>
        <v>30</v>
      </c>
      <c r="BD35" s="153">
        <f>INDEX(AI$6:AI$182,MATCH($AR35,$AF$6:$AF$182,0))</f>
        <v>-1</v>
      </c>
      <c r="BE35" s="153">
        <f>BC35-AO35</f>
        <v>0</v>
      </c>
      <c r="BF35" s="153"/>
      <c r="BG35" s="153"/>
      <c r="BH35" s="195" t="str">
        <f>INDEX($AE$6:$AE$182,MATCH(AR35,$AF$6:$AF$182,0))</f>
        <v>TE</v>
      </c>
      <c r="BI35" s="195">
        <f>SUMIF($BH$6:BH35,BH35,$BK$6:BK35)</f>
        <v>2</v>
      </c>
      <c r="BJ35" s="194">
        <v>1</v>
      </c>
      <c r="BK35" s="194">
        <f t="shared" si="4"/>
        <v>1</v>
      </c>
      <c r="BL35" s="194" t="str">
        <f>IF('Real Time Draft Tool'!B35="y","y","")</f>
        <v/>
      </c>
      <c r="BM35" s="194" t="str">
        <f t="shared" si="5"/>
        <v>TE 2</v>
      </c>
    </row>
    <row r="36" spans="2:65" x14ac:dyDescent="0.25">
      <c r="B36" s="102" t="s">
        <v>133</v>
      </c>
      <c r="C36" s="103" t="s">
        <v>130</v>
      </c>
      <c r="D36" s="103" t="s">
        <v>236</v>
      </c>
      <c r="E36" s="140" t="s">
        <v>236</v>
      </c>
      <c r="F36" s="141">
        <v>-6.699962189999999</v>
      </c>
      <c r="G36" s="104">
        <v>3.0514342873568183</v>
      </c>
      <c r="H36" s="142">
        <v>0</v>
      </c>
      <c r="I36" s="106" t="s">
        <v>113</v>
      </c>
      <c r="J36" s="99"/>
      <c r="K36" s="101">
        <v>31</v>
      </c>
      <c r="L36" s="102" t="s">
        <v>137</v>
      </c>
      <c r="M36" s="103" t="s">
        <v>73</v>
      </c>
      <c r="N36" s="143">
        <v>88</v>
      </c>
      <c r="O36" s="108">
        <v>5</v>
      </c>
      <c r="P36" s="141">
        <v>1.4121940800000004</v>
      </c>
      <c r="Q36" s="105">
        <v>1.2788280836430697</v>
      </c>
      <c r="R36" s="142">
        <v>3.3532587848141622E-2</v>
      </c>
      <c r="S36" s="106" t="s">
        <v>181</v>
      </c>
      <c r="T36" s="99"/>
      <c r="U36" s="107">
        <v>31</v>
      </c>
      <c r="V36" s="102" t="s">
        <v>138</v>
      </c>
      <c r="W36" s="103" t="s">
        <v>156</v>
      </c>
      <c r="X36" s="143">
        <v>89</v>
      </c>
      <c r="Y36" s="108">
        <v>12</v>
      </c>
      <c r="Z36" s="141">
        <v>1.657078405</v>
      </c>
      <c r="AA36" s="104">
        <v>1.0524717548861318</v>
      </c>
      <c r="AB36" s="142">
        <v>6.926131431729339E-2</v>
      </c>
      <c r="AC36" s="106" t="s">
        <v>83</v>
      </c>
      <c r="AD36" s="202"/>
      <c r="AE36" s="195" t="s">
        <v>257</v>
      </c>
      <c r="AF36" s="195" t="str">
        <f t="shared" si="2"/>
        <v>Teddy Bridgewater</v>
      </c>
      <c r="AG36" s="195" t="str">
        <f t="shared" si="2"/>
        <v>10</v>
      </c>
      <c r="AH36" s="195">
        <f t="shared" si="3"/>
        <v>200</v>
      </c>
      <c r="AI36" s="195">
        <f t="shared" si="0"/>
        <v>0</v>
      </c>
      <c r="AJ36" s="196">
        <f t="shared" si="6"/>
        <v>-6.699962189999999</v>
      </c>
      <c r="AK36" s="196">
        <f t="shared" si="6"/>
        <v>3.0514342873568183</v>
      </c>
      <c r="AL36" s="197">
        <f t="shared" si="6"/>
        <v>0</v>
      </c>
      <c r="AM36" s="195" t="str">
        <f t="shared" si="6"/>
        <v>9</v>
      </c>
      <c r="AN36" s="153"/>
      <c r="AO36" s="153">
        <v>31</v>
      </c>
      <c r="AP36" s="153">
        <v>33</v>
      </c>
      <c r="AQ36" s="153">
        <f>AP36-AO36</f>
        <v>2</v>
      </c>
      <c r="AR36" s="86" t="s">
        <v>67</v>
      </c>
      <c r="AS36" s="153" t="str">
        <f>BH36&amp;" "&amp;BI36</f>
        <v>WR 12</v>
      </c>
      <c r="AT36" s="153">
        <f>IF(AU36&gt;8,1,IF(AU36&gt;6.4,2,IF(AU36&gt;6,3,IF(AU36&gt;5,4,IF(AU36&gt;3.5,5,IF(AU36&gt;2.5,6,IF(AU36&gt;1.5,7,IF(AU36&gt;0.5,8,IF(AU36&gt;-0.5,9,10)))))))))</f>
        <v>5</v>
      </c>
      <c r="AU36" s="169">
        <f>SUM(AV36,AZ36,BA36)</f>
        <v>4.2516605566666676</v>
      </c>
      <c r="AV36" s="169">
        <f>INDEX(AJ$6:AJ$182,MATCH($AR36,$AF$6:$AF$182,0))</f>
        <v>4.0516605566666675</v>
      </c>
      <c r="AW36" s="169">
        <f>INDEX(AK$6:AK$182,MATCH($AR36,$AF$6:$AF$182,0))</f>
        <v>0.61661957730861672</v>
      </c>
      <c r="AX36" s="168">
        <f>SUMIFS(AV37:AV$183,AV37:AV$183,"&gt;"&amp;0,$BH37:$BH$183,"="&amp;$BH36,$BK37:$BK$183,"="&amp;1)/SUMIFS(AV$6:AV$183,AV$6:AV$183,"&gt;"&amp;0,$BH$6:$BH$183,"="&amp;$BH36)</f>
        <v>0.45554942650045338</v>
      </c>
      <c r="AY36" s="168">
        <f>SUMIFS(AU37:AU$183,AU37:AU$183,"&gt;"&amp;0,BH37:BH$183,"="&amp;BH36,BK37:BK$183,"="&amp;1)/SUMIFS(AU$6:AU$183,AU$6:AU$183,"&gt;"&amp;0,BH$6:BH$183,"="&amp;BH36)</f>
        <v>0.44727416938995995</v>
      </c>
      <c r="AZ36" s="169">
        <f>IF(AW36&gt;Adjustments!$J$6,Adjustments!$L$6,IF(AW36&gt;Adjustments!$J$7,Adjustments!$L$7,IF(AW36&gt;Adjustments!$J$8,Adjustments!$L$8,IF(AW36&lt;Adjustments!$J$10,Adjustments!$L$10,IF(AW36&lt;Adjustments!$J$9,Adjustments!$L$9,0)))))</f>
        <v>0.2</v>
      </c>
      <c r="BA36" s="169">
        <f>INDEX(Adjustments!$C$4:$C$2520,MATCH(AR36,Adjustments!$B$4:$B$2520,0))</f>
        <v>0</v>
      </c>
      <c r="BB36" s="153" t="str">
        <f>INDEX(AG$6:AG$182,MATCH($AR36,$AF$6:$AF$182,0))</f>
        <v>10</v>
      </c>
      <c r="BC36" s="153">
        <f>INDEX(AH$6:AH$182,MATCH($AR36,$AF$6:$AF$182,0))</f>
        <v>35</v>
      </c>
      <c r="BD36" s="153">
        <f>INDEX(AI$6:AI$182,MATCH($AR36,$AF$6:$AF$182,0))</f>
        <v>2</v>
      </c>
      <c r="BE36" s="153">
        <f>BC36-AO36</f>
        <v>4</v>
      </c>
      <c r="BF36" s="153"/>
      <c r="BG36" s="153"/>
      <c r="BH36" s="195" t="str">
        <f>INDEX($AE$6:$AE$182,MATCH(AR36,$AF$6:$AF$182,0))</f>
        <v>WR</v>
      </c>
      <c r="BI36" s="195">
        <f>SUMIF($BH$6:BH36,BH36,$BK$6:BK36)</f>
        <v>12</v>
      </c>
      <c r="BJ36" s="194">
        <v>1</v>
      </c>
      <c r="BK36" s="194">
        <f t="shared" si="4"/>
        <v>1</v>
      </c>
      <c r="BL36" s="194" t="str">
        <f>IF('Real Time Draft Tool'!B36="y","y","")</f>
        <v/>
      </c>
      <c r="BM36" s="194" t="str">
        <f t="shared" si="5"/>
        <v>WR 12</v>
      </c>
    </row>
    <row r="37" spans="2:65" ht="15.75" thickBot="1" x14ac:dyDescent="0.3">
      <c r="B37" s="109" t="s">
        <v>136</v>
      </c>
      <c r="C37" s="110" t="s">
        <v>156</v>
      </c>
      <c r="D37" s="110" t="s">
        <v>236</v>
      </c>
      <c r="E37" s="144" t="s">
        <v>236</v>
      </c>
      <c r="F37" s="118">
        <v>-7.702765294999999</v>
      </c>
      <c r="G37" s="111">
        <v>1.6315734075363244</v>
      </c>
      <c r="H37" s="145">
        <v>0</v>
      </c>
      <c r="I37" s="113" t="s">
        <v>130</v>
      </c>
      <c r="J37" s="99"/>
      <c r="K37" s="101">
        <v>32</v>
      </c>
      <c r="L37" s="102" t="s">
        <v>141</v>
      </c>
      <c r="M37" s="103" t="s">
        <v>113</v>
      </c>
      <c r="N37" s="143">
        <v>79</v>
      </c>
      <c r="O37" s="108">
        <v>-8</v>
      </c>
      <c r="P37" s="141">
        <v>1.1949170066666666</v>
      </c>
      <c r="Q37" s="105">
        <v>1.7246192344363667</v>
      </c>
      <c r="R37" s="142">
        <v>2.5693646420096233E-2</v>
      </c>
      <c r="S37" s="106" t="s">
        <v>177</v>
      </c>
      <c r="T37" s="99"/>
      <c r="U37" s="107">
        <v>32</v>
      </c>
      <c r="V37" s="102" t="s">
        <v>135</v>
      </c>
      <c r="W37" s="103" t="s">
        <v>130</v>
      </c>
      <c r="X37" s="143">
        <v>86</v>
      </c>
      <c r="Y37" s="108">
        <v>6</v>
      </c>
      <c r="Z37" s="141">
        <v>1.4468388716666667</v>
      </c>
      <c r="AA37" s="104">
        <v>1.1446917919776372</v>
      </c>
      <c r="AB37" s="142">
        <v>5.8426969886357406E-2</v>
      </c>
      <c r="AC37" s="106" t="s">
        <v>83</v>
      </c>
      <c r="AD37" s="202"/>
      <c r="AE37" s="195" t="s">
        <v>257</v>
      </c>
      <c r="AF37" s="195" t="str">
        <f t="shared" si="2"/>
        <v>Chad Henne</v>
      </c>
      <c r="AG37" s="195" t="str">
        <f t="shared" si="2"/>
        <v>11</v>
      </c>
      <c r="AH37" s="195">
        <f t="shared" si="3"/>
        <v>200</v>
      </c>
      <c r="AI37" s="195">
        <f t="shared" si="0"/>
        <v>0</v>
      </c>
      <c r="AJ37" s="196">
        <f t="shared" si="6"/>
        <v>-7.702765294999999</v>
      </c>
      <c r="AK37" s="196">
        <f t="shared" si="6"/>
        <v>1.6315734075363244</v>
      </c>
      <c r="AL37" s="197">
        <f t="shared" si="6"/>
        <v>0</v>
      </c>
      <c r="AM37" s="195" t="str">
        <f t="shared" si="6"/>
        <v>10</v>
      </c>
      <c r="AN37" s="153"/>
      <c r="AO37" s="153">
        <v>32</v>
      </c>
      <c r="AP37" s="153">
        <v>29</v>
      </c>
      <c r="AQ37" s="153">
        <f>AP37-AO37</f>
        <v>-3</v>
      </c>
      <c r="AR37" s="86" t="s">
        <v>63</v>
      </c>
      <c r="AS37" s="153" t="str">
        <f>BH37&amp;" "&amp;BI37</f>
        <v>WR 13</v>
      </c>
      <c r="AT37" s="153">
        <f>IF(AU37&gt;8,1,IF(AU37&gt;6.4,2,IF(AU37&gt;6,3,IF(AU37&gt;5,4,IF(AU37&gt;3.5,5,IF(AU37&gt;2.5,6,IF(AU37&gt;1.5,7,IF(AU37&gt;0.5,8,IF(AU37&gt;-0.5,9,10)))))))))</f>
        <v>5</v>
      </c>
      <c r="AU37" s="169">
        <f>SUM(AV37,AZ37,BA37)</f>
        <v>4.2128251199999998</v>
      </c>
      <c r="AV37" s="169">
        <f>INDEX(AJ$6:AJ$182,MATCH($AR37,$AF$6:$AF$182,0))</f>
        <v>4.3628251200000001</v>
      </c>
      <c r="AW37" s="169">
        <f>INDEX(AK$6:AK$182,MATCH($AR37,$AF$6:$AF$182,0))</f>
        <v>1.1807147610856152</v>
      </c>
      <c r="AX37" s="168">
        <f>SUMIFS(AV38:AV$183,AV38:AV$183,"&gt;"&amp;0,$BH38:$BH$183,"="&amp;$BH37,$BK38:$BK$183,"="&amp;1)/SUMIFS(AV$6:AV$183,AV$6:AV$183,"&gt;"&amp;0,$BH$6:$BH$183,"="&amp;$BH37)</f>
        <v>0.42287934072402589</v>
      </c>
      <c r="AY37" s="168">
        <f>SUMIFS(AU38:AU$183,AU38:AU$183,"&gt;"&amp;0,BH38:BH$183,"="&amp;BH37,BK38:BK$183,"="&amp;1)/SUMIFS(AU$6:AU$183,AU$6:AU$183,"&gt;"&amp;0,BH$6:BH$183,"="&amp;BH37)</f>
        <v>0.41614688864440752</v>
      </c>
      <c r="AZ37" s="169">
        <f>IF(AW37&gt;Adjustments!$J$6,Adjustments!$L$6,IF(AW37&gt;Adjustments!$J$7,Adjustments!$L$7,IF(AW37&gt;Adjustments!$J$8,Adjustments!$L$8,IF(AW37&lt;Adjustments!$J$10,Adjustments!$L$10,IF(AW37&lt;Adjustments!$J$9,Adjustments!$L$9,0)))))</f>
        <v>-0.15</v>
      </c>
      <c r="BA37" s="169">
        <f>INDEX(Adjustments!$C$4:$C$2520,MATCH(AR37,Adjustments!$B$4:$B$2520,0))</f>
        <v>0</v>
      </c>
      <c r="BB37" s="153" t="str">
        <f>INDEX(AG$6:AG$182,MATCH($AR37,$AF$6:$AF$182,0))</f>
        <v>10</v>
      </c>
      <c r="BC37" s="153">
        <f>INDEX(AH$6:AH$182,MATCH($AR37,$AF$6:$AF$182,0))</f>
        <v>38</v>
      </c>
      <c r="BD37" s="153">
        <f>INDEX(AI$6:AI$182,MATCH($AR37,$AF$6:$AF$182,0))</f>
        <v>9</v>
      </c>
      <c r="BE37" s="153">
        <f>BC37-AO37</f>
        <v>6</v>
      </c>
      <c r="BF37" s="153"/>
      <c r="BG37" s="153"/>
      <c r="BH37" s="195" t="str">
        <f>INDEX($AE$6:$AE$182,MATCH(AR37,$AF$6:$AF$182,0))</f>
        <v>WR</v>
      </c>
      <c r="BI37" s="195">
        <f>SUMIF($BH$6:BH37,BH37,$BK$6:BK37)</f>
        <v>13</v>
      </c>
      <c r="BJ37" s="194">
        <v>1</v>
      </c>
      <c r="BK37" s="194">
        <f t="shared" si="4"/>
        <v>1</v>
      </c>
      <c r="BL37" s="194" t="str">
        <f>IF('Real Time Draft Tool'!B37="y","y","")</f>
        <v/>
      </c>
      <c r="BM37" s="194" t="str">
        <f t="shared" si="5"/>
        <v>WR 13</v>
      </c>
    </row>
    <row r="38" spans="2:65" ht="15.75" thickBot="1" x14ac:dyDescent="0.3">
      <c r="B38" s="114"/>
      <c r="C38" s="86"/>
      <c r="D38" s="86"/>
      <c r="E38" s="146"/>
      <c r="F38" s="147"/>
      <c r="G38" s="115"/>
      <c r="H38" s="148"/>
      <c r="I38" s="116"/>
      <c r="J38" s="99"/>
      <c r="K38" s="101">
        <v>33</v>
      </c>
      <c r="L38" s="102" t="s">
        <v>131</v>
      </c>
      <c r="M38" s="103" t="s">
        <v>130</v>
      </c>
      <c r="N38" s="143">
        <v>93</v>
      </c>
      <c r="O38" s="108">
        <v>3</v>
      </c>
      <c r="P38" s="141">
        <v>1.0308472450000001</v>
      </c>
      <c r="Q38" s="105">
        <v>1.0515483057481168</v>
      </c>
      <c r="R38" s="142">
        <v>1.8931041879585962E-2</v>
      </c>
      <c r="S38" s="106" t="s">
        <v>91</v>
      </c>
      <c r="T38" s="99"/>
      <c r="U38" s="107">
        <v>33</v>
      </c>
      <c r="V38" s="102" t="s">
        <v>140</v>
      </c>
      <c r="W38" s="103" t="s">
        <v>58</v>
      </c>
      <c r="X38" s="143">
        <v>73</v>
      </c>
      <c r="Y38" s="108">
        <v>-9</v>
      </c>
      <c r="Z38" s="141">
        <v>1.4198243283333336</v>
      </c>
      <c r="AA38" s="104">
        <v>1.2538020324838959</v>
      </c>
      <c r="AB38" s="142">
        <v>4.7794918103793979E-2</v>
      </c>
      <c r="AC38" s="106" t="s">
        <v>83</v>
      </c>
      <c r="AD38" s="202"/>
      <c r="AE38" s="195" t="s">
        <v>259</v>
      </c>
      <c r="AF38" s="195" t="str">
        <f>L6</f>
        <v>Jamaal Charles</v>
      </c>
      <c r="AG38" s="195" t="str">
        <f t="shared" ref="AG38:AM53" si="7">M6</f>
        <v>6</v>
      </c>
      <c r="AH38" s="195">
        <f>IF(N6="N/A",200,N6)</f>
        <v>2</v>
      </c>
      <c r="AI38" s="195">
        <f t="shared" ref="AI38:AI97" si="8">IF(O6="N/A",0,O6)</f>
        <v>1</v>
      </c>
      <c r="AJ38" s="195">
        <f t="shared" si="7"/>
        <v>11.312178144999999</v>
      </c>
      <c r="AK38" s="195">
        <f t="shared" si="7"/>
        <v>1.8543916210405169</v>
      </c>
      <c r="AL38" s="195">
        <f t="shared" si="7"/>
        <v>0.92578940511555741</v>
      </c>
      <c r="AM38" s="195" t="str">
        <f t="shared" si="7"/>
        <v>1-</v>
      </c>
      <c r="AN38" s="153"/>
      <c r="AO38" s="153">
        <v>33</v>
      </c>
      <c r="AP38" s="153">
        <v>28</v>
      </c>
      <c r="AQ38" s="153">
        <f>AP38-AO38</f>
        <v>-5</v>
      </c>
      <c r="AR38" s="86" t="s">
        <v>66</v>
      </c>
      <c r="AS38" s="153" t="str">
        <f>BH38&amp;" "&amp;BI38</f>
        <v>RB 15</v>
      </c>
      <c r="AT38" s="153">
        <f>IF(AU38&gt;8,1,IF(AU38&gt;6.4,2,IF(AU38&gt;6,3,IF(AU38&gt;5,4,IF(AU38&gt;3.5,5,IF(AU38&gt;2.5,6,IF(AU38&gt;1.5,7,IF(AU38&gt;0.5,8,IF(AU38&gt;-0.5,9,10)))))))))</f>
        <v>5</v>
      </c>
      <c r="AU38" s="169">
        <f>SUM(AV38,AZ38,BA38)</f>
        <v>4.2098210033333343</v>
      </c>
      <c r="AV38" s="169">
        <f>INDEX(AJ$6:AJ$182,MATCH($AR38,$AF$6:$AF$182,0))</f>
        <v>4.5098210033333341</v>
      </c>
      <c r="AW38" s="169">
        <f>INDEX(AK$6:AK$182,MATCH($AR38,$AF$6:$AF$182,0))</f>
        <v>1.3416412730916076</v>
      </c>
      <c r="AX38" s="168">
        <f>SUMIFS(AV39:AV$183,AV39:AV$183,"&gt;"&amp;0,$BH39:$BH$183,"="&amp;$BH38,$BK39:$BK$183,"="&amp;1)/SUMIFS(AV$6:AV$183,AV$6:AV$183,"&gt;"&amp;0,$BH$6:$BH$183,"="&amp;$BH38)</f>
        <v>0.33582978373050465</v>
      </c>
      <c r="AY38" s="168">
        <f>SUMIFS(AU39:AU$183,AU39:AU$183,"&gt;"&amp;0,BH39:BH$183,"="&amp;BH38,BK39:BK$183,"="&amp;1)/SUMIFS(AU$6:AU$183,AU$6:AU$183,"&gt;"&amp;0,BH$6:BH$183,"="&amp;BH38)</f>
        <v>0.32351916334666542</v>
      </c>
      <c r="AZ38" s="169">
        <f>IF(AW38&gt;Adjustments!$J$6,Adjustments!$L$6,IF(AW38&gt;Adjustments!$J$7,Adjustments!$L$7,IF(AW38&gt;Adjustments!$J$8,Adjustments!$L$8,IF(AW38&lt;Adjustments!$J$10,Adjustments!$L$10,IF(AW38&lt;Adjustments!$J$9,Adjustments!$L$9,0)))))</f>
        <v>-0.3</v>
      </c>
      <c r="BA38" s="169">
        <f>INDEX(Adjustments!$C$4:$C$2520,MATCH(AR38,Adjustments!$B$4:$B$2520,0))</f>
        <v>0</v>
      </c>
      <c r="BB38" s="153" t="str">
        <f>INDEX(AG$6:AG$182,MATCH($AR38,$AF$6:$AF$182,0))</f>
        <v>9</v>
      </c>
      <c r="BC38" s="153">
        <f>INDEX(AH$6:AH$182,MATCH($AR38,$AF$6:$AF$182,0))</f>
        <v>32</v>
      </c>
      <c r="BD38" s="153">
        <f>INDEX(AI$6:AI$182,MATCH($AR38,$AF$6:$AF$182,0))</f>
        <v>4</v>
      </c>
      <c r="BE38" s="153">
        <f>BC38-AO38</f>
        <v>-1</v>
      </c>
      <c r="BF38" s="153"/>
      <c r="BG38" s="153"/>
      <c r="BH38" s="195" t="str">
        <f>INDEX($AE$6:$AE$182,MATCH(AR38,$AF$6:$AF$182,0))</f>
        <v>RB</v>
      </c>
      <c r="BI38" s="195">
        <f>SUMIF($BH$6:BH38,BH38,$BK$6:BK38)</f>
        <v>15</v>
      </c>
      <c r="BJ38" s="194">
        <v>1</v>
      </c>
      <c r="BK38" s="194">
        <f t="shared" si="4"/>
        <v>1</v>
      </c>
      <c r="BL38" s="194" t="str">
        <f>IF('Real Time Draft Tool'!B38="y","y","")</f>
        <v/>
      </c>
      <c r="BM38" s="194" t="str">
        <f t="shared" si="5"/>
        <v>RB 15</v>
      </c>
    </row>
    <row r="39" spans="2:65" x14ac:dyDescent="0.25">
      <c r="B39" s="178" t="s">
        <v>8</v>
      </c>
      <c r="C39" s="179"/>
      <c r="D39" s="179"/>
      <c r="E39" s="179"/>
      <c r="F39" s="179"/>
      <c r="G39" s="179"/>
      <c r="H39" s="179"/>
      <c r="I39" s="180"/>
      <c r="J39" s="99"/>
      <c r="K39" s="101">
        <v>34</v>
      </c>
      <c r="L39" s="102" t="s">
        <v>150</v>
      </c>
      <c r="M39" s="103" t="s">
        <v>130</v>
      </c>
      <c r="N39" s="143">
        <v>76</v>
      </c>
      <c r="O39" s="108">
        <v>-16</v>
      </c>
      <c r="P39" s="141">
        <v>1.0010419666666668</v>
      </c>
      <c r="Q39" s="105">
        <v>1.0282647332970356</v>
      </c>
      <c r="R39" s="142">
        <v>1.2363967095366728E-2</v>
      </c>
      <c r="S39" s="106" t="s">
        <v>181</v>
      </c>
      <c r="T39" s="99"/>
      <c r="U39" s="107">
        <v>34</v>
      </c>
      <c r="V39" s="102" t="s">
        <v>142</v>
      </c>
      <c r="W39" s="103" t="s">
        <v>113</v>
      </c>
      <c r="X39" s="143">
        <v>83</v>
      </c>
      <c r="Y39" s="108">
        <v>-3</v>
      </c>
      <c r="Z39" s="141">
        <v>1.2071514316666667</v>
      </c>
      <c r="AA39" s="104">
        <v>1.3102783734033299</v>
      </c>
      <c r="AB39" s="142">
        <v>3.8755421967013939E-2</v>
      </c>
      <c r="AC39" s="106" t="s">
        <v>91</v>
      </c>
      <c r="AD39" s="202"/>
      <c r="AE39" s="195" t="s">
        <v>259</v>
      </c>
      <c r="AF39" s="195" t="str">
        <f t="shared" ref="AF39:AG97" si="9">L7</f>
        <v>LeSean McCoy</v>
      </c>
      <c r="AG39" s="195" t="str">
        <f t="shared" si="7"/>
        <v>7</v>
      </c>
      <c r="AH39" s="195">
        <f t="shared" ref="AH39:AH97" si="10">IF(N7="N/A",200,N7)</f>
        <v>1</v>
      </c>
      <c r="AI39" s="195">
        <f t="shared" si="8"/>
        <v>-1</v>
      </c>
      <c r="AJ39" s="195">
        <f t="shared" si="7"/>
        <v>9.3998979466666679</v>
      </c>
      <c r="AK39" s="195">
        <f t="shared" si="7"/>
        <v>1.4788136023538048</v>
      </c>
      <c r="AL39" s="195">
        <f t="shared" si="7"/>
        <v>0.86412382581388125</v>
      </c>
      <c r="AM39" s="195" t="str">
        <f t="shared" si="7"/>
        <v>2-</v>
      </c>
      <c r="AN39" s="153"/>
      <c r="AO39" s="153">
        <v>34</v>
      </c>
      <c r="AP39" s="153">
        <v>39</v>
      </c>
      <c r="AQ39" s="153">
        <f>AP39-AO39</f>
        <v>5</v>
      </c>
      <c r="AR39" s="86" t="s">
        <v>86</v>
      </c>
      <c r="AS39" s="153" t="str">
        <f>BH39&amp;" "&amp;BI39</f>
        <v>WR 14</v>
      </c>
      <c r="AT39" s="153">
        <f>IF(AU39&gt;8,1,IF(AU39&gt;6.4,2,IF(AU39&gt;6,3,IF(AU39&gt;5,4,IF(AU39&gt;3.5,5,IF(AU39&gt;2.5,6,IF(AU39&gt;1.5,7,IF(AU39&gt;0.5,8,IF(AU39&gt;-0.5,9,10)))))))))</f>
        <v>5</v>
      </c>
      <c r="AU39" s="169">
        <f>SUM(AV39,AZ39,BA39)</f>
        <v>3.8199793266666666</v>
      </c>
      <c r="AV39" s="169">
        <f>INDEX(AJ$6:AJ$182,MATCH($AR39,$AF$6:$AF$182,0))</f>
        <v>3.6199793266666664</v>
      </c>
      <c r="AW39" s="169">
        <f>INDEX(AK$6:AK$182,MATCH($AR39,$AF$6:$AF$182,0))</f>
        <v>0.60607127598325594</v>
      </c>
      <c r="AX39" s="168">
        <f>SUMIFS(AV40:AV$183,AV40:AV$183,"&gt;"&amp;0,$BH40:$BH$183,"="&amp;$BH39,$BK40:$BK$183,"="&amp;1)/SUMIFS(AV$6:AV$183,AV$6:AV$183,"&gt;"&amp;0,$BH$6:$BH$183,"="&amp;$BH39)</f>
        <v>0.39577189729959317</v>
      </c>
      <c r="AY39" s="168">
        <f>SUMIFS(AU40:AU$183,AU40:AU$183,"&gt;"&amp;0,BH40:BH$183,"="&amp;BH39,BK40:BK$183,"="&amp;1)/SUMIFS(AU$6:AU$183,AU$6:AU$183,"&gt;"&amp;0,BH$6:BH$183,"="&amp;BH39)</f>
        <v>0.38792222572667406</v>
      </c>
      <c r="AZ39" s="169">
        <f>IF(AW39&gt;Adjustments!$J$6,Adjustments!$L$6,IF(AW39&gt;Adjustments!$J$7,Adjustments!$L$7,IF(AW39&gt;Adjustments!$J$8,Adjustments!$L$8,IF(AW39&lt;Adjustments!$J$10,Adjustments!$L$10,IF(AW39&lt;Adjustments!$J$9,Adjustments!$L$9,0)))))</f>
        <v>0.2</v>
      </c>
      <c r="BA39" s="169">
        <f>INDEX(Adjustments!$C$4:$C$2520,MATCH(AR39,Adjustments!$B$4:$B$2520,0))</f>
        <v>0</v>
      </c>
      <c r="BB39" s="153" t="str">
        <f>INDEX(AG$6:AG$182,MATCH($AR39,$AF$6:$AF$182,0))</f>
        <v>10</v>
      </c>
      <c r="BC39" s="153">
        <f>INDEX(AH$6:AH$182,MATCH($AR39,$AF$6:$AF$182,0))</f>
        <v>36</v>
      </c>
      <c r="BD39" s="153">
        <f>INDEX(AI$6:AI$182,MATCH($AR39,$AF$6:$AF$182,0))</f>
        <v>-3</v>
      </c>
      <c r="BE39" s="153">
        <f>BC39-AO39</f>
        <v>2</v>
      </c>
      <c r="BF39" s="153"/>
      <c r="BG39" s="153"/>
      <c r="BH39" s="195" t="str">
        <f>INDEX($AE$6:$AE$182,MATCH(AR39,$AF$6:$AF$182,0))</f>
        <v>WR</v>
      </c>
      <c r="BI39" s="195">
        <f>SUMIF($BH$6:BH39,BH39,$BK$6:BK39)</f>
        <v>14</v>
      </c>
      <c r="BJ39" s="194">
        <v>1</v>
      </c>
      <c r="BK39" s="194">
        <f t="shared" si="4"/>
        <v>1</v>
      </c>
      <c r="BL39" s="194" t="str">
        <f>IF('Real Time Draft Tool'!B39="y","y","")</f>
        <v/>
      </c>
      <c r="BM39" s="194" t="str">
        <f t="shared" si="5"/>
        <v>WR 14</v>
      </c>
    </row>
    <row r="40" spans="2:65" ht="15.75" thickBot="1" x14ac:dyDescent="0.3">
      <c r="B40" s="88" t="s">
        <v>4</v>
      </c>
      <c r="C40" s="89" t="s">
        <v>9</v>
      </c>
      <c r="D40" s="89" t="s">
        <v>232</v>
      </c>
      <c r="E40" s="89" t="s">
        <v>233</v>
      </c>
      <c r="F40" s="135" t="s">
        <v>5</v>
      </c>
      <c r="G40" s="90" t="s">
        <v>234</v>
      </c>
      <c r="H40" s="91" t="s">
        <v>235</v>
      </c>
      <c r="I40" s="92" t="s">
        <v>6</v>
      </c>
      <c r="J40" s="99"/>
      <c r="K40" s="101">
        <v>35</v>
      </c>
      <c r="L40" s="102" t="s">
        <v>143</v>
      </c>
      <c r="M40" s="103" t="s">
        <v>73</v>
      </c>
      <c r="N40" s="143">
        <v>95</v>
      </c>
      <c r="O40" s="108">
        <v>1</v>
      </c>
      <c r="P40" s="141">
        <v>0.86701076666666665</v>
      </c>
      <c r="Q40" s="105">
        <v>1.4781760225273619</v>
      </c>
      <c r="R40" s="142">
        <v>6.6761690479157183E-3</v>
      </c>
      <c r="S40" s="106" t="s">
        <v>91</v>
      </c>
      <c r="T40" s="99"/>
      <c r="U40" s="107">
        <v>35</v>
      </c>
      <c r="V40" s="102" t="s">
        <v>144</v>
      </c>
      <c r="W40" s="103" t="s">
        <v>113</v>
      </c>
      <c r="X40" s="143">
        <v>87</v>
      </c>
      <c r="Y40" s="108">
        <v>-2</v>
      </c>
      <c r="Z40" s="141">
        <v>1.0849067399999999</v>
      </c>
      <c r="AA40" s="104">
        <v>0.75834246042730025</v>
      </c>
      <c r="AB40" s="142">
        <v>3.0631329141761175E-2</v>
      </c>
      <c r="AC40" s="106" t="s">
        <v>181</v>
      </c>
      <c r="AD40" s="202"/>
      <c r="AE40" s="195" t="s">
        <v>259</v>
      </c>
      <c r="AF40" s="195" t="str">
        <f t="shared" si="9"/>
        <v>Matt Forte</v>
      </c>
      <c r="AG40" s="195" t="str">
        <f t="shared" si="7"/>
        <v>9</v>
      </c>
      <c r="AH40" s="195">
        <f t="shared" si="10"/>
        <v>4</v>
      </c>
      <c r="AI40" s="195">
        <f t="shared" si="8"/>
        <v>1</v>
      </c>
      <c r="AJ40" s="195">
        <f t="shared" si="7"/>
        <v>8.9624354666666655</v>
      </c>
      <c r="AK40" s="195">
        <f t="shared" si="7"/>
        <v>1.2668540218005049</v>
      </c>
      <c r="AL40" s="195">
        <f t="shared" si="7"/>
        <v>0.80532810503673458</v>
      </c>
      <c r="AM40" s="195" t="str">
        <f t="shared" si="7"/>
        <v>2-</v>
      </c>
      <c r="AN40" s="153"/>
      <c r="AO40" s="153">
        <v>35</v>
      </c>
      <c r="AP40" s="153">
        <v>35</v>
      </c>
      <c r="AQ40" s="153">
        <f>AP40-AO40</f>
        <v>0</v>
      </c>
      <c r="AR40" s="86" t="s">
        <v>80</v>
      </c>
      <c r="AS40" s="153" t="str">
        <f>BH40&amp;" "&amp;BI40</f>
        <v>RB 16</v>
      </c>
      <c r="AT40" s="153">
        <f>IF(AU40&gt;8,1,IF(AU40&gt;6.4,2,IF(AU40&gt;6,3,IF(AU40&gt;5,4,IF(AU40&gt;3.5,5,IF(AU40&gt;2.5,6,IF(AU40&gt;1.5,7,IF(AU40&gt;0.5,8,IF(AU40&gt;-0.5,9,10)))))))))</f>
        <v>5</v>
      </c>
      <c r="AU40" s="169">
        <f>SUM(AV40,AZ40,BA40)</f>
        <v>3.7748230966666667</v>
      </c>
      <c r="AV40" s="169">
        <f>INDEX(AJ$6:AJ$182,MATCH($AR40,$AF$6:$AF$182,0))</f>
        <v>3.9248230966666666</v>
      </c>
      <c r="AW40" s="169">
        <f>INDEX(AK$6:AK$182,MATCH($AR40,$AF$6:$AF$182,0))</f>
        <v>1.1981856933912791</v>
      </c>
      <c r="AX40" s="168">
        <f>SUMIFS(AV41:AV$183,AV41:AV$183,"&gt;"&amp;0,$BH41:$BH$183,"="&amp;$BH40,$BK41:$BK$183,"="&amp;1)/SUMIFS(AV$6:AV$183,AV$6:AV$183,"&gt;"&amp;0,$BH$6:$BH$183,"="&amp;$BH40)</f>
        <v>0.31008200526676355</v>
      </c>
      <c r="AY40" s="168">
        <f>SUMIFS(AU41:AU$183,AU41:AU$183,"&gt;"&amp;0,BH41:BH$183,"="&amp;BH40,BK41:BK$183,"="&amp;1)/SUMIFS(AU$6:AU$183,AU$6:AU$183,"&gt;"&amp;0,BH$6:BH$183,"="&amp;BH40)</f>
        <v>0.29741992630527736</v>
      </c>
      <c r="AZ40" s="169">
        <f>IF(AW40&gt;Adjustments!$J$6,Adjustments!$L$6,IF(AW40&gt;Adjustments!$J$7,Adjustments!$L$7,IF(AW40&gt;Adjustments!$J$8,Adjustments!$L$8,IF(AW40&lt;Adjustments!$J$10,Adjustments!$L$10,IF(AW40&lt;Adjustments!$J$9,Adjustments!$L$9,0)))))</f>
        <v>-0.15</v>
      </c>
      <c r="BA40" s="169">
        <f>INDEX(Adjustments!$C$4:$C$2520,MATCH(AR40,Adjustments!$B$4:$B$2520,0))</f>
        <v>0</v>
      </c>
      <c r="BB40" s="153" t="str">
        <f>INDEX(AG$6:AG$182,MATCH($AR40,$AF$6:$AF$182,0))</f>
        <v>11</v>
      </c>
      <c r="BC40" s="153">
        <f>INDEX(AH$6:AH$182,MATCH($AR40,$AF$6:$AF$182,0))</f>
        <v>47</v>
      </c>
      <c r="BD40" s="153">
        <f>INDEX(AI$6:AI$182,MATCH($AR40,$AF$6:$AF$182,0))</f>
        <v>12</v>
      </c>
      <c r="BE40" s="153">
        <f>BC40-AO40</f>
        <v>12</v>
      </c>
      <c r="BF40" s="153"/>
      <c r="BG40" s="153"/>
      <c r="BH40" s="195" t="str">
        <f>INDEX($AE$6:$AE$182,MATCH(AR40,$AF$6:$AF$182,0))</f>
        <v>RB</v>
      </c>
      <c r="BI40" s="195">
        <f>SUMIF($BH$6:BH40,BH40,$BK$6:BK40)</f>
        <v>16</v>
      </c>
      <c r="BJ40" s="194">
        <v>1</v>
      </c>
      <c r="BK40" s="194">
        <f t="shared" si="4"/>
        <v>1</v>
      </c>
      <c r="BL40" s="194" t="str">
        <f>IF('Real Time Draft Tool'!B40="y","y","")</f>
        <v/>
      </c>
      <c r="BM40" s="194" t="str">
        <f t="shared" si="5"/>
        <v>RB 16</v>
      </c>
    </row>
    <row r="41" spans="2:65" x14ac:dyDescent="0.25">
      <c r="B41" s="94" t="s">
        <v>145</v>
      </c>
      <c r="C41" s="95" t="s">
        <v>83</v>
      </c>
      <c r="D41" s="95">
        <v>8</v>
      </c>
      <c r="E41" s="137">
        <v>1</v>
      </c>
      <c r="F41" s="138">
        <v>7.2068646033333321</v>
      </c>
      <c r="G41" s="96">
        <v>0.65995436192573964</v>
      </c>
      <c r="H41" s="139">
        <v>0.75164217974291025</v>
      </c>
      <c r="I41" s="98" t="s">
        <v>28</v>
      </c>
      <c r="J41" s="99"/>
      <c r="K41" s="101">
        <v>36</v>
      </c>
      <c r="L41" s="102" t="s">
        <v>146</v>
      </c>
      <c r="M41" s="103" t="s">
        <v>163</v>
      </c>
      <c r="N41" s="143">
        <v>116</v>
      </c>
      <c r="O41" s="108">
        <v>18</v>
      </c>
      <c r="P41" s="141">
        <v>0.52643786000000026</v>
      </c>
      <c r="Q41" s="105">
        <v>1.2776321187908162</v>
      </c>
      <c r="R41" s="142">
        <v>3.2226107446848068E-3</v>
      </c>
      <c r="S41" s="106" t="s">
        <v>91</v>
      </c>
      <c r="T41" s="99"/>
      <c r="U41" s="107">
        <v>36</v>
      </c>
      <c r="V41" s="102" t="s">
        <v>154</v>
      </c>
      <c r="W41" s="103" t="s">
        <v>156</v>
      </c>
      <c r="X41" s="143">
        <v>91</v>
      </c>
      <c r="Y41" s="108">
        <v>-2</v>
      </c>
      <c r="Z41" s="141">
        <v>0.8980732066666669</v>
      </c>
      <c r="AA41" s="104">
        <v>0.91400511992911093</v>
      </c>
      <c r="AB41" s="142">
        <v>2.390629939880607E-2</v>
      </c>
      <c r="AC41" s="106" t="s">
        <v>91</v>
      </c>
      <c r="AD41" s="202"/>
      <c r="AE41" s="195" t="s">
        <v>259</v>
      </c>
      <c r="AF41" s="195" t="str">
        <f t="shared" si="9"/>
        <v>Adrian Peterson</v>
      </c>
      <c r="AG41" s="195" t="str">
        <f t="shared" si="7"/>
        <v>10</v>
      </c>
      <c r="AH41" s="195">
        <f t="shared" si="10"/>
        <v>3</v>
      </c>
      <c r="AI41" s="195">
        <f t="shared" si="8"/>
        <v>-2</v>
      </c>
      <c r="AJ41" s="195">
        <f t="shared" si="7"/>
        <v>8.311911498333334</v>
      </c>
      <c r="AK41" s="195">
        <f t="shared" si="7"/>
        <v>1.4690682567325326</v>
      </c>
      <c r="AL41" s="195">
        <f t="shared" si="7"/>
        <v>0.75079997711905355</v>
      </c>
      <c r="AM41" s="195" t="str">
        <f t="shared" si="7"/>
        <v>2</v>
      </c>
      <c r="AN41" s="153"/>
      <c r="AO41" s="153">
        <v>36</v>
      </c>
      <c r="AP41" s="153">
        <v>36</v>
      </c>
      <c r="AQ41" s="153">
        <f>AP41-AO41</f>
        <v>0</v>
      </c>
      <c r="AR41" s="86" t="s">
        <v>106</v>
      </c>
      <c r="AS41" s="153" t="str">
        <f>BH41&amp;" "&amp;BI41</f>
        <v>RB 17</v>
      </c>
      <c r="AT41" s="153">
        <f>IF(AU41&gt;8,1,IF(AU41&gt;6.4,2,IF(AU41&gt;6,3,IF(AU41&gt;5,4,IF(AU41&gt;3.5,5,IF(AU41&gt;2.5,6,IF(AU41&gt;1.5,7,IF(AU41&gt;0.5,8,IF(AU41&gt;-0.5,9,10)))))))))</f>
        <v>5</v>
      </c>
      <c r="AU41" s="169">
        <f>SUM(AV41,AZ41,BA41)</f>
        <v>3.7724272333333331</v>
      </c>
      <c r="AV41" s="169">
        <f>INDEX(AJ$6:AJ$182,MATCH($AR41,$AF$6:$AF$182,0))</f>
        <v>3.7724272333333331</v>
      </c>
      <c r="AW41" s="169">
        <f>INDEX(AK$6:AK$182,MATCH($AR41,$AF$6:$AF$182,0))</f>
        <v>0.9087930814758941</v>
      </c>
      <c r="AX41" s="168">
        <f>SUMIFS(AV42:AV$183,AV42:AV$183,"&gt;"&amp;0,$BH42:$BH$183,"="&amp;$BH41,$BK42:$BK$183,"="&amp;1)/SUMIFS(AV$6:AV$183,AV$6:AV$183,"&gt;"&amp;0,$BH$6:$BH$183,"="&amp;$BH41)</f>
        <v>0.28533398012470201</v>
      </c>
      <c r="AY41" s="168">
        <f>SUMIFS(AU42:AU$183,AU42:AU$183,"&gt;"&amp;0,BH42:BH$183,"="&amp;BH41,BK42:BK$183,"="&amp;1)/SUMIFS(AU$6:AU$183,AU$6:AU$183,"&gt;"&amp;0,BH$6:BH$183,"="&amp;BH41)</f>
        <v>0.2713372543328883</v>
      </c>
      <c r="AZ41" s="169">
        <f>IF(AW41&gt;Adjustments!$J$6,Adjustments!$L$6,IF(AW41&gt;Adjustments!$J$7,Adjustments!$L$7,IF(AW41&gt;Adjustments!$J$8,Adjustments!$L$8,IF(AW41&lt;Adjustments!$J$10,Adjustments!$L$10,IF(AW41&lt;Adjustments!$J$9,Adjustments!$L$9,0)))))</f>
        <v>0</v>
      </c>
      <c r="BA41" s="169">
        <f>INDEX(Adjustments!$C$4:$C$2520,MATCH(AR41,Adjustments!$B$4:$B$2520,0))</f>
        <v>0</v>
      </c>
      <c r="BB41" s="153" t="str">
        <f>INDEX(AG$6:AG$182,MATCH($AR41,$AF$6:$AF$182,0))</f>
        <v>10</v>
      </c>
      <c r="BC41" s="153">
        <f>INDEX(AH$6:AH$182,MATCH($AR41,$AF$6:$AF$182,0))</f>
        <v>28</v>
      </c>
      <c r="BD41" s="153">
        <f>INDEX(AI$6:AI$182,MATCH($AR41,$AF$6:$AF$182,0))</f>
        <v>-8</v>
      </c>
      <c r="BE41" s="153">
        <f>BC41-AO41</f>
        <v>-8</v>
      </c>
      <c r="BF41" s="153"/>
      <c r="BG41" s="153"/>
      <c r="BH41" s="195" t="str">
        <f>INDEX($AE$6:$AE$182,MATCH(AR41,$AF$6:$AF$182,0))</f>
        <v>RB</v>
      </c>
      <c r="BI41" s="195">
        <f>SUMIF($BH$6:BH41,BH41,$BK$6:BK41)</f>
        <v>17</v>
      </c>
      <c r="BJ41" s="194">
        <v>1</v>
      </c>
      <c r="BK41" s="194">
        <f t="shared" si="4"/>
        <v>1</v>
      </c>
      <c r="BL41" s="194" t="str">
        <f>IF('Real Time Draft Tool'!B41="y","y","")</f>
        <v/>
      </c>
      <c r="BM41" s="194" t="str">
        <f t="shared" si="5"/>
        <v>RB 17</v>
      </c>
    </row>
    <row r="42" spans="2:65" x14ac:dyDescent="0.25">
      <c r="B42" s="102" t="s">
        <v>149</v>
      </c>
      <c r="C42" s="103" t="s">
        <v>58</v>
      </c>
      <c r="D42" s="103">
        <v>30</v>
      </c>
      <c r="E42" s="140">
        <v>-1</v>
      </c>
      <c r="F42" s="141">
        <v>4.2969791966666655</v>
      </c>
      <c r="G42" s="104">
        <v>0.82840729893912191</v>
      </c>
      <c r="H42" s="142">
        <v>0.60356275190398634</v>
      </c>
      <c r="I42" s="106" t="s">
        <v>40</v>
      </c>
      <c r="J42" s="99"/>
      <c r="K42" s="101">
        <v>37</v>
      </c>
      <c r="L42" s="102" t="s">
        <v>139</v>
      </c>
      <c r="M42" s="103" t="s">
        <v>91</v>
      </c>
      <c r="N42" s="143">
        <v>86</v>
      </c>
      <c r="O42" s="108">
        <v>-13</v>
      </c>
      <c r="P42" s="141">
        <v>0.49123372333333326</v>
      </c>
      <c r="Q42" s="105">
        <v>1.3201827881935229</v>
      </c>
      <c r="R42" s="142">
        <v>0</v>
      </c>
      <c r="S42" s="106" t="s">
        <v>181</v>
      </c>
      <c r="T42" s="99"/>
      <c r="U42" s="107">
        <v>37</v>
      </c>
      <c r="V42" s="102" t="s">
        <v>148</v>
      </c>
      <c r="W42" s="103" t="s">
        <v>83</v>
      </c>
      <c r="X42" s="143">
        <v>107</v>
      </c>
      <c r="Y42" s="108">
        <v>12</v>
      </c>
      <c r="Z42" s="141">
        <v>0.83307846499999982</v>
      </c>
      <c r="AA42" s="104">
        <v>0.58177387628575328</v>
      </c>
      <c r="AB42" s="142">
        <v>1.7667968922235308E-2</v>
      </c>
      <c r="AC42" s="106" t="s">
        <v>91</v>
      </c>
      <c r="AD42" s="202"/>
      <c r="AE42" s="195" t="s">
        <v>259</v>
      </c>
      <c r="AF42" s="195" t="str">
        <f t="shared" si="9"/>
        <v>Eddie Lacy</v>
      </c>
      <c r="AG42" s="195" t="str">
        <f t="shared" si="7"/>
        <v>9</v>
      </c>
      <c r="AH42" s="195">
        <f t="shared" si="10"/>
        <v>6</v>
      </c>
      <c r="AI42" s="195">
        <f t="shared" si="8"/>
        <v>-2</v>
      </c>
      <c r="AJ42" s="195">
        <f t="shared" si="7"/>
        <v>7.1330521433333347</v>
      </c>
      <c r="AK42" s="195">
        <f t="shared" si="7"/>
        <v>1.2696235992168823</v>
      </c>
      <c r="AL42" s="195">
        <f t="shared" si="7"/>
        <v>0.70400544859295455</v>
      </c>
      <c r="AM42" s="195" t="str">
        <f t="shared" si="7"/>
        <v>3</v>
      </c>
      <c r="AN42" s="153"/>
      <c r="AO42" s="153">
        <v>37</v>
      </c>
      <c r="AP42" s="153">
        <v>37</v>
      </c>
      <c r="AQ42" s="153">
        <f>AP42-AO42</f>
        <v>0</v>
      </c>
      <c r="AR42" s="86" t="s">
        <v>88</v>
      </c>
      <c r="AS42" s="153" t="str">
        <f>BH42&amp;" "&amp;BI42</f>
        <v>RB 18</v>
      </c>
      <c r="AT42" s="153">
        <f>IF(AU42&gt;8,1,IF(AU42&gt;6.4,2,IF(AU42&gt;6,3,IF(AU42&gt;5,4,IF(AU42&gt;3.5,5,IF(AU42&gt;2.5,6,IF(AU42&gt;1.5,7,IF(AU42&gt;0.5,8,IF(AU42&gt;-0.5,9,10)))))))))</f>
        <v>5</v>
      </c>
      <c r="AU42" s="169">
        <f>SUM(AV42,AZ42,BA42)</f>
        <v>3.7653411090909095</v>
      </c>
      <c r="AV42" s="169">
        <f>INDEX(AJ$6:AJ$182,MATCH($AR42,$AF$6:$AF$182,0))</f>
        <v>3.7653411090909095</v>
      </c>
      <c r="AW42" s="169">
        <f>INDEX(AK$6:AK$182,MATCH($AR42,$AF$6:$AF$182,0))</f>
        <v>0.9793028596451121</v>
      </c>
      <c r="AX42" s="168">
        <f>SUMIFS(AV43:AV$183,AV43:AV$183,"&gt;"&amp;0,$BH43:$BH$183,"="&amp;$BH42,$BK43:$BK$183,"="&amp;1)/SUMIFS(AV$6:AV$183,AV$6:AV$183,"&gt;"&amp;0,$BH$6:$BH$183,"="&amp;$BH42)</f>
        <v>0.26063244165290989</v>
      </c>
      <c r="AY42" s="168">
        <f>SUMIFS(AU43:AU$183,AU43:AU$183,"&gt;"&amp;0,BH43:BH$183,"="&amp;BH42,BK43:BK$183,"="&amp;1)/SUMIFS(AU$6:AU$183,AU$6:AU$183,"&gt;"&amp;0,BH$6:BH$183,"="&amp;BH42)</f>
        <v>0.24530357603028766</v>
      </c>
      <c r="AZ42" s="169">
        <f>IF(AW42&gt;Adjustments!$J$6,Adjustments!$L$6,IF(AW42&gt;Adjustments!$J$7,Adjustments!$L$7,IF(AW42&gt;Adjustments!$J$8,Adjustments!$L$8,IF(AW42&lt;Adjustments!$J$10,Adjustments!$L$10,IF(AW42&lt;Adjustments!$J$9,Adjustments!$L$9,0)))))</f>
        <v>0</v>
      </c>
      <c r="BA42" s="169">
        <f>INDEX(Adjustments!$C$4:$C$2520,MATCH(AR42,Adjustments!$B$4:$B$2520,0))</f>
        <v>0</v>
      </c>
      <c r="BB42" s="153" t="str">
        <f>INDEX(AG$6:AG$182,MATCH($AR42,$AF$6:$AF$182,0))</f>
        <v>9</v>
      </c>
      <c r="BC42" s="153">
        <f>INDEX(AH$6:AH$182,MATCH($AR42,$AF$6:$AF$182,0))</f>
        <v>34</v>
      </c>
      <c r="BD42" s="153">
        <f>INDEX(AI$6:AI$182,MATCH($AR42,$AF$6:$AF$182,0))</f>
        <v>-3</v>
      </c>
      <c r="BE42" s="153">
        <f>BC42-AO42</f>
        <v>-3</v>
      </c>
      <c r="BF42" s="153"/>
      <c r="BG42" s="153"/>
      <c r="BH42" s="195" t="str">
        <f>INDEX($AE$6:$AE$182,MATCH(AR42,$AF$6:$AF$182,0))</f>
        <v>RB</v>
      </c>
      <c r="BI42" s="195">
        <f>SUMIF($BH$6:BH42,BH42,$BK$6:BK42)</f>
        <v>18</v>
      </c>
      <c r="BJ42" s="194">
        <v>1</v>
      </c>
      <c r="BK42" s="194">
        <f t="shared" si="4"/>
        <v>1</v>
      </c>
      <c r="BL42" s="194" t="str">
        <f>IF('Real Time Draft Tool'!B42="y","y","")</f>
        <v/>
      </c>
      <c r="BM42" s="194" t="str">
        <f t="shared" si="5"/>
        <v>RB 18</v>
      </c>
    </row>
    <row r="43" spans="2:65" x14ac:dyDescent="0.25">
      <c r="B43" s="102" t="s">
        <v>152</v>
      </c>
      <c r="C43" s="103" t="s">
        <v>130</v>
      </c>
      <c r="D43" s="103">
        <v>29</v>
      </c>
      <c r="E43" s="140">
        <v>-5</v>
      </c>
      <c r="F43" s="141">
        <v>3.9321354566666669</v>
      </c>
      <c r="G43" s="104">
        <v>1.5762898861819017</v>
      </c>
      <c r="H43" s="142">
        <v>0.46805630843317908</v>
      </c>
      <c r="I43" s="106" t="s">
        <v>31</v>
      </c>
      <c r="J43" s="99"/>
      <c r="K43" s="101">
        <v>38</v>
      </c>
      <c r="L43" s="102" t="s">
        <v>153</v>
      </c>
      <c r="M43" s="103" t="s">
        <v>73</v>
      </c>
      <c r="N43" s="143">
        <v>108</v>
      </c>
      <c r="O43" s="108">
        <v>-11</v>
      </c>
      <c r="P43" s="141">
        <v>-0.39360757454545464</v>
      </c>
      <c r="Q43" s="105">
        <v>1.6581151724385803</v>
      </c>
      <c r="R43" s="142">
        <v>0</v>
      </c>
      <c r="S43" s="106" t="s">
        <v>109</v>
      </c>
      <c r="T43" s="99"/>
      <c r="U43" s="107">
        <v>38</v>
      </c>
      <c r="V43" s="102" t="s">
        <v>151</v>
      </c>
      <c r="W43" s="103" t="s">
        <v>156</v>
      </c>
      <c r="X43" s="143">
        <v>115</v>
      </c>
      <c r="Y43" s="108">
        <v>19</v>
      </c>
      <c r="Z43" s="141">
        <v>0.78154731499999974</v>
      </c>
      <c r="AA43" s="104">
        <v>0.79834683110213689</v>
      </c>
      <c r="AB43" s="142">
        <v>1.1815518476230054E-2</v>
      </c>
      <c r="AC43" s="106" t="s">
        <v>91</v>
      </c>
      <c r="AD43" s="202"/>
      <c r="AE43" s="195" t="s">
        <v>259</v>
      </c>
      <c r="AF43" s="195" t="str">
        <f t="shared" si="9"/>
        <v>Montee Ball</v>
      </c>
      <c r="AG43" s="195" t="str">
        <f t="shared" si="7"/>
        <v>4</v>
      </c>
      <c r="AH43" s="195">
        <f t="shared" si="10"/>
        <v>13</v>
      </c>
      <c r="AI43" s="195">
        <f t="shared" si="8"/>
        <v>3</v>
      </c>
      <c r="AJ43" s="195">
        <f t="shared" si="7"/>
        <v>6.7396906949999984</v>
      </c>
      <c r="AK43" s="195">
        <f t="shared" si="7"/>
        <v>1.2642062561994321</v>
      </c>
      <c r="AL43" s="195">
        <f t="shared" si="7"/>
        <v>0.65979146527320265</v>
      </c>
      <c r="AM43" s="195" t="str">
        <f t="shared" si="7"/>
        <v>3-</v>
      </c>
      <c r="AN43" s="153"/>
      <c r="AO43" s="153">
        <v>38</v>
      </c>
      <c r="AP43" s="153">
        <v>40</v>
      </c>
      <c r="AQ43" s="153">
        <f>AP43-AO43</f>
        <v>2</v>
      </c>
      <c r="AR43" s="86" t="s">
        <v>78</v>
      </c>
      <c r="AS43" s="153" t="str">
        <f>BH43&amp;" "&amp;BI43</f>
        <v>WR 15</v>
      </c>
      <c r="AT43" s="153">
        <f>IF(AU43&gt;8,1,IF(AU43&gt;6.4,2,IF(AU43&gt;6,3,IF(AU43&gt;5,4,IF(AU43&gt;3.5,5,IF(AU43&gt;2.5,6,IF(AU43&gt;1.5,7,IF(AU43&gt;0.5,8,IF(AU43&gt;-0.5,9,10)))))))))</f>
        <v>5</v>
      </c>
      <c r="AU43" s="169">
        <f>SUM(AV43,AZ43,BA43)</f>
        <v>3.586401251666667</v>
      </c>
      <c r="AV43" s="169">
        <f>INDEX(AJ$6:AJ$182,MATCH($AR43,$AF$6:$AF$182,0))</f>
        <v>3.586401251666667</v>
      </c>
      <c r="AW43" s="169">
        <f>INDEX(AK$6:AK$182,MATCH($AR43,$AF$6:$AF$182,0))</f>
        <v>0.86562133058720525</v>
      </c>
      <c r="AX43" s="168">
        <f>SUMIFS(AV44:AV$183,AV44:AV$183,"&gt;"&amp;0,$BH44:$BH$183,"="&amp;$BH43,$BK44:$BK$183,"="&amp;1)/SUMIFS(AV$6:AV$183,AV$6:AV$183,"&gt;"&amp;0,$BH$6:$BH$183,"="&amp;$BH43)</f>
        <v>0.36891589613110332</v>
      </c>
      <c r="AY43" s="168">
        <f>SUMIFS(AU44:AU$183,AU44:AU$183,"&gt;"&amp;0,BH44:BH$183,"="&amp;BH43,BK44:BK$183,"="&amp;1)/SUMIFS(AU$6:AU$183,AU$6:AU$183,"&gt;"&amp;0,BH$6:BH$183,"="&amp;BH43)</f>
        <v>0.36142340001068296</v>
      </c>
      <c r="AZ43" s="169">
        <f>IF(AW43&gt;Adjustments!$J$6,Adjustments!$L$6,IF(AW43&gt;Adjustments!$J$7,Adjustments!$L$7,IF(AW43&gt;Adjustments!$J$8,Adjustments!$L$8,IF(AW43&lt;Adjustments!$J$10,Adjustments!$L$10,IF(AW43&lt;Adjustments!$J$9,Adjustments!$L$9,0)))))</f>
        <v>0</v>
      </c>
      <c r="BA43" s="169">
        <f>INDEX(Adjustments!$C$4:$C$2520,MATCH(AR43,Adjustments!$B$4:$B$2520,0))</f>
        <v>0</v>
      </c>
      <c r="BB43" s="153" t="str">
        <f>INDEX(AG$6:AG$182,MATCH($AR43,$AF$6:$AF$182,0))</f>
        <v>9</v>
      </c>
      <c r="BC43" s="153">
        <f>INDEX(AH$6:AH$182,MATCH($AR43,$AF$6:$AF$182,0))</f>
        <v>46</v>
      </c>
      <c r="BD43" s="153">
        <f>INDEX(AI$6:AI$182,MATCH($AR43,$AF$6:$AF$182,0))</f>
        <v>6</v>
      </c>
      <c r="BE43" s="153">
        <f>BC43-AO43</f>
        <v>8</v>
      </c>
      <c r="BF43" s="153"/>
      <c r="BG43" s="153"/>
      <c r="BH43" s="195" t="str">
        <f>INDEX($AE$6:$AE$182,MATCH(AR43,$AF$6:$AF$182,0))</f>
        <v>WR</v>
      </c>
      <c r="BI43" s="195">
        <f>SUMIF($BH$6:BH43,BH43,$BK$6:BK43)</f>
        <v>15</v>
      </c>
      <c r="BJ43" s="194">
        <v>1</v>
      </c>
      <c r="BK43" s="194">
        <f t="shared" si="4"/>
        <v>1</v>
      </c>
      <c r="BL43" s="194" t="str">
        <f>IF('Real Time Draft Tool'!B43="y","y","")</f>
        <v/>
      </c>
      <c r="BM43" s="194" t="str">
        <f t="shared" si="5"/>
        <v>WR 15</v>
      </c>
    </row>
    <row r="44" spans="2:65" x14ac:dyDescent="0.25">
      <c r="B44" s="102" t="s">
        <v>159</v>
      </c>
      <c r="C44" s="103" t="s">
        <v>58</v>
      </c>
      <c r="D44" s="103">
        <v>58</v>
      </c>
      <c r="E44" s="140">
        <v>-4</v>
      </c>
      <c r="F44" s="141">
        <v>2.4268854766666665</v>
      </c>
      <c r="G44" s="104">
        <v>0.9541166271656214</v>
      </c>
      <c r="H44" s="142">
        <v>0.38442271460657346</v>
      </c>
      <c r="I44" s="106" t="s">
        <v>38</v>
      </c>
      <c r="J44" s="99"/>
      <c r="K44" s="101">
        <v>39</v>
      </c>
      <c r="L44" s="102" t="s">
        <v>160</v>
      </c>
      <c r="M44" s="103" t="s">
        <v>156</v>
      </c>
      <c r="N44" s="143">
        <v>109</v>
      </c>
      <c r="O44" s="108">
        <v>-23</v>
      </c>
      <c r="P44" s="141">
        <v>-1.0161881416666667</v>
      </c>
      <c r="Q44" s="105">
        <v>1.3808900075455526</v>
      </c>
      <c r="R44" s="142">
        <v>0</v>
      </c>
      <c r="S44" s="106" t="s">
        <v>105</v>
      </c>
      <c r="T44" s="99"/>
      <c r="U44" s="107">
        <v>39</v>
      </c>
      <c r="V44" s="102" t="s">
        <v>168</v>
      </c>
      <c r="W44" s="103" t="s">
        <v>105</v>
      </c>
      <c r="X44" s="143">
        <v>116</v>
      </c>
      <c r="Y44" s="108">
        <v>15</v>
      </c>
      <c r="Z44" s="141">
        <v>0.41501603499999962</v>
      </c>
      <c r="AA44" s="104">
        <v>0.74266408699458841</v>
      </c>
      <c r="AB44" s="142">
        <v>8.7077593776845076E-3</v>
      </c>
      <c r="AC44" s="106" t="s">
        <v>91</v>
      </c>
      <c r="AD44" s="202"/>
      <c r="AE44" s="195" t="s">
        <v>259</v>
      </c>
      <c r="AF44" s="195" t="str">
        <f t="shared" si="9"/>
        <v>DeMarco Murray</v>
      </c>
      <c r="AG44" s="195" t="str">
        <f t="shared" si="7"/>
        <v>11</v>
      </c>
      <c r="AH44" s="195">
        <f t="shared" si="10"/>
        <v>14</v>
      </c>
      <c r="AI44" s="195">
        <f t="shared" si="8"/>
        <v>2</v>
      </c>
      <c r="AJ44" s="195">
        <f t="shared" si="7"/>
        <v>6.5478230166666673</v>
      </c>
      <c r="AK44" s="195">
        <f t="shared" si="7"/>
        <v>1.1225858193281351</v>
      </c>
      <c r="AL44" s="195">
        <f t="shared" si="7"/>
        <v>0.61683617982451511</v>
      </c>
      <c r="AM44" s="195" t="str">
        <f t="shared" si="7"/>
        <v>3-</v>
      </c>
      <c r="AN44" s="153"/>
      <c r="AO44" s="153">
        <v>39</v>
      </c>
      <c r="AP44" s="153">
        <v>38</v>
      </c>
      <c r="AQ44" s="153">
        <f>AP44-AO44</f>
        <v>-1</v>
      </c>
      <c r="AR44" s="86" t="s">
        <v>75</v>
      </c>
      <c r="AS44" s="153" t="str">
        <f>BH44&amp;" "&amp;BI44</f>
        <v>WR 16</v>
      </c>
      <c r="AT44" s="153">
        <f>IF(AU44&gt;8,1,IF(AU44&gt;6.4,2,IF(AU44&gt;6,3,IF(AU44&gt;5,4,IF(AU44&gt;3.5,5,IF(AU44&gt;2.5,6,IF(AU44&gt;1.5,7,IF(AU44&gt;0.5,8,IF(AU44&gt;-0.5,9,10)))))))))</f>
        <v>5</v>
      </c>
      <c r="AU44" s="169">
        <f>SUM(AV44,AZ44,BA44)</f>
        <v>3.5142032750000003</v>
      </c>
      <c r="AV44" s="169">
        <f>INDEX(AJ$6:AJ$182,MATCH($AR44,$AF$6:$AF$182,0))</f>
        <v>3.6642032750000002</v>
      </c>
      <c r="AW44" s="169">
        <f>INDEX(AK$6:AK$182,MATCH($AR44,$AF$6:$AF$182,0))</f>
        <v>1.0685520514202678</v>
      </c>
      <c r="AX44" s="168">
        <f>SUMIFS(AV45:AV$183,AV45:AV$183,"&gt;"&amp;0,$BH45:$BH$183,"="&amp;$BH44,$BK45:$BK$183,"="&amp;1)/SUMIFS(AV$6:AV$183,AV$6:AV$183,"&gt;"&amp;0,$BH$6:$BH$183,"="&amp;$BH44)</f>
        <v>0.34147729109792324</v>
      </c>
      <c r="AY44" s="168">
        <f>SUMIFS(AU45:AU$183,AU45:AU$183,"&gt;"&amp;0,BH45:BH$183,"="&amp;BH44,BK45:BK$183,"="&amp;1)/SUMIFS(AU$6:AU$183,AU$6:AU$183,"&gt;"&amp;0,BH$6:BH$183,"="&amp;BH44)</f>
        <v>0.33545802313838957</v>
      </c>
      <c r="AZ44" s="169">
        <f>IF(AW44&gt;Adjustments!$J$6,Adjustments!$L$6,IF(AW44&gt;Adjustments!$J$7,Adjustments!$L$7,IF(AW44&gt;Adjustments!$J$8,Adjustments!$L$8,IF(AW44&lt;Adjustments!$J$10,Adjustments!$L$10,IF(AW44&lt;Adjustments!$J$9,Adjustments!$L$9,0)))))</f>
        <v>-0.15</v>
      </c>
      <c r="BA44" s="169">
        <f>INDEX(Adjustments!$C$4:$C$2520,MATCH(AR44,Adjustments!$B$4:$B$2520,0))</f>
        <v>0</v>
      </c>
      <c r="BB44" s="153" t="str">
        <f>INDEX(AG$6:AG$182,MATCH($AR44,$AF$6:$AF$182,0))</f>
        <v>4</v>
      </c>
      <c r="BC44" s="153">
        <f>INDEX(AH$6:AH$182,MATCH($AR44,$AF$6:$AF$182,0))</f>
        <v>40</v>
      </c>
      <c r="BD44" s="153">
        <f>INDEX(AI$6:AI$182,MATCH($AR44,$AF$6:$AF$182,0))</f>
        <v>2</v>
      </c>
      <c r="BE44" s="153">
        <f>BC44-AO44</f>
        <v>1</v>
      </c>
      <c r="BF44" s="153"/>
      <c r="BG44" s="153"/>
      <c r="BH44" s="195" t="str">
        <f>INDEX($AE$6:$AE$182,MATCH(AR44,$AF$6:$AF$182,0))</f>
        <v>WR</v>
      </c>
      <c r="BI44" s="195">
        <f>SUMIF($BH$6:BH44,BH44,$BK$6:BK44)</f>
        <v>16</v>
      </c>
      <c r="BJ44" s="194">
        <v>1</v>
      </c>
      <c r="BK44" s="194">
        <f t="shared" si="4"/>
        <v>1</v>
      </c>
      <c r="BL44" s="194" t="str">
        <f>IF('Real Time Draft Tool'!B44="y","y","")</f>
        <v/>
      </c>
      <c r="BM44" s="194" t="str">
        <f t="shared" si="5"/>
        <v>WR 16</v>
      </c>
    </row>
    <row r="45" spans="2:65" x14ac:dyDescent="0.25">
      <c r="B45" s="102" t="s">
        <v>155</v>
      </c>
      <c r="C45" s="103" t="s">
        <v>156</v>
      </c>
      <c r="D45" s="103">
        <v>66</v>
      </c>
      <c r="E45" s="140">
        <v>2</v>
      </c>
      <c r="F45" s="141">
        <v>2.3805417366666664</v>
      </c>
      <c r="G45" s="104">
        <v>0.68757937420586834</v>
      </c>
      <c r="H45" s="142">
        <v>0.30238618564554587</v>
      </c>
      <c r="I45" s="106" t="s">
        <v>38</v>
      </c>
      <c r="J45" s="99"/>
      <c r="K45" s="101">
        <v>40</v>
      </c>
      <c r="L45" s="102" t="s">
        <v>157</v>
      </c>
      <c r="M45" s="103" t="s">
        <v>73</v>
      </c>
      <c r="N45" s="143">
        <v>113</v>
      </c>
      <c r="O45" s="108">
        <v>-21</v>
      </c>
      <c r="P45" s="141">
        <v>-1.0494558399999998</v>
      </c>
      <c r="Q45" s="105">
        <v>1.280028218888384</v>
      </c>
      <c r="R45" s="142">
        <v>0</v>
      </c>
      <c r="S45" s="106" t="s">
        <v>105</v>
      </c>
      <c r="T45" s="99"/>
      <c r="U45" s="107">
        <v>40</v>
      </c>
      <c r="V45" s="102" t="s">
        <v>161</v>
      </c>
      <c r="W45" s="103" t="s">
        <v>105</v>
      </c>
      <c r="X45" s="143">
        <v>118</v>
      </c>
      <c r="Y45" s="108">
        <v>15</v>
      </c>
      <c r="Z45" s="141">
        <v>0.37707339666666662</v>
      </c>
      <c r="AA45" s="104">
        <v>0.71546750541312698</v>
      </c>
      <c r="AB45" s="142">
        <v>5.8841256370982973E-3</v>
      </c>
      <c r="AC45" s="106" t="s">
        <v>91</v>
      </c>
      <c r="AD45" s="202"/>
      <c r="AE45" s="195" t="s">
        <v>259</v>
      </c>
      <c r="AF45" s="195" t="str">
        <f t="shared" si="9"/>
        <v>Arian Foster</v>
      </c>
      <c r="AG45" s="195" t="str">
        <f t="shared" si="7"/>
        <v>10</v>
      </c>
      <c r="AH45" s="195">
        <f t="shared" si="10"/>
        <v>14</v>
      </c>
      <c r="AI45" s="195">
        <f t="shared" si="8"/>
        <v>1</v>
      </c>
      <c r="AJ45" s="195">
        <f t="shared" si="7"/>
        <v>6.5370938400000016</v>
      </c>
      <c r="AK45" s="195">
        <f t="shared" si="7"/>
        <v>1.4369016512860988</v>
      </c>
      <c r="AL45" s="195">
        <f t="shared" si="7"/>
        <v>0.57395128034154064</v>
      </c>
      <c r="AM45" s="195" t="str">
        <f t="shared" si="7"/>
        <v>3-</v>
      </c>
      <c r="AN45" s="153"/>
      <c r="AO45" s="153">
        <v>40</v>
      </c>
      <c r="AP45" s="153">
        <v>34</v>
      </c>
      <c r="AQ45" s="153">
        <f>AP45-AO45</f>
        <v>-6</v>
      </c>
      <c r="AR45" s="86" t="s">
        <v>152</v>
      </c>
      <c r="AS45" s="153" t="str">
        <f>BH45&amp;" "&amp;BI45</f>
        <v>TE 3</v>
      </c>
      <c r="AT45" s="153">
        <f>IF(AU45&gt;8,1,IF(AU45&gt;6.4,2,IF(AU45&gt;6,3,IF(AU45&gt;5,4,IF(AU45&gt;3.5,5,IF(AU45&gt;2.5,6,IF(AU45&gt;1.5,7,IF(AU45&gt;0.5,8,IF(AU45&gt;-0.5,9,10)))))))))</f>
        <v>6</v>
      </c>
      <c r="AU45" s="169">
        <f>SUM(AV45,AZ45,BA45)</f>
        <v>3.4321354566666669</v>
      </c>
      <c r="AV45" s="169">
        <f>INDEX(AJ$6:AJ$182,MATCH($AR45,$AF$6:$AF$182,0))</f>
        <v>3.9321354566666669</v>
      </c>
      <c r="AW45" s="169">
        <f>INDEX(AK$6:AK$182,MATCH($AR45,$AF$6:$AF$182,0))</f>
        <v>1.5762898861819017</v>
      </c>
      <c r="AX45" s="168">
        <f>SUMIFS(AV46:AV$183,AV46:AV$183,"&gt;"&amp;0,$BH46:$BH$183,"="&amp;$BH45,$BK46:$BK$183,"="&amp;1)/SUMIFS(AV$6:AV$183,AV$6:AV$183,"&gt;"&amp;0,$BH$6:$BH$183,"="&amp;$BH45)</f>
        <v>0.46805630843317919</v>
      </c>
      <c r="AY45" s="168">
        <f>SUMIFS(AU46:AU$183,AU46:AU$183,"&gt;"&amp;0,BH46:BH$183,"="&amp;BH45,BK46:BK$183,"="&amp;1)/SUMIFS(AU$6:AU$183,AU$6:AU$183,"&gt;"&amp;0,BH$6:BH$183,"="&amp;BH45)</f>
        <v>0.49243765724132837</v>
      </c>
      <c r="AZ45" s="169">
        <f>IF(AW45&gt;Adjustments!$J$6,Adjustments!$L$6,IF(AW45&gt;Adjustments!$J$7,Adjustments!$L$7,IF(AW45&gt;Adjustments!$J$8,Adjustments!$L$8,IF(AW45&lt;Adjustments!$J$10,Adjustments!$L$10,IF(AW45&lt;Adjustments!$J$9,Adjustments!$L$9,0)))))</f>
        <v>-0.5</v>
      </c>
      <c r="BA45" s="169">
        <f>INDEX(Adjustments!$C$4:$C$2520,MATCH(AR45,Adjustments!$B$4:$B$2520,0))</f>
        <v>0</v>
      </c>
      <c r="BB45" s="153" t="str">
        <f>INDEX(AG$6:AG$182,MATCH($AR45,$AF$6:$AF$182,0))</f>
        <v>10</v>
      </c>
      <c r="BC45" s="153">
        <f>INDEX(AH$6:AH$182,MATCH($AR45,$AF$6:$AF$182,0))</f>
        <v>29</v>
      </c>
      <c r="BD45" s="153">
        <f>INDEX(AI$6:AI$182,MATCH($AR45,$AF$6:$AF$182,0))</f>
        <v>-5</v>
      </c>
      <c r="BE45" s="153">
        <f>BC45-AO45</f>
        <v>-11</v>
      </c>
      <c r="BF45" s="153"/>
      <c r="BG45" s="153"/>
      <c r="BH45" s="195" t="str">
        <f>INDEX($AE$6:$AE$182,MATCH(AR45,$AF$6:$AF$182,0))</f>
        <v>TE</v>
      </c>
      <c r="BI45" s="195">
        <f>SUMIF($BH$6:BH45,BH45,$BK$6:BK45)</f>
        <v>3</v>
      </c>
      <c r="BJ45" s="194">
        <v>1</v>
      </c>
      <c r="BK45" s="194">
        <f t="shared" si="4"/>
        <v>1</v>
      </c>
      <c r="BL45" s="194" t="str">
        <f>IF('Real Time Draft Tool'!B45="y","y","")</f>
        <v/>
      </c>
      <c r="BM45" s="194" t="str">
        <f t="shared" si="5"/>
        <v>TE 3</v>
      </c>
    </row>
    <row r="46" spans="2:65" x14ac:dyDescent="0.25">
      <c r="B46" s="102" t="s">
        <v>166</v>
      </c>
      <c r="C46" s="103" t="s">
        <v>105</v>
      </c>
      <c r="D46" s="103">
        <v>56</v>
      </c>
      <c r="E46" s="140">
        <v>-11</v>
      </c>
      <c r="F46" s="141">
        <v>2.1914010916666662</v>
      </c>
      <c r="G46" s="104">
        <v>1.1442978151128809</v>
      </c>
      <c r="H46" s="142">
        <v>0.22686768649355515</v>
      </c>
      <c r="I46" s="106" t="s">
        <v>64</v>
      </c>
      <c r="J46" s="99"/>
      <c r="K46" s="101">
        <v>41</v>
      </c>
      <c r="L46" s="102" t="s">
        <v>170</v>
      </c>
      <c r="M46" s="103" t="s">
        <v>58</v>
      </c>
      <c r="N46" s="143">
        <v>124</v>
      </c>
      <c r="O46" s="108">
        <v>-18</v>
      </c>
      <c r="P46" s="141">
        <v>-1.6069849966666665</v>
      </c>
      <c r="Q46" s="105">
        <v>1.1369509845144814</v>
      </c>
      <c r="R46" s="142">
        <v>0</v>
      </c>
      <c r="S46" s="106" t="s">
        <v>105</v>
      </c>
      <c r="T46" s="99"/>
      <c r="U46" s="107">
        <v>41</v>
      </c>
      <c r="V46" s="102" t="s">
        <v>158</v>
      </c>
      <c r="W46" s="103" t="s">
        <v>73</v>
      </c>
      <c r="X46" s="143">
        <v>159</v>
      </c>
      <c r="Y46" s="108">
        <v>55</v>
      </c>
      <c r="Z46" s="141">
        <v>0.31845367499999999</v>
      </c>
      <c r="AA46" s="104">
        <v>0.75251108471383155</v>
      </c>
      <c r="AB46" s="142">
        <v>3.4994531847519694E-3</v>
      </c>
      <c r="AC46" s="106" t="s">
        <v>181</v>
      </c>
      <c r="AD46" s="202"/>
      <c r="AE46" s="195" t="s">
        <v>259</v>
      </c>
      <c r="AF46" s="195" t="str">
        <f t="shared" si="9"/>
        <v>Marshawn Lynch</v>
      </c>
      <c r="AG46" s="195" t="str">
        <f t="shared" si="7"/>
        <v>4</v>
      </c>
      <c r="AH46" s="195">
        <f t="shared" si="10"/>
        <v>13</v>
      </c>
      <c r="AI46" s="195">
        <f t="shared" si="8"/>
        <v>-4</v>
      </c>
      <c r="AJ46" s="195">
        <f t="shared" si="7"/>
        <v>6.2511323716666674</v>
      </c>
      <c r="AK46" s="195">
        <f t="shared" si="7"/>
        <v>1.8329607937369126</v>
      </c>
      <c r="AL46" s="195">
        <f t="shared" si="7"/>
        <v>0.53294235650242794</v>
      </c>
      <c r="AM46" s="195" t="str">
        <f t="shared" si="7"/>
        <v>3</v>
      </c>
      <c r="AN46" s="153"/>
      <c r="AO46" s="153">
        <v>41</v>
      </c>
      <c r="AP46" s="153">
        <v>41</v>
      </c>
      <c r="AQ46" s="153">
        <f>AP46-AO46</f>
        <v>0</v>
      </c>
      <c r="AR46" s="86" t="s">
        <v>81</v>
      </c>
      <c r="AS46" s="153" t="str">
        <f>BH46&amp;" "&amp;BI46</f>
        <v>WR 17</v>
      </c>
      <c r="AT46" s="153">
        <f>IF(AU46&gt;8,1,IF(AU46&gt;6.4,2,IF(AU46&gt;6,3,IF(AU46&gt;5,4,IF(AU46&gt;3.5,5,IF(AU46&gt;2.5,6,IF(AU46&gt;1.5,7,IF(AU46&gt;0.5,8,IF(AU46&gt;-0.5,9,10)))))))))</f>
        <v>6</v>
      </c>
      <c r="AU46" s="169">
        <f>SUM(AV46,AZ46,BA46)</f>
        <v>3.3608907950000004</v>
      </c>
      <c r="AV46" s="169">
        <f>INDEX(AJ$6:AJ$182,MATCH($AR46,$AF$6:$AF$182,0))</f>
        <v>3.5108907950000003</v>
      </c>
      <c r="AW46" s="169">
        <f>INDEX(AK$6:AK$182,MATCH($AR46,$AF$6:$AF$182,0))</f>
        <v>1.0101765084448233</v>
      </c>
      <c r="AX46" s="168">
        <f>SUMIFS(AV47:AV$183,AV47:AV$183,"&gt;"&amp;0,$BH47:$BH$183,"="&amp;$BH46,$BK47:$BK$183,"="&amp;1)/SUMIFS(AV$6:AV$183,AV$6:AV$183,"&gt;"&amp;0,$BH$6:$BH$183,"="&amp;$BH46)</f>
        <v>0.31518673388569196</v>
      </c>
      <c r="AY46" s="168">
        <f>SUMIFS(AU47:AU$183,AU47:AU$183,"&gt;"&amp;0,BH47:BH$183,"="&amp;BH46,BK47:BK$183,"="&amp;1)/SUMIFS(AU$6:AU$183,AU$6:AU$183,"&gt;"&amp;0,BH$6:BH$183,"="&amp;BH46)</f>
        <v>0.31062542545128025</v>
      </c>
      <c r="AZ46" s="169">
        <f>IF(AW46&gt;Adjustments!$J$6,Adjustments!$L$6,IF(AW46&gt;Adjustments!$J$7,Adjustments!$L$7,IF(AW46&gt;Adjustments!$J$8,Adjustments!$L$8,IF(AW46&lt;Adjustments!$J$10,Adjustments!$L$10,IF(AW46&lt;Adjustments!$J$9,Adjustments!$L$9,0)))))</f>
        <v>-0.15</v>
      </c>
      <c r="BA46" s="169">
        <f>INDEX(Adjustments!$C$4:$C$2520,MATCH(AR46,Adjustments!$B$4:$B$2520,0))</f>
        <v>0</v>
      </c>
      <c r="BB46" s="153" t="str">
        <f>INDEX(AG$6:AG$182,MATCH($AR46,$AF$6:$AF$182,0))</f>
        <v>8</v>
      </c>
      <c r="BC46" s="153">
        <f>INDEX(AH$6:AH$182,MATCH($AR46,$AF$6:$AF$182,0))</f>
        <v>40</v>
      </c>
      <c r="BD46" s="153">
        <f>INDEX(AI$6:AI$182,MATCH($AR46,$AF$6:$AF$182,0))</f>
        <v>-1</v>
      </c>
      <c r="BE46" s="153">
        <f>BC46-AO46</f>
        <v>-1</v>
      </c>
      <c r="BF46" s="153"/>
      <c r="BG46" s="153"/>
      <c r="BH46" s="195" t="str">
        <f>INDEX($AE$6:$AE$182,MATCH(AR46,$AF$6:$AF$182,0))</f>
        <v>WR</v>
      </c>
      <c r="BI46" s="195">
        <f>SUMIF($BH$6:BH46,BH46,$BK$6:BK46)</f>
        <v>17</v>
      </c>
      <c r="BJ46" s="194">
        <v>1</v>
      </c>
      <c r="BK46" s="194">
        <f t="shared" si="4"/>
        <v>1</v>
      </c>
      <c r="BL46" s="194" t="str">
        <f>IF('Real Time Draft Tool'!B46="y","y","")</f>
        <v/>
      </c>
      <c r="BM46" s="194" t="str">
        <f t="shared" si="5"/>
        <v>WR 17</v>
      </c>
    </row>
    <row r="47" spans="2:65" x14ac:dyDescent="0.25">
      <c r="B47" s="102" t="s">
        <v>162</v>
      </c>
      <c r="C47" s="103" t="s">
        <v>163</v>
      </c>
      <c r="D47" s="103">
        <v>81</v>
      </c>
      <c r="E47" s="140">
        <v>10</v>
      </c>
      <c r="F47" s="141">
        <v>2.0219948716666662</v>
      </c>
      <c r="G47" s="104">
        <v>0.80669530182381211</v>
      </c>
      <c r="H47" s="142">
        <v>0.15718714349211194</v>
      </c>
      <c r="I47" s="106" t="s">
        <v>38</v>
      </c>
      <c r="J47" s="99"/>
      <c r="K47" s="101">
        <v>42</v>
      </c>
      <c r="L47" s="102" t="s">
        <v>164</v>
      </c>
      <c r="M47" s="103" t="s">
        <v>58</v>
      </c>
      <c r="N47" s="143">
        <v>103</v>
      </c>
      <c r="O47" s="108">
        <v>-41</v>
      </c>
      <c r="P47" s="141">
        <v>-1.6662141433333337</v>
      </c>
      <c r="Q47" s="105">
        <v>1.0156316794162641</v>
      </c>
      <c r="R47" s="142">
        <v>0</v>
      </c>
      <c r="S47" s="106" t="s">
        <v>105</v>
      </c>
      <c r="T47" s="99"/>
      <c r="U47" s="107">
        <v>42</v>
      </c>
      <c r="V47" s="102" t="s">
        <v>165</v>
      </c>
      <c r="W47" s="103" t="s">
        <v>130</v>
      </c>
      <c r="X47" s="143">
        <v>160</v>
      </c>
      <c r="Y47" s="108">
        <v>54</v>
      </c>
      <c r="Z47" s="141">
        <v>0.18867761333333311</v>
      </c>
      <c r="AA47" s="104">
        <v>0.86755051670168226</v>
      </c>
      <c r="AB47" s="142">
        <v>2.0865811025237864E-3</v>
      </c>
      <c r="AC47" s="106" t="s">
        <v>91</v>
      </c>
      <c r="AD47" s="202"/>
      <c r="AE47" s="195" t="s">
        <v>259</v>
      </c>
      <c r="AF47" s="195" t="str">
        <f t="shared" si="9"/>
        <v>Giovani Bernard</v>
      </c>
      <c r="AG47" s="195" t="str">
        <f t="shared" si="7"/>
        <v>4</v>
      </c>
      <c r="AH47" s="195">
        <f t="shared" si="10"/>
        <v>20</v>
      </c>
      <c r="AI47" s="195">
        <f t="shared" si="8"/>
        <v>1</v>
      </c>
      <c r="AJ47" s="195">
        <f t="shared" si="7"/>
        <v>5.8384167866666674</v>
      </c>
      <c r="AK47" s="195">
        <f t="shared" si="7"/>
        <v>0.86859416413518065</v>
      </c>
      <c r="AL47" s="195">
        <f t="shared" si="7"/>
        <v>0.49464094563635552</v>
      </c>
      <c r="AM47" s="195" t="str">
        <f t="shared" si="7"/>
        <v>4+</v>
      </c>
      <c r="AN47" s="153"/>
      <c r="AO47" s="153">
        <v>42</v>
      </c>
      <c r="AP47" s="153">
        <v>42</v>
      </c>
      <c r="AQ47" s="153">
        <f>AP47-AO47</f>
        <v>0</v>
      </c>
      <c r="AR47" s="86" t="s">
        <v>102</v>
      </c>
      <c r="AS47" s="153" t="str">
        <f>BH47&amp;" "&amp;BI47</f>
        <v>RB 19</v>
      </c>
      <c r="AT47" s="153">
        <f>IF(AU47&gt;8,1,IF(AU47&gt;6.4,2,IF(AU47&gt;6,3,IF(AU47&gt;5,4,IF(AU47&gt;3.5,5,IF(AU47&gt;2.5,6,IF(AU47&gt;1.5,7,IF(AU47&gt;0.5,8,IF(AU47&gt;-0.5,9,10)))))))))</f>
        <v>6</v>
      </c>
      <c r="AU47" s="169">
        <f>SUM(AV47,AZ47,BA47)</f>
        <v>3.319439773333333</v>
      </c>
      <c r="AV47" s="169">
        <f>INDEX(AJ$6:AJ$182,MATCH($AR47,$AF$6:$AF$182,0))</f>
        <v>3.4694397733333329</v>
      </c>
      <c r="AW47" s="169">
        <f>INDEX(AK$6:AK$182,MATCH($AR47,$AF$6:$AF$182,0))</f>
        <v>1.1130637854107908</v>
      </c>
      <c r="AX47" s="168">
        <f>SUMIFS(AV48:AV$183,AV48:AV$183,"&gt;"&amp;0,$BH48:$BH$183,"="&amp;$BH47,$BK48:$BK$183,"="&amp;1)/SUMIFS(AV$6:AV$183,AV$6:AV$183,"&gt;"&amp;0,$BH$6:$BH$183,"="&amp;$BH47)</f>
        <v>0.23787208673323296</v>
      </c>
      <c r="AY47" s="168">
        <f>SUMIFS(AU48:AU$183,AU48:AU$183,"&gt;"&amp;0,BH48:BH$183,"="&amp;BH47,BK48:BK$183,"="&amp;1)/SUMIFS(AU$6:AU$183,AU$6:AU$183,"&gt;"&amp;0,BH$6:BH$183,"="&amp;BH47)</f>
        <v>0.22235287257471642</v>
      </c>
      <c r="AZ47" s="169">
        <f>IF(AW47&gt;Adjustments!$J$6,Adjustments!$L$6,IF(AW47&gt;Adjustments!$J$7,Adjustments!$L$7,IF(AW47&gt;Adjustments!$J$8,Adjustments!$L$8,IF(AW47&lt;Adjustments!$J$10,Adjustments!$L$10,IF(AW47&lt;Adjustments!$J$9,Adjustments!$L$9,0)))))</f>
        <v>-0.15</v>
      </c>
      <c r="BA47" s="169">
        <f>INDEX(Adjustments!$C$4:$C$2520,MATCH(AR47,Adjustments!$B$4:$B$2520,0))</f>
        <v>0</v>
      </c>
      <c r="BB47" s="153" t="str">
        <f>INDEX(AG$6:AG$182,MATCH($AR47,$AF$6:$AF$182,0))</f>
        <v>10</v>
      </c>
      <c r="BC47" s="153">
        <f>INDEX(AH$6:AH$182,MATCH($AR47,$AF$6:$AF$182,0))</f>
        <v>43</v>
      </c>
      <c r="BD47" s="153">
        <f>INDEX(AI$6:AI$182,MATCH($AR47,$AF$6:$AF$182,0))</f>
        <v>1</v>
      </c>
      <c r="BE47" s="153">
        <f>BC47-AO47</f>
        <v>1</v>
      </c>
      <c r="BF47" s="153"/>
      <c r="BG47" s="153"/>
      <c r="BH47" s="195" t="str">
        <f>INDEX($AE$6:$AE$182,MATCH(AR47,$AF$6:$AF$182,0))</f>
        <v>RB</v>
      </c>
      <c r="BI47" s="195">
        <f>SUMIF($BH$6:BH47,BH47,$BK$6:BK47)</f>
        <v>19</v>
      </c>
      <c r="BJ47" s="194">
        <v>1</v>
      </c>
      <c r="BK47" s="194">
        <f t="shared" si="4"/>
        <v>1</v>
      </c>
      <c r="BL47" s="194" t="str">
        <f>IF('Real Time Draft Tool'!B47="y","y","")</f>
        <v/>
      </c>
      <c r="BM47" s="194" t="str">
        <f t="shared" si="5"/>
        <v>RB 19</v>
      </c>
    </row>
    <row r="48" spans="2:65" x14ac:dyDescent="0.25">
      <c r="B48" s="102" t="s">
        <v>169</v>
      </c>
      <c r="C48" s="103" t="s">
        <v>130</v>
      </c>
      <c r="D48" s="103">
        <v>84</v>
      </c>
      <c r="E48" s="140">
        <v>3</v>
      </c>
      <c r="F48" s="141">
        <v>1.4241302983333328</v>
      </c>
      <c r="G48" s="104">
        <v>0.99328919506930613</v>
      </c>
      <c r="H48" s="142">
        <v>0.10810978237552402</v>
      </c>
      <c r="I48" s="106" t="s">
        <v>58</v>
      </c>
      <c r="J48" s="99"/>
      <c r="K48" s="101">
        <v>43</v>
      </c>
      <c r="L48" s="102" t="s">
        <v>173</v>
      </c>
      <c r="M48" s="103" t="s">
        <v>156</v>
      </c>
      <c r="N48" s="143" t="s">
        <v>236</v>
      </c>
      <c r="O48" s="108" t="s">
        <v>236</v>
      </c>
      <c r="P48" s="141">
        <v>-1.8939526950000001</v>
      </c>
      <c r="Q48" s="105">
        <v>1.0693083991550576</v>
      </c>
      <c r="R48" s="142">
        <v>0</v>
      </c>
      <c r="S48" s="106" t="s">
        <v>105</v>
      </c>
      <c r="T48" s="99"/>
      <c r="U48" s="107">
        <v>43</v>
      </c>
      <c r="V48" s="102" t="s">
        <v>189</v>
      </c>
      <c r="W48" s="103" t="s">
        <v>91</v>
      </c>
      <c r="X48" s="143">
        <v>108</v>
      </c>
      <c r="Y48" s="108">
        <v>0</v>
      </c>
      <c r="Z48" s="141">
        <v>0.13329201666666673</v>
      </c>
      <c r="AA48" s="104">
        <v>0.57026884442711967</v>
      </c>
      <c r="AB48" s="142">
        <v>1.0884522529738456E-3</v>
      </c>
      <c r="AC48" s="106" t="s">
        <v>91</v>
      </c>
      <c r="AD48" s="202"/>
      <c r="AE48" s="195" t="s">
        <v>259</v>
      </c>
      <c r="AF48" s="195" t="str">
        <f t="shared" si="9"/>
        <v>LeVeon Bell</v>
      </c>
      <c r="AG48" s="195" t="str">
        <f t="shared" si="7"/>
        <v>12</v>
      </c>
      <c r="AH48" s="195">
        <f t="shared" si="10"/>
        <v>17</v>
      </c>
      <c r="AI48" s="195">
        <f t="shared" si="8"/>
        <v>-3</v>
      </c>
      <c r="AJ48" s="195">
        <f t="shared" si="7"/>
        <v>5.710795564545454</v>
      </c>
      <c r="AK48" s="195">
        <f t="shared" si="7"/>
        <v>0.80788154158099312</v>
      </c>
      <c r="AL48" s="195">
        <f t="shared" si="7"/>
        <v>0.45717676051868428</v>
      </c>
      <c r="AM48" s="195" t="str">
        <f t="shared" si="7"/>
        <v>4</v>
      </c>
      <c r="AN48" s="153"/>
      <c r="AO48" s="153">
        <v>43</v>
      </c>
      <c r="AP48" s="153">
        <v>44</v>
      </c>
      <c r="AQ48" s="153">
        <f>AP48-AO48</f>
        <v>1</v>
      </c>
      <c r="AR48" s="86" t="s">
        <v>92</v>
      </c>
      <c r="AS48" s="153" t="str">
        <f>BH48&amp;" "&amp;BI48</f>
        <v>RB 20</v>
      </c>
      <c r="AT48" s="153">
        <f>IF(AU48&gt;8,1,IF(AU48&gt;6.4,2,IF(AU48&gt;6,3,IF(AU48&gt;5,4,IF(AU48&gt;3.5,5,IF(AU48&gt;2.5,6,IF(AU48&gt;1.5,7,IF(AU48&gt;0.5,8,IF(AU48&gt;-0.5,9,10)))))))))</f>
        <v>6</v>
      </c>
      <c r="AU48" s="169">
        <f>SUM(AV48,AZ48,BA48)</f>
        <v>3.2356304583333331</v>
      </c>
      <c r="AV48" s="169">
        <f>INDEX(AJ$6:AJ$182,MATCH($AR48,$AF$6:$AF$182,0))</f>
        <v>3.2356304583333331</v>
      </c>
      <c r="AW48" s="169">
        <f>INDEX(AK$6:AK$182,MATCH($AR48,$AF$6:$AF$182,0))</f>
        <v>0.96086714744621815</v>
      </c>
      <c r="AX48" s="168">
        <f>SUMIFS(AV49:AV$183,AV49:AV$183,"&gt;"&amp;0,$BH49:$BH$183,"="&amp;$BH48,$BK49:$BK$183,"="&amp;1)/SUMIFS(AV$6:AV$183,AV$6:AV$183,"&gt;"&amp;0,$BH$6:$BH$183,"="&amp;$BH48)</f>
        <v>0.2166455768550031</v>
      </c>
      <c r="AY48" s="168">
        <f>SUMIFS(AU49:AU$183,AU49:AU$183,"&gt;"&amp;0,BH49:BH$183,"="&amp;BH48,BK49:BK$183,"="&amp;1)/SUMIFS(AU$6:AU$183,AU$6:AU$183,"&gt;"&amp;0,BH$6:BH$183,"="&amp;BH48)</f>
        <v>0.19998162916864851</v>
      </c>
      <c r="AZ48" s="169">
        <f>IF(AW48&gt;Adjustments!$J$6,Adjustments!$L$6,IF(AW48&gt;Adjustments!$J$7,Adjustments!$L$7,IF(AW48&gt;Adjustments!$J$8,Adjustments!$L$8,IF(AW48&lt;Adjustments!$J$10,Adjustments!$L$10,IF(AW48&lt;Adjustments!$J$9,Adjustments!$L$9,0)))))</f>
        <v>0</v>
      </c>
      <c r="BA48" s="169">
        <f>INDEX(Adjustments!$C$4:$C$2520,MATCH(AR48,Adjustments!$B$4:$B$2520,0))</f>
        <v>0</v>
      </c>
      <c r="BB48" s="153" t="str">
        <f>INDEX(AG$6:AG$182,MATCH($AR48,$AF$6:$AF$182,0))</f>
        <v>9</v>
      </c>
      <c r="BC48" s="153">
        <f>INDEX(AH$6:AH$182,MATCH($AR48,$AF$6:$AF$182,0))</f>
        <v>64</v>
      </c>
      <c r="BD48" s="153">
        <f>INDEX(AI$6:AI$182,MATCH($AR48,$AF$6:$AF$182,0))</f>
        <v>20</v>
      </c>
      <c r="BE48" s="153">
        <f>BC48-AO48</f>
        <v>21</v>
      </c>
      <c r="BF48" s="153"/>
      <c r="BG48" s="153"/>
      <c r="BH48" s="195" t="str">
        <f>INDEX($AE$6:$AE$182,MATCH(AR48,$AF$6:$AF$182,0))</f>
        <v>RB</v>
      </c>
      <c r="BI48" s="195">
        <f>SUMIF($BH$6:BH48,BH48,$BK$6:BK48)</f>
        <v>20</v>
      </c>
      <c r="BJ48" s="194">
        <v>1</v>
      </c>
      <c r="BK48" s="194">
        <f t="shared" si="4"/>
        <v>1</v>
      </c>
      <c r="BL48" s="194" t="str">
        <f>IF('Real Time Draft Tool'!B48="y","y","")</f>
        <v/>
      </c>
      <c r="BM48" s="194" t="str">
        <f t="shared" si="5"/>
        <v>RB 20</v>
      </c>
    </row>
    <row r="49" spans="2:65" x14ac:dyDescent="0.25">
      <c r="B49" s="102" t="s">
        <v>172</v>
      </c>
      <c r="C49" s="103" t="s">
        <v>156</v>
      </c>
      <c r="D49" s="103">
        <v>84</v>
      </c>
      <c r="E49" s="140">
        <v>-1</v>
      </c>
      <c r="F49" s="141">
        <v>1.2808073916666665</v>
      </c>
      <c r="G49" s="104">
        <v>0.75802773370757315</v>
      </c>
      <c r="H49" s="142">
        <v>6.3971512896120408E-2</v>
      </c>
      <c r="I49" s="106" t="s">
        <v>58</v>
      </c>
      <c r="J49" s="80"/>
      <c r="K49" s="101">
        <v>44</v>
      </c>
      <c r="L49" s="102" t="s">
        <v>167</v>
      </c>
      <c r="M49" s="103" t="s">
        <v>113</v>
      </c>
      <c r="N49" s="143">
        <v>124</v>
      </c>
      <c r="O49" s="108">
        <v>-27</v>
      </c>
      <c r="P49" s="141">
        <v>-1.9504964250000001</v>
      </c>
      <c r="Q49" s="105">
        <v>1.180220363959015</v>
      </c>
      <c r="R49" s="142">
        <v>0</v>
      </c>
      <c r="S49" s="106" t="s">
        <v>105</v>
      </c>
      <c r="T49" s="80"/>
      <c r="U49" s="107">
        <v>44</v>
      </c>
      <c r="V49" s="102" t="s">
        <v>174</v>
      </c>
      <c r="W49" s="103" t="s">
        <v>58</v>
      </c>
      <c r="X49" s="143">
        <v>132</v>
      </c>
      <c r="Y49" s="108">
        <v>22</v>
      </c>
      <c r="Z49" s="141">
        <v>9.8051461666666895E-2</v>
      </c>
      <c r="AA49" s="104">
        <v>0.62781937862104309</v>
      </c>
      <c r="AB49" s="142">
        <v>3.5421478641359358E-4</v>
      </c>
      <c r="AC49" s="106" t="s">
        <v>91</v>
      </c>
      <c r="AD49" s="202"/>
      <c r="AE49" s="195" t="s">
        <v>259</v>
      </c>
      <c r="AF49" s="195" t="str">
        <f t="shared" si="9"/>
        <v>Doug Martin</v>
      </c>
      <c r="AG49" s="195" t="str">
        <f t="shared" si="7"/>
        <v>7</v>
      </c>
      <c r="AH49" s="195">
        <f t="shared" si="10"/>
        <v>24</v>
      </c>
      <c r="AI49" s="195">
        <f t="shared" si="8"/>
        <v>0</v>
      </c>
      <c r="AJ49" s="195">
        <f t="shared" si="7"/>
        <v>5.0435063800000002</v>
      </c>
      <c r="AK49" s="195">
        <f t="shared" si="7"/>
        <v>1.1171285239868824</v>
      </c>
      <c r="AL49" s="195">
        <f t="shared" si="7"/>
        <v>0.42409015208963347</v>
      </c>
      <c r="AM49" s="195" t="str">
        <f t="shared" si="7"/>
        <v>4</v>
      </c>
      <c r="AN49" s="153"/>
      <c r="AO49" s="153">
        <v>44</v>
      </c>
      <c r="AP49" s="153">
        <v>43</v>
      </c>
      <c r="AQ49" s="153">
        <f>AP49-AO49</f>
        <v>-1</v>
      </c>
      <c r="AR49" s="86" t="s">
        <v>99</v>
      </c>
      <c r="AS49" s="153" t="str">
        <f>BH49&amp;" "&amp;BI49</f>
        <v>RB 21</v>
      </c>
      <c r="AT49" s="153">
        <f>IF(AU49&gt;8,1,IF(AU49&gt;6.4,2,IF(AU49&gt;6,3,IF(AU49&gt;5,4,IF(AU49&gt;3.5,5,IF(AU49&gt;2.5,6,IF(AU49&gt;1.5,7,IF(AU49&gt;0.5,8,IF(AU49&gt;-0.5,9,10)))))))))</f>
        <v>6</v>
      </c>
      <c r="AU49" s="169">
        <f>SUM(AV49,AZ49,BA49)</f>
        <v>3.1051043866666661</v>
      </c>
      <c r="AV49" s="169">
        <f>INDEX(AJ$6:AJ$182,MATCH($AR49,$AF$6:$AF$182,0))</f>
        <v>3.255104386666666</v>
      </c>
      <c r="AW49" s="169">
        <f>INDEX(AK$6:AK$182,MATCH($AR49,$AF$6:$AF$182,0))</f>
        <v>1.2151389345290264</v>
      </c>
      <c r="AX49" s="168">
        <f>SUMIFS(AV50:AV$183,AV50:AV$183,"&gt;"&amp;0,$BH50:$BH$183,"="&amp;$BH49,$BK50:$BK$183,"="&amp;1)/SUMIFS(AV$6:AV$183,AV$6:AV$183,"&gt;"&amp;0,$BH$6:$BH$183,"="&amp;$BH49)</f>
        <v>0.19529131334808841</v>
      </c>
      <c r="AY49" s="168">
        <f>SUMIFS(AU50:AU$183,AU50:AU$183,"&gt;"&amp;0,BH50:BH$183,"="&amp;BH49,BK50:BK$183,"="&amp;1)/SUMIFS(AU$6:AU$183,AU$6:AU$183,"&gt;"&amp;0,BH$6:BH$183,"="&amp;BH49)</f>
        <v>0.17851284683089344</v>
      </c>
      <c r="AZ49" s="169">
        <f>IF(AW49&gt;Adjustments!$J$6,Adjustments!$L$6,IF(AW49&gt;Adjustments!$J$7,Adjustments!$L$7,IF(AW49&gt;Adjustments!$J$8,Adjustments!$L$8,IF(AW49&lt;Adjustments!$J$10,Adjustments!$L$10,IF(AW49&lt;Adjustments!$J$9,Adjustments!$L$9,0)))))</f>
        <v>-0.15</v>
      </c>
      <c r="BA49" s="169">
        <f>INDEX(Adjustments!$C$4:$C$2520,MATCH(AR49,Adjustments!$B$4:$B$2520,0))</f>
        <v>0</v>
      </c>
      <c r="BB49" s="153" t="str">
        <f>INDEX(AG$6:AG$182,MATCH($AR49,$AF$6:$AF$182,0))</f>
        <v>8</v>
      </c>
      <c r="BC49" s="153">
        <f>INDEX(AH$6:AH$182,MATCH($AR49,$AF$6:$AF$182,0))</f>
        <v>54</v>
      </c>
      <c r="BD49" s="153">
        <f>INDEX(AI$6:AI$182,MATCH($AR49,$AF$6:$AF$182,0))</f>
        <v>11</v>
      </c>
      <c r="BE49" s="153">
        <f>BC49-AO49</f>
        <v>10</v>
      </c>
      <c r="BF49" s="153"/>
      <c r="BG49" s="153"/>
      <c r="BH49" s="195" t="str">
        <f>INDEX($AE$6:$AE$182,MATCH(AR49,$AF$6:$AF$182,0))</f>
        <v>RB</v>
      </c>
      <c r="BI49" s="195">
        <f>SUMIF($BH$6:BH49,BH49,$BK$6:BK49)</f>
        <v>21</v>
      </c>
      <c r="BJ49" s="194">
        <v>1</v>
      </c>
      <c r="BK49" s="194">
        <f t="shared" si="4"/>
        <v>1</v>
      </c>
      <c r="BL49" s="194" t="str">
        <f>IF('Real Time Draft Tool'!B49="y","y","")</f>
        <v/>
      </c>
      <c r="BM49" s="194" t="str">
        <f t="shared" si="5"/>
        <v>RB 21</v>
      </c>
    </row>
    <row r="50" spans="2:65" x14ac:dyDescent="0.25">
      <c r="B50" s="102" t="s">
        <v>175</v>
      </c>
      <c r="C50" s="103" t="s">
        <v>130</v>
      </c>
      <c r="D50" s="103">
        <v>94</v>
      </c>
      <c r="E50" s="140">
        <v>3</v>
      </c>
      <c r="F50" s="141">
        <v>1.015099068333333</v>
      </c>
      <c r="G50" s="104">
        <v>0.77943868454649212</v>
      </c>
      <c r="H50" s="142">
        <v>2.8989893865888683E-2</v>
      </c>
      <c r="I50" s="106" t="s">
        <v>58</v>
      </c>
      <c r="J50" s="80"/>
      <c r="K50" s="101">
        <v>45</v>
      </c>
      <c r="L50" s="102" t="s">
        <v>185</v>
      </c>
      <c r="M50" s="103" t="s">
        <v>83</v>
      </c>
      <c r="N50" s="143">
        <v>114</v>
      </c>
      <c r="O50" s="108">
        <v>-49</v>
      </c>
      <c r="P50" s="141">
        <v>-2.5316297483333332</v>
      </c>
      <c r="Q50" s="105">
        <v>1.2174293959537612</v>
      </c>
      <c r="R50" s="142">
        <v>0</v>
      </c>
      <c r="S50" s="106" t="s">
        <v>113</v>
      </c>
      <c r="T50" s="80"/>
      <c r="U50" s="107">
        <v>45</v>
      </c>
      <c r="V50" s="102" t="s">
        <v>186</v>
      </c>
      <c r="W50" s="103" t="s">
        <v>91</v>
      </c>
      <c r="X50" s="143">
        <v>117</v>
      </c>
      <c r="Y50" s="108">
        <v>6</v>
      </c>
      <c r="Z50" s="141">
        <v>4.7302513333333157E-2</v>
      </c>
      <c r="AA50" s="104">
        <v>0.75061422851694171</v>
      </c>
      <c r="AB50" s="142">
        <v>0</v>
      </c>
      <c r="AC50" s="106" t="s">
        <v>177</v>
      </c>
      <c r="AD50" s="202"/>
      <c r="AE50" s="195" t="s">
        <v>259</v>
      </c>
      <c r="AF50" s="195" t="str">
        <f t="shared" si="9"/>
        <v>Andre Ellington</v>
      </c>
      <c r="AG50" s="195" t="str">
        <f t="shared" si="7"/>
        <v>4</v>
      </c>
      <c r="AH50" s="195">
        <f t="shared" si="10"/>
        <v>31</v>
      </c>
      <c r="AI50" s="195">
        <f t="shared" si="8"/>
        <v>4</v>
      </c>
      <c r="AJ50" s="195">
        <f t="shared" si="7"/>
        <v>4.5813282849999997</v>
      </c>
      <c r="AK50" s="195">
        <f t="shared" si="7"/>
        <v>0.96011829109817359</v>
      </c>
      <c r="AL50" s="195">
        <f t="shared" si="7"/>
        <v>0.39403554253231787</v>
      </c>
      <c r="AM50" s="195" t="str">
        <f t="shared" si="7"/>
        <v>5</v>
      </c>
      <c r="AN50" s="153"/>
      <c r="AO50" s="153">
        <v>45</v>
      </c>
      <c r="AP50" s="153">
        <v>52</v>
      </c>
      <c r="AQ50" s="153">
        <f>AP50-AO50</f>
        <v>7</v>
      </c>
      <c r="AR50" s="86" t="s">
        <v>100</v>
      </c>
      <c r="AS50" s="153" t="str">
        <f>BH50&amp;" "&amp;BI50</f>
        <v>WR 18</v>
      </c>
      <c r="AT50" s="153">
        <f>IF(AU50&gt;8,1,IF(AU50&gt;6.4,2,IF(AU50&gt;6,3,IF(AU50&gt;5,4,IF(AU50&gt;3.5,5,IF(AU50&gt;2.5,6,IF(AU50&gt;1.5,7,IF(AU50&gt;0.5,8,IF(AU50&gt;-0.5,9,10)))))))))</f>
        <v>6</v>
      </c>
      <c r="AU50" s="169">
        <f>SUM(AV50,AZ50,BA50)</f>
        <v>2.9813283450000001</v>
      </c>
      <c r="AV50" s="169">
        <f>INDEX(AJ$6:AJ$182,MATCH($AR50,$AF$6:$AF$182,0))</f>
        <v>2.7813283449999999</v>
      </c>
      <c r="AW50" s="169">
        <f>INDEX(AK$6:AK$182,MATCH($AR50,$AF$6:$AF$182,0))</f>
        <v>0.70214494987043263</v>
      </c>
      <c r="AX50" s="168">
        <f>SUMIFS(AV51:AV$183,AV51:AV$183,"&gt;"&amp;0,$BH51:$BH$183,"="&amp;$BH50,$BK51:$BK$183,"="&amp;1)/SUMIFS(AV$6:AV$183,AV$6:AV$183,"&gt;"&amp;0,$BH$6:$BH$183,"="&amp;$BH50)</f>
        <v>0.29435934954085291</v>
      </c>
      <c r="AY50" s="168">
        <f>SUMIFS(AU51:AU$183,AU51:AU$183,"&gt;"&amp;0,BH51:BH$183,"="&amp;BH50,BK51:BK$183,"="&amp;1)/SUMIFS(AU$6:AU$183,AU$6:AU$183,"&gt;"&amp;0,BH$6:BH$183,"="&amp;BH50)</f>
        <v>0.28859729901685366</v>
      </c>
      <c r="AZ50" s="169">
        <f>IF(AW50&gt;Adjustments!$J$6,Adjustments!$L$6,IF(AW50&gt;Adjustments!$J$7,Adjustments!$L$7,IF(AW50&gt;Adjustments!$J$8,Adjustments!$L$8,IF(AW50&lt;Adjustments!$J$10,Adjustments!$L$10,IF(AW50&lt;Adjustments!$J$9,Adjustments!$L$9,0)))))</f>
        <v>0.2</v>
      </c>
      <c r="BA50" s="169">
        <f>INDEX(Adjustments!$C$4:$C$2520,MATCH(AR50,Adjustments!$B$4:$B$2520,0))</f>
        <v>0</v>
      </c>
      <c r="BB50" s="153" t="str">
        <f>INDEX(AG$6:AG$182,MATCH($AR50,$AF$6:$AF$182,0))</f>
        <v>4</v>
      </c>
      <c r="BC50" s="153">
        <f>INDEX(AH$6:AH$182,MATCH($AR50,$AF$6:$AF$182,0))</f>
        <v>60</v>
      </c>
      <c r="BD50" s="153">
        <f>INDEX(AI$6:AI$182,MATCH($AR50,$AF$6:$AF$182,0))</f>
        <v>8</v>
      </c>
      <c r="BE50" s="153">
        <f>BC50-AO50</f>
        <v>15</v>
      </c>
      <c r="BF50" s="153"/>
      <c r="BG50" s="153"/>
      <c r="BH50" s="195" t="str">
        <f>INDEX($AE$6:$AE$182,MATCH(AR50,$AF$6:$AF$182,0))</f>
        <v>WR</v>
      </c>
      <c r="BI50" s="195">
        <f>SUMIF($BH$6:BH50,BH50,$BK$6:BK50)</f>
        <v>18</v>
      </c>
      <c r="BJ50" s="194">
        <v>1</v>
      </c>
      <c r="BK50" s="194">
        <f t="shared" si="4"/>
        <v>1</v>
      </c>
      <c r="BL50" s="194" t="str">
        <f>IF('Real Time Draft Tool'!B50="y","y","")</f>
        <v/>
      </c>
      <c r="BM50" s="194" t="str">
        <f t="shared" si="5"/>
        <v>WR 18</v>
      </c>
    </row>
    <row r="51" spans="2:65" x14ac:dyDescent="0.25">
      <c r="B51" s="102" t="s">
        <v>179</v>
      </c>
      <c r="C51" s="103" t="s">
        <v>113</v>
      </c>
      <c r="D51" s="103">
        <v>128</v>
      </c>
      <c r="E51" s="140">
        <v>26</v>
      </c>
      <c r="F51" s="141">
        <v>0.41110012999999956</v>
      </c>
      <c r="G51" s="104">
        <v>1.0069502208514223</v>
      </c>
      <c r="H51" s="142">
        <v>1.4822854825501679E-2</v>
      </c>
      <c r="I51" s="106" t="s">
        <v>73</v>
      </c>
      <c r="J51" s="80"/>
      <c r="K51" s="101">
        <v>46</v>
      </c>
      <c r="L51" s="102" t="s">
        <v>188</v>
      </c>
      <c r="M51" s="103" t="s">
        <v>83</v>
      </c>
      <c r="N51" s="143">
        <v>167</v>
      </c>
      <c r="O51" s="108">
        <v>-7</v>
      </c>
      <c r="P51" s="141">
        <v>-2.8332130616666671</v>
      </c>
      <c r="Q51" s="105">
        <v>1.6330502828075415</v>
      </c>
      <c r="R51" s="142">
        <v>0</v>
      </c>
      <c r="S51" s="106" t="s">
        <v>120</v>
      </c>
      <c r="T51" s="80"/>
      <c r="U51" s="107">
        <v>46</v>
      </c>
      <c r="V51" s="102" t="s">
        <v>178</v>
      </c>
      <c r="W51" s="103" t="s">
        <v>130</v>
      </c>
      <c r="X51" s="143">
        <v>124</v>
      </c>
      <c r="Y51" s="108">
        <v>10</v>
      </c>
      <c r="Z51" s="141">
        <v>-3.6390175000000267E-2</v>
      </c>
      <c r="AA51" s="104">
        <v>1.1357100033619965</v>
      </c>
      <c r="AB51" s="142">
        <v>0</v>
      </c>
      <c r="AC51" s="106" t="s">
        <v>177</v>
      </c>
      <c r="AD51" s="202"/>
      <c r="AE51" s="195" t="s">
        <v>259</v>
      </c>
      <c r="AF51" s="195" t="str">
        <f t="shared" si="9"/>
        <v>Reggie Bush</v>
      </c>
      <c r="AG51" s="195" t="str">
        <f t="shared" si="7"/>
        <v>9</v>
      </c>
      <c r="AH51" s="195">
        <f t="shared" si="10"/>
        <v>32</v>
      </c>
      <c r="AI51" s="195">
        <f t="shared" si="8"/>
        <v>4</v>
      </c>
      <c r="AJ51" s="195">
        <f t="shared" si="7"/>
        <v>4.5098210033333341</v>
      </c>
      <c r="AK51" s="195">
        <f t="shared" si="7"/>
        <v>1.3416412730916076</v>
      </c>
      <c r="AL51" s="195">
        <f t="shared" si="7"/>
        <v>0.364450037849681</v>
      </c>
      <c r="AM51" s="195" t="str">
        <f t="shared" si="7"/>
        <v>5</v>
      </c>
      <c r="AN51" s="153"/>
      <c r="AO51" s="153">
        <v>46</v>
      </c>
      <c r="AP51" s="153">
        <v>49</v>
      </c>
      <c r="AQ51" s="153">
        <f>AP51-AO51</f>
        <v>3</v>
      </c>
      <c r="AR51" s="86" t="s">
        <v>42</v>
      </c>
      <c r="AS51" s="153" t="str">
        <f>BH51&amp;" "&amp;BI51</f>
        <v>QB 4</v>
      </c>
      <c r="AT51" s="153">
        <f>IF(AU51&gt;8,1,IF(AU51&gt;6.4,2,IF(AU51&gt;6,3,IF(AU51&gt;5,4,IF(AU51&gt;3.5,5,IF(AU51&gt;2.5,6,IF(AU51&gt;1.5,7,IF(AU51&gt;0.5,8,IF(AU51&gt;-0.5,9,10)))))))))</f>
        <v>6</v>
      </c>
      <c r="AU51" s="169">
        <f>SUM(AV51,AZ51,BA51)</f>
        <v>2.885890675000002</v>
      </c>
      <c r="AV51" s="169">
        <f>INDEX(AJ$6:AJ$182,MATCH($AR51,$AF$6:$AF$182,0))</f>
        <v>2.885890675000002</v>
      </c>
      <c r="AW51" s="169">
        <f>INDEX(AK$6:AK$182,MATCH($AR51,$AF$6:$AF$182,0))</f>
        <v>0.87234406253556374</v>
      </c>
      <c r="AX51" s="168">
        <f>SUMIFS(AV52:AV$183,AV52:AV$183,"&gt;"&amp;0,$BH52:$BH$183,"="&amp;$BH51,$BK52:$BK$183,"="&amp;1)/SUMIFS(AV$6:AV$183,AV$6:AV$183,"&gt;"&amp;0,$BH$6:$BH$183,"="&amp;$BH51)</f>
        <v>0.49724874529887764</v>
      </c>
      <c r="AY51" s="168">
        <f>SUMIFS(AU52:AU$183,AU52:AU$183,"&gt;"&amp;0,BH52:BH$183,"="&amp;BH51,BK52:BK$183,"="&amp;1)/SUMIFS(AU$6:AU$183,AU$6:AU$183,"&gt;"&amp;0,BH$6:BH$183,"="&amp;BH51)</f>
        <v>0.5176912294140833</v>
      </c>
      <c r="AZ51" s="169">
        <f>IF(AW51&gt;Adjustments!$J$6,Adjustments!$L$6,IF(AW51&gt;Adjustments!$J$7,Adjustments!$L$7,IF(AW51&gt;Adjustments!$J$8,Adjustments!$L$8,IF(AW51&lt;Adjustments!$J$10,Adjustments!$L$10,IF(AW51&lt;Adjustments!$J$9,Adjustments!$L$9,0)))))</f>
        <v>0</v>
      </c>
      <c r="BA51" s="169">
        <f>INDEX(Adjustments!$C$4:$C$2520,MATCH(AR51,Adjustments!$B$4:$B$2520,0))</f>
        <v>0</v>
      </c>
      <c r="BB51" s="153" t="str">
        <f>INDEX(AG$6:AG$182,MATCH($AR51,$AF$6:$AF$182,0))</f>
        <v>10</v>
      </c>
      <c r="BC51" s="153">
        <f>INDEX(AH$6:AH$182,MATCH($AR51,$AF$6:$AF$182,0))</f>
        <v>53</v>
      </c>
      <c r="BD51" s="153">
        <f>INDEX(AI$6:AI$182,MATCH($AR51,$AF$6:$AF$182,0))</f>
        <v>4</v>
      </c>
      <c r="BE51" s="153">
        <f>BC51-AO51</f>
        <v>7</v>
      </c>
      <c r="BF51" s="153"/>
      <c r="BG51" s="153"/>
      <c r="BH51" s="195" t="str">
        <f>INDEX($AE$6:$AE$182,MATCH(AR51,$AF$6:$AF$182,0))</f>
        <v>QB</v>
      </c>
      <c r="BI51" s="195">
        <f>SUMIF($BH$6:BH51,BH51,$BK$6:BK51)</f>
        <v>4</v>
      </c>
      <c r="BJ51" s="194">
        <v>1</v>
      </c>
      <c r="BK51" s="194">
        <f t="shared" si="4"/>
        <v>1</v>
      </c>
      <c r="BL51" s="194" t="str">
        <f>IF('Real Time Draft Tool'!B51="y","y","")</f>
        <v/>
      </c>
      <c r="BM51" s="194" t="str">
        <f t="shared" si="5"/>
        <v>QB 4</v>
      </c>
    </row>
    <row r="52" spans="2:65" x14ac:dyDescent="0.25">
      <c r="B52" s="102" t="s">
        <v>187</v>
      </c>
      <c r="C52" s="103" t="s">
        <v>91</v>
      </c>
      <c r="D52" s="103">
        <v>119</v>
      </c>
      <c r="E52" s="140">
        <v>14</v>
      </c>
      <c r="F52" s="141">
        <v>0.2942397033333331</v>
      </c>
      <c r="G52" s="104">
        <v>0.49766989007162327</v>
      </c>
      <c r="H52" s="142">
        <v>4.6829763380996101E-3</v>
      </c>
      <c r="I52" s="106" t="s">
        <v>73</v>
      </c>
      <c r="J52" s="80"/>
      <c r="K52" s="101">
        <v>47</v>
      </c>
      <c r="L52" s="102" t="s">
        <v>176</v>
      </c>
      <c r="M52" s="103" t="s">
        <v>113</v>
      </c>
      <c r="N52" s="143" t="s">
        <v>236</v>
      </c>
      <c r="O52" s="108" t="s">
        <v>236</v>
      </c>
      <c r="P52" s="141">
        <v>-2.9276972866666662</v>
      </c>
      <c r="Q52" s="105">
        <v>1.1476991502002036</v>
      </c>
      <c r="R52" s="142">
        <v>0</v>
      </c>
      <c r="S52" s="106" t="s">
        <v>120</v>
      </c>
      <c r="T52" s="80"/>
      <c r="U52" s="107">
        <v>47</v>
      </c>
      <c r="V52" s="102" t="s">
        <v>182</v>
      </c>
      <c r="W52" s="103" t="s">
        <v>73</v>
      </c>
      <c r="X52" s="143">
        <v>149</v>
      </c>
      <c r="Y52" s="108">
        <v>33</v>
      </c>
      <c r="Z52" s="141">
        <v>-7.1056831666666459E-2</v>
      </c>
      <c r="AA52" s="104">
        <v>1.0640842291728534</v>
      </c>
      <c r="AB52" s="142">
        <v>0</v>
      </c>
      <c r="AC52" s="106" t="s">
        <v>91</v>
      </c>
      <c r="AD52" s="202"/>
      <c r="AE52" s="195" t="s">
        <v>259</v>
      </c>
      <c r="AF52" s="195" t="str">
        <f t="shared" si="9"/>
        <v>Zac Stacy</v>
      </c>
      <c r="AG52" s="195" t="str">
        <f t="shared" si="7"/>
        <v>4</v>
      </c>
      <c r="AH52" s="195">
        <f t="shared" si="10"/>
        <v>30</v>
      </c>
      <c r="AI52" s="195">
        <f t="shared" si="8"/>
        <v>0</v>
      </c>
      <c r="AJ52" s="195">
        <f t="shared" si="7"/>
        <v>4.3626845150000007</v>
      </c>
      <c r="AK52" s="195">
        <f t="shared" si="7"/>
        <v>0.99004243852916352</v>
      </c>
      <c r="AL52" s="195">
        <f t="shared" si="7"/>
        <v>0.33582978373050437</v>
      </c>
      <c r="AM52" s="195" t="str">
        <f t="shared" si="7"/>
        <v>5</v>
      </c>
      <c r="AN52" s="153"/>
      <c r="AO52" s="153">
        <v>47</v>
      </c>
      <c r="AP52" s="153">
        <v>45</v>
      </c>
      <c r="AQ52" s="153">
        <f>AP52-AO52</f>
        <v>-2</v>
      </c>
      <c r="AR52" s="153" t="s">
        <v>93</v>
      </c>
      <c r="AS52" s="153" t="str">
        <f>BH52&amp;" "&amp;BI52</f>
        <v>WR 19</v>
      </c>
      <c r="AT52" s="153">
        <f>IF(AU52&gt;8,1,IF(AU52&gt;6.4,2,IF(AU52&gt;6,3,IF(AU52&gt;5,4,IF(AU52&gt;3.5,5,IF(AU52&gt;2.5,6,IF(AU52&gt;1.5,7,IF(AU52&gt;0.5,8,IF(AU52&gt;-0.5,9,10)))))))))</f>
        <v>6</v>
      </c>
      <c r="AU52" s="169">
        <f>SUM(AV52,AZ52,BA52)</f>
        <v>2.7965210933333338</v>
      </c>
      <c r="AV52" s="169">
        <f>INDEX(AJ$6:AJ$182,MATCH($AR52,$AF$6:$AF$182,0))</f>
        <v>3.0965210933333336</v>
      </c>
      <c r="AW52" s="169">
        <f>INDEX(AK$6:AK$182,MATCH($AR52,$AF$6:$AF$182,0))</f>
        <v>1.4709088387886291</v>
      </c>
      <c r="AX52" s="168">
        <f>SUMIFS(AV53:AV$183,AV53:AV$183,"&gt;"&amp;0,$BH53:$BH$183,"="&amp;$BH52,$BK53:$BK$183,"="&amp;1)/SUMIFS(AV$6:AV$183,AV$6:AV$183,"&gt;"&amp;0,$BH$6:$BH$183,"="&amp;$BH52)</f>
        <v>0.27117171149779584</v>
      </c>
      <c r="AY52" s="168">
        <f>SUMIFS(AU53:AU$183,AU53:AU$183,"&gt;"&amp;0,BH53:BH$183,"="&amp;BH52,BK53:BK$183,"="&amp;1)/SUMIFS(AU$6:AU$183,AU$6:AU$183,"&gt;"&amp;0,BH$6:BH$183,"="&amp;BH52)</f>
        <v>0.26793465703587194</v>
      </c>
      <c r="AZ52" s="169">
        <f>IF(AW52&gt;Adjustments!$J$6,Adjustments!$L$6,IF(AW52&gt;Adjustments!$J$7,Adjustments!$L$7,IF(AW52&gt;Adjustments!$J$8,Adjustments!$L$8,IF(AW52&lt;Adjustments!$J$10,Adjustments!$L$10,IF(AW52&lt;Adjustments!$J$9,Adjustments!$L$9,0)))))</f>
        <v>-0.3</v>
      </c>
      <c r="BA52" s="169">
        <f>INDEX(Adjustments!$C$4:$C$2520,MATCH(AR52,Adjustments!$B$4:$B$2520,0))</f>
        <v>0</v>
      </c>
      <c r="BB52" s="153" t="str">
        <f>INDEX(AG$6:AG$182,MATCH($AR52,$AF$6:$AF$182,0))</f>
        <v>8</v>
      </c>
      <c r="BC52" s="153">
        <f>INDEX(AH$6:AH$182,MATCH($AR52,$AF$6:$AF$182,0))</f>
        <v>46</v>
      </c>
      <c r="BD52" s="153">
        <f>INDEX(AI$6:AI$182,MATCH($AR52,$AF$6:$AF$182,0))</f>
        <v>1</v>
      </c>
      <c r="BE52" s="153">
        <f>BC52-AO52</f>
        <v>-1</v>
      </c>
      <c r="BF52" s="153"/>
      <c r="BG52" s="153"/>
      <c r="BH52" s="195" t="str">
        <f>INDEX($AE$6:$AE$182,MATCH(AR52,$AF$6:$AF$182,0))</f>
        <v>WR</v>
      </c>
      <c r="BI52" s="195">
        <f>SUMIF($BH$6:BH52,BH52,$BK$6:BK52)</f>
        <v>19</v>
      </c>
      <c r="BJ52" s="194">
        <v>1</v>
      </c>
      <c r="BK52" s="194">
        <f t="shared" si="4"/>
        <v>1</v>
      </c>
      <c r="BL52" s="194" t="str">
        <f>IF('Real Time Draft Tool'!B52="y","y","")</f>
        <v/>
      </c>
      <c r="BM52" s="194" t="str">
        <f t="shared" si="5"/>
        <v>WR 19</v>
      </c>
    </row>
    <row r="53" spans="2:65" x14ac:dyDescent="0.25">
      <c r="B53" s="102" t="s">
        <v>190</v>
      </c>
      <c r="C53" s="103" t="s">
        <v>73</v>
      </c>
      <c r="D53" s="103">
        <v>142</v>
      </c>
      <c r="E53" s="140">
        <v>33</v>
      </c>
      <c r="F53" s="141">
        <v>0.11451368166666612</v>
      </c>
      <c r="G53" s="104">
        <v>1.0455946214608194</v>
      </c>
      <c r="H53" s="142">
        <v>7.366876350770944E-4</v>
      </c>
      <c r="I53" s="106" t="s">
        <v>73</v>
      </c>
      <c r="J53" s="80"/>
      <c r="K53" s="101">
        <v>48</v>
      </c>
      <c r="L53" s="102" t="s">
        <v>207</v>
      </c>
      <c r="M53" s="103" t="s">
        <v>113</v>
      </c>
      <c r="N53" s="143" t="s">
        <v>236</v>
      </c>
      <c r="O53" s="108" t="s">
        <v>236</v>
      </c>
      <c r="P53" s="141">
        <v>-2.9920151550000007</v>
      </c>
      <c r="Q53" s="105">
        <v>1.4739883915750041</v>
      </c>
      <c r="R53" s="142">
        <v>0</v>
      </c>
      <c r="S53" s="106" t="s">
        <v>113</v>
      </c>
      <c r="T53" s="80"/>
      <c r="U53" s="107">
        <v>48</v>
      </c>
      <c r="V53" s="102" t="s">
        <v>171</v>
      </c>
      <c r="W53" s="103" t="s">
        <v>130</v>
      </c>
      <c r="X53" s="143">
        <v>121</v>
      </c>
      <c r="Y53" s="108">
        <v>4</v>
      </c>
      <c r="Z53" s="141">
        <v>-0.16314015500000012</v>
      </c>
      <c r="AA53" s="104">
        <v>1.11729696591012</v>
      </c>
      <c r="AB53" s="142">
        <v>0</v>
      </c>
      <c r="AC53" s="106" t="s">
        <v>105</v>
      </c>
      <c r="AD53" s="202"/>
      <c r="AE53" s="195" t="s">
        <v>259</v>
      </c>
      <c r="AF53" s="195" t="str">
        <f t="shared" si="9"/>
        <v>Toby Gerhart</v>
      </c>
      <c r="AG53" s="195" t="str">
        <f t="shared" si="7"/>
        <v>11</v>
      </c>
      <c r="AH53" s="195">
        <f t="shared" si="10"/>
        <v>47</v>
      </c>
      <c r="AI53" s="195">
        <f t="shared" si="8"/>
        <v>12</v>
      </c>
      <c r="AJ53" s="195">
        <f t="shared" si="7"/>
        <v>3.9248230966666666</v>
      </c>
      <c r="AK53" s="195">
        <f t="shared" si="7"/>
        <v>1.1981856933912791</v>
      </c>
      <c r="AL53" s="195">
        <f t="shared" si="7"/>
        <v>0.31008200526676322</v>
      </c>
      <c r="AM53" s="195" t="str">
        <f t="shared" si="7"/>
        <v>5-</v>
      </c>
      <c r="AN53" s="153"/>
      <c r="AO53" s="153">
        <v>48</v>
      </c>
      <c r="AP53" s="153">
        <v>46</v>
      </c>
      <c r="AQ53" s="153">
        <f>AP53-AO53</f>
        <v>-2</v>
      </c>
      <c r="AR53" s="153" t="s">
        <v>89</v>
      </c>
      <c r="AS53" s="153" t="str">
        <f>BH53&amp;" "&amp;BI53</f>
        <v>WR 20</v>
      </c>
      <c r="AT53" s="153">
        <f>IF(AU53&gt;8,1,IF(AU53&gt;6.4,2,IF(AU53&gt;6,3,IF(AU53&gt;5,4,IF(AU53&gt;3.5,5,IF(AU53&gt;2.5,6,IF(AU53&gt;1.5,7,IF(AU53&gt;0.5,8,IF(AU53&gt;-0.5,9,10)))))))))</f>
        <v>6</v>
      </c>
      <c r="AU53" s="169">
        <f>SUM(AV53,AZ53,BA53)</f>
        <v>2.7918335133333336</v>
      </c>
      <c r="AV53" s="169">
        <f>INDEX(AJ$6:AJ$182,MATCH($AR53,$AF$6:$AF$182,0))</f>
        <v>3.0918335133333334</v>
      </c>
      <c r="AW53" s="169">
        <f>INDEX(AK$6:AK$182,MATCH($AR53,$AF$6:$AF$182,0))</f>
        <v>1.3120561125288195</v>
      </c>
      <c r="AX53" s="168">
        <f>SUMIFS(AV54:AV$183,AV54:AV$183,"&gt;"&amp;0,$BH54:$BH$183,"="&amp;$BH53,$BK54:$BK$183,"="&amp;1)/SUMIFS(AV$6:AV$183,AV$6:AV$183,"&gt;"&amp;0,$BH$6:$BH$183,"="&amp;$BH53)</f>
        <v>0.24801917539819784</v>
      </c>
      <c r="AY53" s="168">
        <f>SUMIFS(AU54:AU$183,AU54:AU$183,"&gt;"&amp;0,BH54:BH$183,"="&amp;BH53,BK54:BK$183,"="&amp;1)/SUMIFS(AU$6:AU$183,AU$6:AU$183,"&gt;"&amp;0,BH$6:BH$183,"="&amp;BH53)</f>
        <v>0.24730665015473924</v>
      </c>
      <c r="AZ53" s="169">
        <f>IF(AW53&gt;Adjustments!$J$6,Adjustments!$L$6,IF(AW53&gt;Adjustments!$J$7,Adjustments!$L$7,IF(AW53&gt;Adjustments!$J$8,Adjustments!$L$8,IF(AW53&lt;Adjustments!$J$10,Adjustments!$L$10,IF(AW53&lt;Adjustments!$J$9,Adjustments!$L$9,0)))))</f>
        <v>-0.3</v>
      </c>
      <c r="BA53" s="169">
        <f>INDEX(Adjustments!$C$4:$C$2520,MATCH(AR53,Adjustments!$B$4:$B$2520,0))</f>
        <v>0</v>
      </c>
      <c r="BB53" s="153" t="str">
        <f>INDEX(AG$6:AG$182,MATCH($AR53,$AF$6:$AF$182,0))</f>
        <v>4</v>
      </c>
      <c r="BC53" s="153">
        <f>INDEX(AH$6:AH$182,MATCH($AR53,$AF$6:$AF$182,0))</f>
        <v>41</v>
      </c>
      <c r="BD53" s="153">
        <f>INDEX(AI$6:AI$182,MATCH($AR53,$AF$6:$AF$182,0))</f>
        <v>-5</v>
      </c>
      <c r="BE53" s="153">
        <f>BC53-AO53</f>
        <v>-7</v>
      </c>
      <c r="BF53" s="153"/>
      <c r="BG53" s="153"/>
      <c r="BH53" s="195" t="str">
        <f>INDEX($AE$6:$AE$182,MATCH(AR53,$AF$6:$AF$182,0))</f>
        <v>WR</v>
      </c>
      <c r="BI53" s="195">
        <f>SUMIF($BH$6:BH53,BH53,$BK$6:BK53)</f>
        <v>20</v>
      </c>
      <c r="BJ53" s="194">
        <v>1</v>
      </c>
      <c r="BK53" s="194">
        <f t="shared" si="4"/>
        <v>1</v>
      </c>
      <c r="BL53" s="194" t="str">
        <f>IF('Real Time Draft Tool'!B53="y","y","")</f>
        <v/>
      </c>
      <c r="BM53" s="194" t="str">
        <f t="shared" si="5"/>
        <v>WR 20</v>
      </c>
    </row>
    <row r="54" spans="2:65" x14ac:dyDescent="0.25">
      <c r="B54" s="102" t="s">
        <v>184</v>
      </c>
      <c r="C54" s="103" t="s">
        <v>163</v>
      </c>
      <c r="D54" s="103">
        <v>156</v>
      </c>
      <c r="E54" s="140">
        <v>44</v>
      </c>
      <c r="F54" s="141">
        <v>2.137725333333303E-2</v>
      </c>
      <c r="G54" s="104">
        <v>0.44731186439592241</v>
      </c>
      <c r="H54" s="142">
        <v>0</v>
      </c>
      <c r="I54" s="106" t="s">
        <v>73</v>
      </c>
      <c r="J54" s="80"/>
      <c r="K54" s="101">
        <v>49</v>
      </c>
      <c r="L54" s="102" t="s">
        <v>180</v>
      </c>
      <c r="M54" s="103" t="s">
        <v>130</v>
      </c>
      <c r="N54" s="143">
        <v>172</v>
      </c>
      <c r="O54" s="108">
        <v>-10</v>
      </c>
      <c r="P54" s="141">
        <v>-3.0538379216666667</v>
      </c>
      <c r="Q54" s="105">
        <v>1.2934441756615525</v>
      </c>
      <c r="R54" s="142">
        <v>0</v>
      </c>
      <c r="S54" s="106" t="s">
        <v>230</v>
      </c>
      <c r="T54" s="80"/>
      <c r="U54" s="107">
        <v>49</v>
      </c>
      <c r="V54" s="102" t="s">
        <v>195</v>
      </c>
      <c r="W54" s="103" t="s">
        <v>58</v>
      </c>
      <c r="X54" s="143">
        <v>181</v>
      </c>
      <c r="Y54" s="108">
        <v>61</v>
      </c>
      <c r="Z54" s="141">
        <v>-0.44824940000000008</v>
      </c>
      <c r="AA54" s="104">
        <v>0.40765381926781474</v>
      </c>
      <c r="AB54" s="142">
        <v>0</v>
      </c>
      <c r="AC54" s="106" t="s">
        <v>105</v>
      </c>
      <c r="AD54" s="202"/>
      <c r="AE54" s="195" t="s">
        <v>259</v>
      </c>
      <c r="AF54" s="195" t="str">
        <f t="shared" si="9"/>
        <v>Alfred Morris</v>
      </c>
      <c r="AG54" s="195" t="str">
        <f t="shared" si="9"/>
        <v>10</v>
      </c>
      <c r="AH54" s="195">
        <f t="shared" si="10"/>
        <v>28</v>
      </c>
      <c r="AI54" s="195">
        <f t="shared" si="8"/>
        <v>-8</v>
      </c>
      <c r="AJ54" s="195">
        <f t="shared" ref="AJ54:AM97" si="11">P22</f>
        <v>3.7724272333333331</v>
      </c>
      <c r="AK54" s="195">
        <f t="shared" si="11"/>
        <v>0.9087930814758941</v>
      </c>
      <c r="AL54" s="195">
        <f t="shared" si="11"/>
        <v>0.28533398012470174</v>
      </c>
      <c r="AM54" s="195" t="str">
        <f t="shared" si="11"/>
        <v>5</v>
      </c>
      <c r="AN54" s="153"/>
      <c r="AO54" s="153">
        <v>49</v>
      </c>
      <c r="AP54" s="153">
        <v>48</v>
      </c>
      <c r="AQ54" s="153">
        <f>AP54-AO54</f>
        <v>-1</v>
      </c>
      <c r="AR54" s="86" t="s">
        <v>114</v>
      </c>
      <c r="AS54" s="153" t="str">
        <f>BH54&amp;" "&amp;BI54</f>
        <v>RB 22</v>
      </c>
      <c r="AT54" s="153">
        <f>IF(AU54&gt;8,1,IF(AU54&gt;6.4,2,IF(AU54&gt;6,3,IF(AU54&gt;5,4,IF(AU54&gt;3.5,5,IF(AU54&gt;2.5,6,IF(AU54&gt;1.5,7,IF(AU54&gt;0.5,8,IF(AU54&gt;-0.5,9,10)))))))))</f>
        <v>6</v>
      </c>
      <c r="AU54" s="169">
        <f>SUM(AV54,AZ54,BA54)</f>
        <v>2.7913741983333331</v>
      </c>
      <c r="AV54" s="169">
        <f>INDEX(AJ$6:AJ$182,MATCH($AR54,$AF$6:$AF$182,0))</f>
        <v>2.941374198333333</v>
      </c>
      <c r="AW54" s="169">
        <f>INDEX(AK$6:AK$182,MATCH($AR54,$AF$6:$AF$182,0))</f>
        <v>1.1533726260414119</v>
      </c>
      <c r="AX54" s="168">
        <f>SUMIFS(AV55:AV$183,AV55:AV$183,"&gt;"&amp;0,$BH55:$BH$183,"="&amp;$BH54,$BK55:$BK$183,"="&amp;1)/SUMIFS(AV$6:AV$183,AV$6:AV$183,"&gt;"&amp;0,$BH$6:$BH$183,"="&amp;$BH54)</f>
        <v>0.17599519493144661</v>
      </c>
      <c r="AY54" s="168">
        <f>SUMIFS(AU55:AU$183,AU55:AU$183,"&gt;"&amp;0,BH55:BH$183,"="&amp;BH54,BK55:BK$183,"="&amp;1)/SUMIFS(AU$6:AU$183,AU$6:AU$183,"&gt;"&amp;0,BH$6:BH$183,"="&amp;BH54)</f>
        <v>0.15921320417006293</v>
      </c>
      <c r="AZ54" s="169">
        <f>IF(AW54&gt;Adjustments!$J$6,Adjustments!$L$6,IF(AW54&gt;Adjustments!$J$7,Adjustments!$L$7,IF(AW54&gt;Adjustments!$J$8,Adjustments!$L$8,IF(AW54&lt;Adjustments!$J$10,Adjustments!$L$10,IF(AW54&lt;Adjustments!$J$9,Adjustments!$L$9,0)))))</f>
        <v>-0.15</v>
      </c>
      <c r="BA54" s="169">
        <f>INDEX(Adjustments!$C$4:$C$2520,MATCH(AR54,Adjustments!$B$4:$B$2520,0))</f>
        <v>0</v>
      </c>
      <c r="BB54" s="153" t="str">
        <f>INDEX(AG$6:AG$182,MATCH($AR54,$AF$6:$AF$182,0))</f>
        <v>11</v>
      </c>
      <c r="BC54" s="153">
        <f>INDEX(AH$6:AH$182,MATCH($AR54,$AF$6:$AF$182,0))</f>
        <v>57</v>
      </c>
      <c r="BD54" s="153">
        <f>INDEX(AI$6:AI$182,MATCH($AR54,$AF$6:$AF$182,0))</f>
        <v>9</v>
      </c>
      <c r="BE54" s="153">
        <f>BC54-AO54</f>
        <v>8</v>
      </c>
      <c r="BF54" s="153"/>
      <c r="BG54" s="153"/>
      <c r="BH54" s="195" t="str">
        <f>INDEX($AE$6:$AE$182,MATCH(AR54,$AF$6:$AF$182,0))</f>
        <v>RB</v>
      </c>
      <c r="BI54" s="195">
        <f>SUMIF($BH$6:BH54,BH54,$BK$6:BK54)</f>
        <v>22</v>
      </c>
      <c r="BJ54" s="194">
        <v>1</v>
      </c>
      <c r="BK54" s="194">
        <f t="shared" si="4"/>
        <v>1</v>
      </c>
      <c r="BL54" s="194" t="str">
        <f>IF('Real Time Draft Tool'!B54="y","y","")</f>
        <v/>
      </c>
      <c r="BM54" s="194" t="str">
        <f t="shared" si="5"/>
        <v>RB 22</v>
      </c>
    </row>
    <row r="55" spans="2:65" x14ac:dyDescent="0.25">
      <c r="B55" s="102" t="s">
        <v>193</v>
      </c>
      <c r="C55" s="103" t="s">
        <v>130</v>
      </c>
      <c r="D55" s="103">
        <v>152</v>
      </c>
      <c r="E55" s="140">
        <v>39</v>
      </c>
      <c r="F55" s="141">
        <v>-2.7234215000000367E-2</v>
      </c>
      <c r="G55" s="104">
        <v>0.7280573525564491</v>
      </c>
      <c r="H55" s="142">
        <v>0</v>
      </c>
      <c r="I55" s="106" t="s">
        <v>73</v>
      </c>
      <c r="J55" s="80"/>
      <c r="K55" s="101">
        <v>50</v>
      </c>
      <c r="L55" s="102" t="s">
        <v>194</v>
      </c>
      <c r="M55" s="103" t="s">
        <v>130</v>
      </c>
      <c r="N55" s="143">
        <v>150</v>
      </c>
      <c r="O55" s="108">
        <v>-35</v>
      </c>
      <c r="P55" s="141">
        <v>-3.0876713350000005</v>
      </c>
      <c r="Q55" s="105">
        <v>1.2949294412829135</v>
      </c>
      <c r="R55" s="142">
        <v>0</v>
      </c>
      <c r="S55" s="106" t="s">
        <v>113</v>
      </c>
      <c r="T55" s="80"/>
      <c r="U55" s="107">
        <v>50</v>
      </c>
      <c r="V55" s="102" t="s">
        <v>192</v>
      </c>
      <c r="W55" s="103" t="s">
        <v>83</v>
      </c>
      <c r="X55" s="143">
        <v>108</v>
      </c>
      <c r="Y55" s="108">
        <v>-13</v>
      </c>
      <c r="Z55" s="141">
        <v>-0.47763489666666675</v>
      </c>
      <c r="AA55" s="104">
        <v>1.4704983669915488</v>
      </c>
      <c r="AB55" s="142">
        <v>0</v>
      </c>
      <c r="AC55" s="106" t="s">
        <v>105</v>
      </c>
      <c r="AD55" s="202"/>
      <c r="AE55" s="195" t="s">
        <v>259</v>
      </c>
      <c r="AF55" s="195" t="str">
        <f t="shared" si="9"/>
        <v>C.J. Spiller</v>
      </c>
      <c r="AG55" s="195" t="str">
        <f t="shared" si="9"/>
        <v>9</v>
      </c>
      <c r="AH55" s="195">
        <f t="shared" si="10"/>
        <v>34</v>
      </c>
      <c r="AI55" s="195">
        <f t="shared" si="8"/>
        <v>-3</v>
      </c>
      <c r="AJ55" s="195">
        <f t="shared" si="11"/>
        <v>3.7653411090909095</v>
      </c>
      <c r="AK55" s="195">
        <f t="shared" si="11"/>
        <v>0.9793028596451121</v>
      </c>
      <c r="AL55" s="195">
        <f t="shared" si="11"/>
        <v>0.26063244165290955</v>
      </c>
      <c r="AM55" s="195" t="str">
        <f t="shared" si="11"/>
        <v>5+</v>
      </c>
      <c r="AN55" s="153"/>
      <c r="AO55" s="153">
        <v>50</v>
      </c>
      <c r="AP55" s="153">
        <v>51</v>
      </c>
      <c r="AQ55" s="153">
        <f>AP55-AO55</f>
        <v>1</v>
      </c>
      <c r="AR55" s="86" t="s">
        <v>84</v>
      </c>
      <c r="AS55" s="153" t="str">
        <f>BH55&amp;" "&amp;BI55</f>
        <v>RB 23</v>
      </c>
      <c r="AT55" s="153">
        <f>IF(AU55&gt;8,1,IF(AU55&gt;6.4,2,IF(AU55&gt;6,3,IF(AU55&gt;5,4,IF(AU55&gt;3.5,5,IF(AU55&gt;2.5,6,IF(AU55&gt;1.5,7,IF(AU55&gt;0.5,8,IF(AU55&gt;-0.5,9,10)))))))))</f>
        <v>6</v>
      </c>
      <c r="AU55" s="169">
        <f>SUM(AV55,AZ55,BA55)</f>
        <v>2.7026513316666669</v>
      </c>
      <c r="AV55" s="169">
        <f>INDEX(AJ$6:AJ$182,MATCH($AR55,$AF$6:$AF$182,0))</f>
        <v>2.8526513316666668</v>
      </c>
      <c r="AW55" s="169">
        <f>INDEX(AK$6:AK$182,MATCH($AR55,$AF$6:$AF$182,0))</f>
        <v>1.0631225600749401</v>
      </c>
      <c r="AX55" s="168">
        <f>SUMIFS(AV56:AV$183,AV56:AV$183,"&gt;"&amp;0,$BH56:$BH$183,"="&amp;$BH55,$BK56:$BK$183,"="&amp;1)/SUMIFS(AV$6:AV$183,AV$6:AV$183,"&gt;"&amp;0,$BH$6:$BH$183,"="&amp;$BH55)</f>
        <v>0.15728111974563008</v>
      </c>
      <c r="AY55" s="168">
        <f>SUMIFS(AU56:AU$183,AU56:AU$183,"&gt;"&amp;0,BH56:BH$183,"="&amp;BH55,BK56:BK$183,"="&amp;1)/SUMIFS(AU$6:AU$183,AU$6:AU$183,"&gt;"&amp;0,BH$6:BH$183,"="&amp;BH55)</f>
        <v>0.14052699399833887</v>
      </c>
      <c r="AZ55" s="169">
        <f>IF(AW55&gt;Adjustments!$J$6,Adjustments!$L$6,IF(AW55&gt;Adjustments!$J$7,Adjustments!$L$7,IF(AW55&gt;Adjustments!$J$8,Adjustments!$L$8,IF(AW55&lt;Adjustments!$J$10,Adjustments!$L$10,IF(AW55&lt;Adjustments!$J$9,Adjustments!$L$9,0)))))</f>
        <v>-0.15</v>
      </c>
      <c r="BA55" s="169">
        <f>INDEX(Adjustments!$C$4:$C$2520,MATCH(AR55,Adjustments!$B$4:$B$2520,0))</f>
        <v>0</v>
      </c>
      <c r="BB55" s="153" t="str">
        <f>INDEX(AG$6:AG$182,MATCH($AR55,$AF$6:$AF$182,0))</f>
        <v>10</v>
      </c>
      <c r="BC55" s="153">
        <f>INDEX(AH$6:AH$182,MATCH($AR55,$AF$6:$AF$182,0))</f>
        <v>49</v>
      </c>
      <c r="BD55" s="153">
        <f>INDEX(AI$6:AI$182,MATCH($AR55,$AF$6:$AF$182,0))</f>
        <v>-2</v>
      </c>
      <c r="BE55" s="153">
        <f>BC55-AO55</f>
        <v>-1</v>
      </c>
      <c r="BF55" s="153"/>
      <c r="BG55" s="153"/>
      <c r="BH55" s="195" t="str">
        <f>INDEX($AE$6:$AE$182,MATCH(AR55,$AF$6:$AF$182,0))</f>
        <v>RB</v>
      </c>
      <c r="BI55" s="195">
        <f>SUMIF($BH$6:BH55,BH55,$BK$6:BK55)</f>
        <v>23</v>
      </c>
      <c r="BJ55" s="194">
        <v>1</v>
      </c>
      <c r="BK55" s="194">
        <f t="shared" si="4"/>
        <v>1</v>
      </c>
      <c r="BL55" s="194" t="str">
        <f>IF('Real Time Draft Tool'!B55="y","y","")</f>
        <v/>
      </c>
      <c r="BM55" s="194" t="str">
        <f t="shared" si="5"/>
        <v>RB 23</v>
      </c>
    </row>
    <row r="56" spans="2:65" x14ac:dyDescent="0.25">
      <c r="B56" s="102" t="s">
        <v>196</v>
      </c>
      <c r="C56" s="103" t="s">
        <v>113</v>
      </c>
      <c r="D56" s="103">
        <v>176</v>
      </c>
      <c r="E56" s="140">
        <v>61</v>
      </c>
      <c r="F56" s="141">
        <v>-5.5395683333333758E-2</v>
      </c>
      <c r="G56" s="104">
        <v>0.7414236570944055</v>
      </c>
      <c r="H56" s="142">
        <v>0</v>
      </c>
      <c r="I56" s="106" t="s">
        <v>73</v>
      </c>
      <c r="J56" s="80"/>
      <c r="K56" s="101">
        <v>51</v>
      </c>
      <c r="L56" s="102" t="s">
        <v>216</v>
      </c>
      <c r="M56" s="103" t="s">
        <v>58</v>
      </c>
      <c r="N56" s="143">
        <v>180</v>
      </c>
      <c r="O56" s="108">
        <v>-7</v>
      </c>
      <c r="P56" s="141">
        <v>-3.1324995000000002</v>
      </c>
      <c r="Q56" s="105">
        <v>1.2313603306461061</v>
      </c>
      <c r="R56" s="142">
        <v>0</v>
      </c>
      <c r="S56" s="106" t="s">
        <v>120</v>
      </c>
      <c r="T56" s="80"/>
      <c r="U56" s="107">
        <v>51</v>
      </c>
      <c r="V56" s="102" t="s">
        <v>198</v>
      </c>
      <c r="W56" s="103" t="s">
        <v>58</v>
      </c>
      <c r="X56" s="143">
        <v>122</v>
      </c>
      <c r="Y56" s="108">
        <v>-1</v>
      </c>
      <c r="Z56" s="141">
        <v>-0.60876524500000018</v>
      </c>
      <c r="AA56" s="104">
        <v>1.1803977577774587</v>
      </c>
      <c r="AB56" s="142">
        <v>0</v>
      </c>
      <c r="AC56" s="106" t="s">
        <v>98</v>
      </c>
      <c r="AD56" s="202"/>
      <c r="AE56" s="195" t="s">
        <v>259</v>
      </c>
      <c r="AF56" s="195" t="str">
        <f t="shared" si="9"/>
        <v>Ryan Mathews</v>
      </c>
      <c r="AG56" s="195" t="str">
        <f t="shared" si="9"/>
        <v>10</v>
      </c>
      <c r="AH56" s="195">
        <f t="shared" si="10"/>
        <v>43</v>
      </c>
      <c r="AI56" s="195">
        <f t="shared" si="8"/>
        <v>1</v>
      </c>
      <c r="AJ56" s="195">
        <f t="shared" si="11"/>
        <v>3.4694397733333329</v>
      </c>
      <c r="AK56" s="195">
        <f t="shared" si="11"/>
        <v>1.1130637854107908</v>
      </c>
      <c r="AL56" s="195">
        <f t="shared" si="11"/>
        <v>0.23787208673323265</v>
      </c>
      <c r="AM56" s="195" t="str">
        <f t="shared" si="11"/>
        <v>5</v>
      </c>
      <c r="AN56" s="153"/>
      <c r="AO56" s="153">
        <v>51</v>
      </c>
      <c r="AP56" s="153">
        <v>47</v>
      </c>
      <c r="AQ56" s="153">
        <f>AP56-AO56</f>
        <v>-4</v>
      </c>
      <c r="AR56" s="86" t="s">
        <v>117</v>
      </c>
      <c r="AS56" s="153" t="str">
        <f>BH56&amp;" "&amp;BI56</f>
        <v>RB 24</v>
      </c>
      <c r="AT56" s="153">
        <f>IF(AU56&gt;8,1,IF(AU56&gt;6.4,2,IF(AU56&gt;6,3,IF(AU56&gt;5,4,IF(AU56&gt;3.5,5,IF(AU56&gt;2.5,6,IF(AU56&gt;1.5,7,IF(AU56&gt;0.5,8,IF(AU56&gt;-0.5,9,10)))))))))</f>
        <v>6</v>
      </c>
      <c r="AU56" s="169">
        <f>SUM(AV56,AZ56,BA56)</f>
        <v>2.6859752299999999</v>
      </c>
      <c r="AV56" s="169">
        <f>INDEX(AJ$6:AJ$182,MATCH($AR56,$AF$6:$AF$182,0))</f>
        <v>2.9859752299999998</v>
      </c>
      <c r="AW56" s="169">
        <f>INDEX(AK$6:AK$182,MATCH($AR56,$AF$6:$AF$182,0))</f>
        <v>1.3015573314477766</v>
      </c>
      <c r="AX56" s="168">
        <f>SUMIFS(AV57:AV$183,AV57:AV$183,"&gt;"&amp;0,$BH57:$BH$183,"="&amp;$BH56,$BK57:$BK$183,"="&amp;1)/SUMIFS(AV$6:AV$183,AV$6:AV$183,"&gt;"&amp;0,$BH$6:$BH$183,"="&amp;$BH56)</f>
        <v>0.13769240789118903</v>
      </c>
      <c r="AY56" s="168">
        <f>SUMIFS(AU57:AU$183,AU57:AU$183,"&gt;"&amp;0,BH57:BH$183,"="&amp;BH56,BK57:BK$183,"="&amp;1)/SUMIFS(AU$6:AU$183,AU$6:AU$183,"&gt;"&amp;0,BH$6:BH$183,"="&amp;BH56)</f>
        <v>0.12195608288015426</v>
      </c>
      <c r="AZ56" s="169">
        <f>IF(AW56&gt;Adjustments!$J$6,Adjustments!$L$6,IF(AW56&gt;Adjustments!$J$7,Adjustments!$L$7,IF(AW56&gt;Adjustments!$J$8,Adjustments!$L$8,IF(AW56&lt;Adjustments!$J$10,Adjustments!$L$10,IF(AW56&lt;Adjustments!$J$9,Adjustments!$L$9,0)))))</f>
        <v>-0.3</v>
      </c>
      <c r="BA56" s="169">
        <f>INDEX(Adjustments!$C$4:$C$2520,MATCH(AR56,Adjustments!$B$4:$B$2520,0))</f>
        <v>0</v>
      </c>
      <c r="BB56" s="153" t="str">
        <f>INDEX(AG$6:AG$182,MATCH($AR56,$AF$6:$AF$182,0))</f>
        <v>9</v>
      </c>
      <c r="BC56" s="153">
        <f>INDEX(AH$6:AH$182,MATCH($AR56,$AF$6:$AF$182,0))</f>
        <v>50</v>
      </c>
      <c r="BD56" s="153">
        <f>INDEX(AI$6:AI$182,MATCH($AR56,$AF$6:$AF$182,0))</f>
        <v>3</v>
      </c>
      <c r="BE56" s="153">
        <f>BC56-AO56</f>
        <v>-1</v>
      </c>
      <c r="BF56" s="153"/>
      <c r="BG56" s="153"/>
      <c r="BH56" s="195" t="str">
        <f>INDEX($AE$6:$AE$182,MATCH(AR56,$AF$6:$AF$182,0))</f>
        <v>RB</v>
      </c>
      <c r="BI56" s="195">
        <f>SUMIF($BH$6:BH56,BH56,$BK$6:BK56)</f>
        <v>24</v>
      </c>
      <c r="BJ56" s="194">
        <v>1</v>
      </c>
      <c r="BK56" s="194">
        <f t="shared" si="4"/>
        <v>1</v>
      </c>
      <c r="BL56" s="194" t="str">
        <f>IF('Real Time Draft Tool'!B56="y","y","")</f>
        <v/>
      </c>
      <c r="BM56" s="194" t="str">
        <f t="shared" si="5"/>
        <v>RB 24</v>
      </c>
    </row>
    <row r="57" spans="2:65" x14ac:dyDescent="0.25">
      <c r="B57" s="102" t="s">
        <v>200</v>
      </c>
      <c r="C57" s="103" t="s">
        <v>130</v>
      </c>
      <c r="D57" s="103">
        <v>148</v>
      </c>
      <c r="E57" s="140">
        <v>24</v>
      </c>
      <c r="F57" s="141">
        <v>-0.62899982000000032</v>
      </c>
      <c r="G57" s="104">
        <v>0.77857913272132517</v>
      </c>
      <c r="H57" s="142">
        <v>0</v>
      </c>
      <c r="I57" s="106" t="s">
        <v>83</v>
      </c>
      <c r="J57" s="80"/>
      <c r="K57" s="101">
        <v>52</v>
      </c>
      <c r="L57" s="102" t="s">
        <v>197</v>
      </c>
      <c r="M57" s="103" t="s">
        <v>163</v>
      </c>
      <c r="N57" s="143">
        <v>158</v>
      </c>
      <c r="O57" s="108">
        <v>-30</v>
      </c>
      <c r="P57" s="141">
        <v>-3.1485254916666667</v>
      </c>
      <c r="Q57" s="105">
        <v>0.81802779019076455</v>
      </c>
      <c r="R57" s="142">
        <v>0</v>
      </c>
      <c r="S57" s="106" t="s">
        <v>113</v>
      </c>
      <c r="T57" s="80"/>
      <c r="U57" s="107">
        <v>52</v>
      </c>
      <c r="V57" s="102" t="s">
        <v>202</v>
      </c>
      <c r="W57" s="103" t="s">
        <v>156</v>
      </c>
      <c r="X57" s="143">
        <v>146</v>
      </c>
      <c r="Y57" s="108">
        <v>21</v>
      </c>
      <c r="Z57" s="141">
        <v>-0.66876085363636373</v>
      </c>
      <c r="AA57" s="104">
        <v>0.83933334865859721</v>
      </c>
      <c r="AB57" s="142">
        <v>0</v>
      </c>
      <c r="AC57" s="106" t="s">
        <v>109</v>
      </c>
      <c r="AD57" s="202"/>
      <c r="AE57" s="195" t="s">
        <v>259</v>
      </c>
      <c r="AF57" s="195" t="str">
        <f t="shared" si="9"/>
        <v>Rashad Jennings</v>
      </c>
      <c r="AG57" s="195" t="str">
        <f t="shared" si="9"/>
        <v>8</v>
      </c>
      <c r="AH57" s="195">
        <f t="shared" si="10"/>
        <v>54</v>
      </c>
      <c r="AI57" s="195">
        <f t="shared" si="8"/>
        <v>11</v>
      </c>
      <c r="AJ57" s="195">
        <f t="shared" si="11"/>
        <v>3.255104386666666</v>
      </c>
      <c r="AK57" s="195">
        <f t="shared" si="11"/>
        <v>1.2151389345290264</v>
      </c>
      <c r="AL57" s="195">
        <f t="shared" si="11"/>
        <v>0.21651782322631782</v>
      </c>
      <c r="AM57" s="195" t="str">
        <f t="shared" si="11"/>
        <v>6+</v>
      </c>
      <c r="AN57" s="153"/>
      <c r="AO57" s="153">
        <v>52</v>
      </c>
      <c r="AP57" s="153">
        <v>54</v>
      </c>
      <c r="AQ57" s="153">
        <f>AP57-AO57</f>
        <v>2</v>
      </c>
      <c r="AR57" s="86" t="s">
        <v>37</v>
      </c>
      <c r="AS57" s="153" t="str">
        <f>BH57&amp;" "&amp;BI57</f>
        <v>QB 5</v>
      </c>
      <c r="AT57" s="153">
        <f>IF(AU57&gt;8,1,IF(AU57&gt;6.4,2,IF(AU57&gt;6,3,IF(AU57&gt;5,4,IF(AU57&gt;3.5,5,IF(AU57&gt;2.5,6,IF(AU57&gt;1.5,7,IF(AU57&gt;0.5,8,IF(AU57&gt;-0.5,9,10)))))))))</f>
        <v>6</v>
      </c>
      <c r="AU57" s="169">
        <f>SUM(AV57,AZ57,BA57)</f>
        <v>2.6426646433333341</v>
      </c>
      <c r="AV57" s="169">
        <f>INDEX(AJ$6:AJ$182,MATCH($AR57,$AF$6:$AF$182,0))</f>
        <v>2.6426646433333341</v>
      </c>
      <c r="AW57" s="169">
        <f>INDEX(AK$6:AK$182,MATCH($AR57,$AF$6:$AF$182,0))</f>
        <v>0.89115988390885681</v>
      </c>
      <c r="AX57" s="168">
        <f>SUMIFS(AV58:AV$183,AV58:AV$183,"&gt;"&amp;0,$BH58:$BH$183,"="&amp;$BH57,$BK58:$BK$183,"="&amp;1)/SUMIFS(AV$6:AV$183,AV$6:AV$183,"&gt;"&amp;0,$BH$6:$BH$183,"="&amp;$BH57)</f>
        <v>0.42802934219021926</v>
      </c>
      <c r="AY57" s="168">
        <f>SUMIFS(AU58:AU$183,AU58:AU$183,"&gt;"&amp;0,BH58:BH$183,"="&amp;BH57,BK58:BK$183,"="&amp;1)/SUMIFS(AU$6:AU$183,AU$6:AU$183,"&gt;"&amp;0,BH$6:BH$183,"="&amp;BH57)</f>
        <v>0.45076333698807108</v>
      </c>
      <c r="AZ57" s="169">
        <f>IF(AW57&gt;Adjustments!$J$6,Adjustments!$L$6,IF(AW57&gt;Adjustments!$J$7,Adjustments!$L$7,IF(AW57&gt;Adjustments!$J$8,Adjustments!$L$8,IF(AW57&lt;Adjustments!$J$10,Adjustments!$L$10,IF(AW57&lt;Adjustments!$J$9,Adjustments!$L$9,0)))))</f>
        <v>0</v>
      </c>
      <c r="BA57" s="169">
        <f>INDEX(Adjustments!$C$4:$C$2520,MATCH(AR57,Adjustments!$B$4:$B$2520,0))</f>
        <v>0</v>
      </c>
      <c r="BB57" s="153" t="str">
        <f>INDEX(AG$6:AG$182,MATCH($AR57,$AF$6:$AF$182,0))</f>
        <v>9</v>
      </c>
      <c r="BC57" s="153">
        <f>INDEX(AH$6:AH$182,MATCH($AR57,$AF$6:$AF$182,0))</f>
        <v>45</v>
      </c>
      <c r="BD57" s="153">
        <f>INDEX(AI$6:AI$182,MATCH($AR57,$AF$6:$AF$182,0))</f>
        <v>-9</v>
      </c>
      <c r="BE57" s="153">
        <f>BC57-AO57</f>
        <v>-7</v>
      </c>
      <c r="BF57" s="153"/>
      <c r="BG57" s="153"/>
      <c r="BH57" s="195" t="str">
        <f>INDEX($AE$6:$AE$182,MATCH(AR57,$AF$6:$AF$182,0))</f>
        <v>QB</v>
      </c>
      <c r="BI57" s="195">
        <f>SUMIF($BH$6:BH57,BH57,$BK$6:BK57)</f>
        <v>5</v>
      </c>
      <c r="BJ57" s="194">
        <v>1</v>
      </c>
      <c r="BK57" s="194">
        <f t="shared" si="4"/>
        <v>1</v>
      </c>
      <c r="BL57" s="194" t="str">
        <f>IF('Real Time Draft Tool'!B57="y","y","")</f>
        <v/>
      </c>
      <c r="BM57" s="194" t="str">
        <f t="shared" si="5"/>
        <v>QB 5</v>
      </c>
    </row>
    <row r="58" spans="2:65" x14ac:dyDescent="0.25">
      <c r="B58" s="102" t="s">
        <v>203</v>
      </c>
      <c r="C58" s="103" t="s">
        <v>58</v>
      </c>
      <c r="D58" s="103" t="s">
        <v>236</v>
      </c>
      <c r="E58" s="140" t="s">
        <v>236</v>
      </c>
      <c r="F58" s="141">
        <v>-0.84999981000000047</v>
      </c>
      <c r="G58" s="104">
        <v>0.65678819922130482</v>
      </c>
      <c r="H58" s="142">
        <v>0</v>
      </c>
      <c r="I58" s="106" t="s">
        <v>83</v>
      </c>
      <c r="J58" s="80"/>
      <c r="K58" s="101">
        <v>53</v>
      </c>
      <c r="L58" s="102" t="s">
        <v>191</v>
      </c>
      <c r="M58" s="103" t="s">
        <v>163</v>
      </c>
      <c r="N58" s="143" t="s">
        <v>236</v>
      </c>
      <c r="O58" s="108" t="s">
        <v>236</v>
      </c>
      <c r="P58" s="141">
        <v>-3.1833306599999998</v>
      </c>
      <c r="Q58" s="105">
        <v>0.89262864600756686</v>
      </c>
      <c r="R58" s="142">
        <v>0</v>
      </c>
      <c r="S58" s="106" t="s">
        <v>113</v>
      </c>
      <c r="T58" s="80"/>
      <c r="U58" s="107">
        <v>53</v>
      </c>
      <c r="V58" s="102" t="s">
        <v>208</v>
      </c>
      <c r="W58" s="103" t="s">
        <v>83</v>
      </c>
      <c r="X58" s="143">
        <v>142</v>
      </c>
      <c r="Y58" s="108">
        <v>16</v>
      </c>
      <c r="Z58" s="141">
        <v>-0.68071210000000026</v>
      </c>
      <c r="AA58" s="104">
        <v>0.74406912622569732</v>
      </c>
      <c r="AB58" s="142">
        <v>0</v>
      </c>
      <c r="AC58" s="106" t="s">
        <v>105</v>
      </c>
      <c r="AD58" s="202"/>
      <c r="AE58" s="195" t="s">
        <v>259</v>
      </c>
      <c r="AF58" s="195" t="str">
        <f t="shared" si="9"/>
        <v>Joique Bell</v>
      </c>
      <c r="AG58" s="195" t="str">
        <f t="shared" si="9"/>
        <v>9</v>
      </c>
      <c r="AH58" s="195">
        <f t="shared" si="10"/>
        <v>64</v>
      </c>
      <c r="AI58" s="195">
        <f t="shared" si="8"/>
        <v>20</v>
      </c>
      <c r="AJ58" s="195">
        <f t="shared" si="11"/>
        <v>3.2356304583333331</v>
      </c>
      <c r="AK58" s="195">
        <f t="shared" si="11"/>
        <v>0.96086714744621815</v>
      </c>
      <c r="AL58" s="195">
        <f t="shared" si="11"/>
        <v>0.19529131334808797</v>
      </c>
      <c r="AM58" s="195" t="str">
        <f t="shared" si="11"/>
        <v>6</v>
      </c>
      <c r="AN58" s="153"/>
      <c r="AO58" s="153">
        <v>53</v>
      </c>
      <c r="AP58" s="153">
        <v>55</v>
      </c>
      <c r="AQ58" s="153">
        <f>AP58-AO58</f>
        <v>2</v>
      </c>
      <c r="AR58" s="86" t="s">
        <v>48</v>
      </c>
      <c r="AS58" s="153" t="str">
        <f>BH58&amp;" "&amp;BI58</f>
        <v>QB 6</v>
      </c>
      <c r="AT58" s="153">
        <f>IF(AU58&gt;8,1,IF(AU58&gt;6.4,2,IF(AU58&gt;6,3,IF(AU58&gt;5,4,IF(AU58&gt;3.5,5,IF(AU58&gt;2.5,6,IF(AU58&gt;1.5,7,IF(AU58&gt;0.5,8,IF(AU58&gt;-0.5,9,10)))))))))</f>
        <v>6</v>
      </c>
      <c r="AU58" s="169">
        <f>SUM(AV58,AZ58,BA58)</f>
        <v>2.6270354966666667</v>
      </c>
      <c r="AV58" s="169">
        <f>INDEX(AJ$6:AJ$182,MATCH($AR58,$AF$6:$AF$182,0))</f>
        <v>2.6270354966666667</v>
      </c>
      <c r="AW58" s="169">
        <f>INDEX(AK$6:AK$182,MATCH($AR58,$AF$6:$AF$182,0))</f>
        <v>0.84931896463487122</v>
      </c>
      <c r="AX58" s="168">
        <f>SUMIFS(AV59:AV$183,AV59:AV$183,"&gt;"&amp;0,$BH59:$BH$183,"="&amp;$BH58,$BK59:$BK$183,"="&amp;1)/SUMIFS(AV$6:AV$183,AV$6:AV$183,"&gt;"&amp;0,$BH$6:$BH$183,"="&amp;$BH58)</f>
        <v>0.35921931384127298</v>
      </c>
      <c r="AY58" s="168">
        <f>SUMIFS(AU59:AU$183,AU59:AU$183,"&gt;"&amp;0,BH59:BH$183,"="&amp;BH58,BK59:BK$183,"="&amp;1)/SUMIFS(AU$6:AU$183,AU$6:AU$183,"&gt;"&amp;0,BH$6:BH$183,"="&amp;BH58)</f>
        <v>0.38423126695649562</v>
      </c>
      <c r="AZ58" s="169">
        <f>IF(AW58&gt;Adjustments!$J$6,Adjustments!$L$6,IF(AW58&gt;Adjustments!$J$7,Adjustments!$L$7,IF(AW58&gt;Adjustments!$J$8,Adjustments!$L$8,IF(AW58&lt;Adjustments!$J$10,Adjustments!$L$10,IF(AW58&lt;Adjustments!$J$9,Adjustments!$L$9,0)))))</f>
        <v>0</v>
      </c>
      <c r="BA58" s="169">
        <f>INDEX(Adjustments!$C$4:$C$2520,MATCH(AR58,Adjustments!$B$4:$B$2520,0))</f>
        <v>0</v>
      </c>
      <c r="BB58" s="153" t="str">
        <f>INDEX(AG$6:AG$182,MATCH($AR58,$AF$6:$AF$182,0))</f>
        <v>7</v>
      </c>
      <c r="BC58" s="153">
        <f>INDEX(AH$6:AH$182,MATCH($AR58,$AF$6:$AF$182,0))</f>
        <v>66</v>
      </c>
      <c r="BD58" s="153">
        <f>INDEX(AI$6:AI$182,MATCH($AR58,$AF$6:$AF$182,0))</f>
        <v>11</v>
      </c>
      <c r="BE58" s="153">
        <f>BC58-AO58</f>
        <v>13</v>
      </c>
      <c r="BF58" s="153"/>
      <c r="BG58" s="153"/>
      <c r="BH58" s="195" t="str">
        <f>INDEX($AE$6:$AE$182,MATCH(AR58,$AF$6:$AF$182,0))</f>
        <v>QB</v>
      </c>
      <c r="BI58" s="195">
        <f>SUMIF($BH$6:BH58,BH58,$BK$6:BK58)</f>
        <v>6</v>
      </c>
      <c r="BJ58" s="194">
        <v>1</v>
      </c>
      <c r="BK58" s="194">
        <f t="shared" si="4"/>
        <v>1</v>
      </c>
      <c r="BL58" s="194" t="str">
        <f>IF('Real Time Draft Tool'!B58="y","y","")</f>
        <v/>
      </c>
      <c r="BM58" s="194" t="str">
        <f t="shared" si="5"/>
        <v>QB 6</v>
      </c>
    </row>
    <row r="59" spans="2:65" x14ac:dyDescent="0.25">
      <c r="B59" s="102" t="s">
        <v>206</v>
      </c>
      <c r="C59" s="103" t="s">
        <v>113</v>
      </c>
      <c r="D59" s="103">
        <v>132</v>
      </c>
      <c r="E59" s="140">
        <v>2</v>
      </c>
      <c r="F59" s="141">
        <v>-0.87411959166666686</v>
      </c>
      <c r="G59" s="104">
        <v>0.84843128574584026</v>
      </c>
      <c r="H59" s="142">
        <v>0</v>
      </c>
      <c r="I59" s="106" t="s">
        <v>83</v>
      </c>
      <c r="J59" s="80"/>
      <c r="K59" s="101">
        <v>54</v>
      </c>
      <c r="L59" s="102" t="s">
        <v>213</v>
      </c>
      <c r="M59" s="103" t="s">
        <v>83</v>
      </c>
      <c r="N59" s="143">
        <v>157</v>
      </c>
      <c r="O59" s="108">
        <v>-33</v>
      </c>
      <c r="P59" s="141">
        <v>-3.1937494699999998</v>
      </c>
      <c r="Q59" s="105">
        <v>0.91468488426342909</v>
      </c>
      <c r="R59" s="142">
        <v>0</v>
      </c>
      <c r="S59" s="106" t="s">
        <v>113</v>
      </c>
      <c r="T59" s="80"/>
      <c r="U59" s="107">
        <v>54</v>
      </c>
      <c r="V59" s="102" t="s">
        <v>205</v>
      </c>
      <c r="W59" s="103" t="s">
        <v>113</v>
      </c>
      <c r="X59" s="143">
        <v>150</v>
      </c>
      <c r="Y59" s="108">
        <v>23</v>
      </c>
      <c r="Z59" s="141">
        <v>-0.81038371500000028</v>
      </c>
      <c r="AA59" s="104">
        <v>0.82053378045118031</v>
      </c>
      <c r="AB59" s="142">
        <v>0</v>
      </c>
      <c r="AC59" s="106" t="s">
        <v>105</v>
      </c>
      <c r="AD59" s="202"/>
      <c r="AE59" s="195" t="s">
        <v>259</v>
      </c>
      <c r="AF59" s="195" t="str">
        <f t="shared" si="9"/>
        <v>Bishop Sankey</v>
      </c>
      <c r="AG59" s="195" t="str">
        <f t="shared" si="9"/>
        <v>9</v>
      </c>
      <c r="AH59" s="195">
        <f t="shared" si="10"/>
        <v>50</v>
      </c>
      <c r="AI59" s="195">
        <f t="shared" si="8"/>
        <v>3</v>
      </c>
      <c r="AJ59" s="195">
        <f t="shared" si="11"/>
        <v>2.9859752299999998</v>
      </c>
      <c r="AK59" s="195">
        <f t="shared" si="11"/>
        <v>1.3015573314477766</v>
      </c>
      <c r="AL59" s="195">
        <f t="shared" si="11"/>
        <v>0.17570260149364694</v>
      </c>
      <c r="AM59" s="195" t="str">
        <f t="shared" si="11"/>
        <v>6</v>
      </c>
      <c r="AN59" s="153"/>
      <c r="AO59" s="153">
        <v>54</v>
      </c>
      <c r="AP59" s="153">
        <v>56</v>
      </c>
      <c r="AQ59" s="153">
        <f>AP59-AO59</f>
        <v>2</v>
      </c>
      <c r="AR59" s="86" t="s">
        <v>107</v>
      </c>
      <c r="AS59" s="153" t="str">
        <f>BH59&amp;" "&amp;BI59</f>
        <v>WR 21</v>
      </c>
      <c r="AT59" s="153">
        <f>IF(AU59&gt;8,1,IF(AU59&gt;6.4,2,IF(AU59&gt;6,3,IF(AU59&gt;5,4,IF(AU59&gt;3.5,5,IF(AU59&gt;2.5,6,IF(AU59&gt;1.5,7,IF(AU59&gt;0.5,8,IF(AU59&gt;-0.5,9,10)))))))))</f>
        <v>6</v>
      </c>
      <c r="AU59" s="169">
        <f>SUM(AV59,AZ59,BA59)</f>
        <v>2.6094221050000002</v>
      </c>
      <c r="AV59" s="169">
        <f>INDEX(AJ$6:AJ$182,MATCH($AR59,$AF$6:$AF$182,0))</f>
        <v>2.6094221050000002</v>
      </c>
      <c r="AW59" s="169">
        <f>INDEX(AK$6:AK$182,MATCH($AR59,$AF$6:$AF$182,0))</f>
        <v>0.92841128012339835</v>
      </c>
      <c r="AX59" s="168">
        <f>SUMIFS(AV60:AV$183,AV60:AV$183,"&gt;"&amp;0,$BH60:$BH$183,"="&amp;$BH59,$BK60:$BK$183,"="&amp;1)/SUMIFS(AV$6:AV$183,AV$6:AV$183,"&gt;"&amp;0,$BH$6:$BH$183,"="&amp;$BH59)</f>
        <v>0.22847907428196154</v>
      </c>
      <c r="AY59" s="168">
        <f>SUMIFS(AU60:AU$183,AU60:AU$183,"&gt;"&amp;0,BH60:BH$183,"="&amp;BH59,BK60:BK$183,"="&amp;1)/SUMIFS(AU$6:AU$183,AU$6:AU$183,"&gt;"&amp;0,BH$6:BH$183,"="&amp;BH59)</f>
        <v>0.22802642557091277</v>
      </c>
      <c r="AZ59" s="169">
        <f>IF(AW59&gt;Adjustments!$J$6,Adjustments!$L$6,IF(AW59&gt;Adjustments!$J$7,Adjustments!$L$7,IF(AW59&gt;Adjustments!$J$8,Adjustments!$L$8,IF(AW59&lt;Adjustments!$J$10,Adjustments!$L$10,IF(AW59&lt;Adjustments!$J$9,Adjustments!$L$9,0)))))</f>
        <v>0</v>
      </c>
      <c r="BA59" s="169">
        <f>INDEX(Adjustments!$C$4:$C$2520,MATCH(AR59,Adjustments!$B$4:$B$2520,0))</f>
        <v>0</v>
      </c>
      <c r="BB59" s="153" t="str">
        <f>INDEX(AG$6:AG$182,MATCH($AR59,$AF$6:$AF$182,0))</f>
        <v>10</v>
      </c>
      <c r="BC59" s="153">
        <f>INDEX(AH$6:AH$182,MATCH($AR59,$AF$6:$AF$182,0))</f>
        <v>48</v>
      </c>
      <c r="BD59" s="153">
        <f>INDEX(AI$6:AI$182,MATCH($AR59,$AF$6:$AF$182,0))</f>
        <v>-8</v>
      </c>
      <c r="BE59" s="153">
        <f>BC59-AO59</f>
        <v>-6</v>
      </c>
      <c r="BF59" s="153"/>
      <c r="BG59" s="153"/>
      <c r="BH59" s="195" t="str">
        <f>INDEX($AE$6:$AE$182,MATCH(AR59,$AF$6:$AF$182,0))</f>
        <v>WR</v>
      </c>
      <c r="BI59" s="195">
        <f>SUMIF($BH$6:BH59,BH59,$BK$6:BK59)</f>
        <v>21</v>
      </c>
      <c r="BJ59" s="194">
        <v>1</v>
      </c>
      <c r="BK59" s="194">
        <f t="shared" si="4"/>
        <v>1</v>
      </c>
      <c r="BL59" s="194" t="str">
        <f>IF('Real Time Draft Tool'!B59="y","y","")</f>
        <v/>
      </c>
      <c r="BM59" s="194" t="str">
        <f t="shared" si="5"/>
        <v>WR 21</v>
      </c>
    </row>
    <row r="60" spans="2:65" x14ac:dyDescent="0.25">
      <c r="B60" s="102" t="s">
        <v>209</v>
      </c>
      <c r="C60" s="103" t="s">
        <v>130</v>
      </c>
      <c r="D60" s="103">
        <v>176</v>
      </c>
      <c r="E60" s="140">
        <v>41</v>
      </c>
      <c r="F60" s="141">
        <v>-1.1990102066666668</v>
      </c>
      <c r="G60" s="104">
        <v>0.62076665498272998</v>
      </c>
      <c r="H60" s="142">
        <v>0</v>
      </c>
      <c r="I60" s="106" t="s">
        <v>83</v>
      </c>
      <c r="J60" s="80"/>
      <c r="K60" s="101">
        <v>55</v>
      </c>
      <c r="L60" s="102" t="s">
        <v>225</v>
      </c>
      <c r="M60" s="103" t="s">
        <v>58</v>
      </c>
      <c r="N60" s="143">
        <v>128</v>
      </c>
      <c r="O60" s="108">
        <v>-65</v>
      </c>
      <c r="P60" s="141">
        <v>-3.2261358536363636</v>
      </c>
      <c r="Q60" s="105">
        <v>1.4821353318929609</v>
      </c>
      <c r="R60" s="142">
        <v>0</v>
      </c>
      <c r="S60" s="106" t="s">
        <v>113</v>
      </c>
      <c r="T60" s="80"/>
      <c r="U60" s="107">
        <v>55</v>
      </c>
      <c r="V60" s="102" t="s">
        <v>211</v>
      </c>
      <c r="W60" s="103" t="s">
        <v>130</v>
      </c>
      <c r="X60" s="143">
        <v>119</v>
      </c>
      <c r="Y60" s="108">
        <v>-10</v>
      </c>
      <c r="Z60" s="141">
        <v>-0.87022866666666676</v>
      </c>
      <c r="AA60" s="104">
        <v>1.1196209050912833</v>
      </c>
      <c r="AB60" s="142">
        <v>0</v>
      </c>
      <c r="AC60" s="106" t="s">
        <v>105</v>
      </c>
      <c r="AD60" s="202"/>
      <c r="AE60" s="195" t="s">
        <v>259</v>
      </c>
      <c r="AF60" s="195" t="str">
        <f t="shared" si="9"/>
        <v>Chris Johnson</v>
      </c>
      <c r="AG60" s="195" t="str">
        <f t="shared" si="9"/>
        <v>11</v>
      </c>
      <c r="AH60" s="195">
        <f t="shared" si="10"/>
        <v>57</v>
      </c>
      <c r="AI60" s="195">
        <f t="shared" si="8"/>
        <v>9</v>
      </c>
      <c r="AJ60" s="195">
        <f t="shared" si="11"/>
        <v>2.941374198333333</v>
      </c>
      <c r="AK60" s="195">
        <f t="shared" si="11"/>
        <v>1.1533726260414119</v>
      </c>
      <c r="AL60" s="195">
        <f t="shared" si="11"/>
        <v>0.15640648307700525</v>
      </c>
      <c r="AM60" s="195" t="str">
        <f t="shared" si="11"/>
        <v>6</v>
      </c>
      <c r="AN60" s="153"/>
      <c r="AO60" s="153">
        <v>55</v>
      </c>
      <c r="AP60" s="153">
        <v>50</v>
      </c>
      <c r="AQ60" s="153">
        <f>AP60-AO60</f>
        <v>-5</v>
      </c>
      <c r="AR60" s="86" t="s">
        <v>110</v>
      </c>
      <c r="AS60" s="153" t="str">
        <f>BH60&amp;" "&amp;BI60</f>
        <v>RB 25</v>
      </c>
      <c r="AT60" s="153">
        <f>IF(AU60&gt;8,1,IF(AU60&gt;6.4,2,IF(AU60&gt;6,3,IF(AU60&gt;5,4,IF(AU60&gt;3.5,5,IF(AU60&gt;2.5,6,IF(AU60&gt;1.5,7,IF(AU60&gt;0.5,8,IF(AU60&gt;-0.5,9,10)))))))))</f>
        <v>6</v>
      </c>
      <c r="AU60" s="169">
        <f>SUM(AV60,AZ60,BA60)</f>
        <v>2.5821252600000002</v>
      </c>
      <c r="AV60" s="169">
        <f>INDEX(AJ$6:AJ$182,MATCH($AR60,$AF$6:$AF$182,0))</f>
        <v>2.88212526</v>
      </c>
      <c r="AW60" s="169">
        <f>INDEX(AK$6:AK$182,MATCH($AR60,$AF$6:$AF$182,0))</f>
        <v>1.2882828974505698</v>
      </c>
      <c r="AX60" s="168">
        <f>SUMIFS(AV61:AV$183,AV61:AV$183,"&gt;"&amp;0,$BH61:$BH$183,"="&amp;$BH60,$BK61:$BK$183,"="&amp;1)/SUMIFS(AV$6:AV$183,AV$6:AV$183,"&gt;"&amp;0,$BH$6:$BH$183,"="&amp;$BH60)</f>
        <v>0.11878497668435149</v>
      </c>
      <c r="AY60" s="168">
        <f>SUMIFS(AU61:AU$183,AU61:AU$183,"&gt;"&amp;0,BH61:BH$183,"="&amp;BH60,BK61:BK$183,"="&amp;1)/SUMIFS(AU$6:AU$183,AU$6:AU$183,"&gt;"&amp;0,BH$6:BH$183,"="&amp;BH60)</f>
        <v>0.10410319348493849</v>
      </c>
      <c r="AZ60" s="169">
        <f>IF(AW60&gt;Adjustments!$J$6,Adjustments!$L$6,IF(AW60&gt;Adjustments!$J$7,Adjustments!$L$7,IF(AW60&gt;Adjustments!$J$8,Adjustments!$L$8,IF(AW60&lt;Adjustments!$J$10,Adjustments!$L$10,IF(AW60&lt;Adjustments!$J$9,Adjustments!$L$9,0)))))</f>
        <v>-0.3</v>
      </c>
      <c r="BA60" s="169">
        <f>INDEX(Adjustments!$C$4:$C$2520,MATCH(AR60,Adjustments!$B$4:$B$2520,0))</f>
        <v>0</v>
      </c>
      <c r="BB60" s="153" t="str">
        <f>INDEX(AG$6:AG$182,MATCH($AR60,$AF$6:$AF$182,0))</f>
        <v>10</v>
      </c>
      <c r="BC60" s="153">
        <f>INDEX(AH$6:AH$182,MATCH($AR60,$AF$6:$AF$182,0))</f>
        <v>63</v>
      </c>
      <c r="BD60" s="153">
        <f>INDEX(AI$6:AI$182,MATCH($AR60,$AF$6:$AF$182,0))</f>
        <v>13</v>
      </c>
      <c r="BE60" s="153">
        <f>BC60-AO60</f>
        <v>8</v>
      </c>
      <c r="BF60" s="153"/>
      <c r="BG60" s="153"/>
      <c r="BH60" s="195" t="str">
        <f>INDEX($AE$6:$AE$182,MATCH(AR60,$AF$6:$AF$182,0))</f>
        <v>RB</v>
      </c>
      <c r="BI60" s="195">
        <f>SUMIF($BH$6:BH60,BH60,$BK$6:BK60)</f>
        <v>25</v>
      </c>
      <c r="BJ60" s="194">
        <v>1</v>
      </c>
      <c r="BK60" s="194">
        <f t="shared" si="4"/>
        <v>1</v>
      </c>
      <c r="BL60" s="194" t="str">
        <f>IF('Real Time Draft Tool'!B60="y","y","")</f>
        <v/>
      </c>
      <c r="BM60" s="194" t="str">
        <f t="shared" si="5"/>
        <v>RB 25</v>
      </c>
    </row>
    <row r="61" spans="2:65" x14ac:dyDescent="0.25">
      <c r="B61" s="102" t="s">
        <v>212</v>
      </c>
      <c r="C61" s="103" t="s">
        <v>58</v>
      </c>
      <c r="D61" s="103" t="s">
        <v>236</v>
      </c>
      <c r="E61" s="140" t="s">
        <v>236</v>
      </c>
      <c r="F61" s="141">
        <v>-1.4739945716666669</v>
      </c>
      <c r="G61" s="104">
        <v>0.91400547994581305</v>
      </c>
      <c r="H61" s="142">
        <v>0</v>
      </c>
      <c r="I61" s="106" t="s">
        <v>199</v>
      </c>
      <c r="J61" s="80"/>
      <c r="K61" s="101">
        <v>56</v>
      </c>
      <c r="L61" s="102" t="s">
        <v>204</v>
      </c>
      <c r="M61" s="103" t="s">
        <v>105</v>
      </c>
      <c r="N61" s="143">
        <v>123</v>
      </c>
      <c r="O61" s="108">
        <v>-71</v>
      </c>
      <c r="P61" s="141">
        <v>-3.2305983883333331</v>
      </c>
      <c r="Q61" s="105">
        <v>1.3421838551538867</v>
      </c>
      <c r="R61" s="142">
        <v>0</v>
      </c>
      <c r="S61" s="106" t="s">
        <v>113</v>
      </c>
      <c r="T61" s="80"/>
      <c r="U61" s="107">
        <v>56</v>
      </c>
      <c r="V61" s="102" t="s">
        <v>214</v>
      </c>
      <c r="W61" s="103" t="s">
        <v>163</v>
      </c>
      <c r="X61" s="143">
        <v>141</v>
      </c>
      <c r="Y61" s="108">
        <v>10</v>
      </c>
      <c r="Z61" s="141">
        <v>-0.91373889333333325</v>
      </c>
      <c r="AA61" s="104">
        <v>0.61687477654581391</v>
      </c>
      <c r="AB61" s="142">
        <v>0</v>
      </c>
      <c r="AC61" s="106" t="s">
        <v>105</v>
      </c>
      <c r="AD61" s="202"/>
      <c r="AE61" s="195" t="s">
        <v>259</v>
      </c>
      <c r="AF61" s="195" t="str">
        <f t="shared" si="9"/>
        <v>Trent Richardson</v>
      </c>
      <c r="AG61" s="195" t="str">
        <f t="shared" si="9"/>
        <v>10</v>
      </c>
      <c r="AH61" s="195">
        <f t="shared" si="10"/>
        <v>63</v>
      </c>
      <c r="AI61" s="195">
        <f t="shared" si="8"/>
        <v>13</v>
      </c>
      <c r="AJ61" s="195">
        <f t="shared" si="11"/>
        <v>2.88212526</v>
      </c>
      <c r="AK61" s="195">
        <f t="shared" si="11"/>
        <v>1.2882828974505698</v>
      </c>
      <c r="AL61" s="195">
        <f t="shared" si="11"/>
        <v>0.13749905187016762</v>
      </c>
      <c r="AM61" s="195" t="str">
        <f t="shared" si="11"/>
        <v>6</v>
      </c>
      <c r="AN61" s="153"/>
      <c r="AO61" s="153">
        <v>56</v>
      </c>
      <c r="AP61" s="153">
        <v>64</v>
      </c>
      <c r="AQ61" s="153">
        <f>AP61-AO61</f>
        <v>8</v>
      </c>
      <c r="AR61" s="86" t="s">
        <v>155</v>
      </c>
      <c r="AS61" s="153" t="str">
        <f>BH61&amp;" "&amp;BI61</f>
        <v>TE 4</v>
      </c>
      <c r="AT61" s="153">
        <f>IF(AU61&gt;8,1,IF(AU61&gt;6.4,2,IF(AU61&gt;6,3,IF(AU61&gt;5,4,IF(AU61&gt;3.5,5,IF(AU61&gt;2.5,6,IF(AU61&gt;1.5,7,IF(AU61&gt;0.5,8,IF(AU61&gt;-0.5,9,10)))))))))</f>
        <v>6</v>
      </c>
      <c r="AU61" s="169">
        <f>SUM(AV61,AZ61,BA61)</f>
        <v>2.5805417366666665</v>
      </c>
      <c r="AV61" s="169">
        <f>INDEX(AJ$6:AJ$182,MATCH($AR61,$AF$6:$AF$182,0))</f>
        <v>2.3805417366666664</v>
      </c>
      <c r="AW61" s="169">
        <f>INDEX(AK$6:AK$182,MATCH($AR61,$AF$6:$AF$182,0))</f>
        <v>0.68757937420586834</v>
      </c>
      <c r="AX61" s="168">
        <f>SUMIFS(AV62:AV$183,AV62:AV$183,"&gt;"&amp;0,$BH62:$BH$183,"="&amp;$BH61,$BK62:$BK$183,"="&amp;1)/SUMIFS(AV$6:AV$183,AV$6:AV$183,"&gt;"&amp;0,$BH$6:$BH$183,"="&amp;$BH61)</f>
        <v>0.38601977947215149</v>
      </c>
      <c r="AY61" s="168">
        <f>SUMIFS(AU62:AU$183,AU62:AU$183,"&gt;"&amp;0,BH62:BH$183,"="&amp;BH61,BK62:BK$183,"="&amp;1)/SUMIFS(AU$6:AU$183,AU$6:AU$183,"&gt;"&amp;0,BH$6:BH$183,"="&amp;BH61)</f>
        <v>0.40590306392308201</v>
      </c>
      <c r="AZ61" s="169">
        <f>IF(AW61&gt;Adjustments!$J$6,Adjustments!$L$6,IF(AW61&gt;Adjustments!$J$7,Adjustments!$L$7,IF(AW61&gt;Adjustments!$J$8,Adjustments!$L$8,IF(AW61&lt;Adjustments!$J$10,Adjustments!$L$10,IF(AW61&lt;Adjustments!$J$9,Adjustments!$L$9,0)))))</f>
        <v>0.2</v>
      </c>
      <c r="BA61" s="169">
        <f>INDEX(Adjustments!$C$4:$C$2520,MATCH(AR61,Adjustments!$B$4:$B$2520,0))</f>
        <v>0</v>
      </c>
      <c r="BB61" s="153" t="str">
        <f>INDEX(AG$6:AG$182,MATCH($AR61,$AF$6:$AF$182,0))</f>
        <v>11</v>
      </c>
      <c r="BC61" s="153">
        <f>INDEX(AH$6:AH$182,MATCH($AR61,$AF$6:$AF$182,0))</f>
        <v>66</v>
      </c>
      <c r="BD61" s="153">
        <f>INDEX(AI$6:AI$182,MATCH($AR61,$AF$6:$AF$182,0))</f>
        <v>2</v>
      </c>
      <c r="BE61" s="153">
        <f>BC61-AO61</f>
        <v>10</v>
      </c>
      <c r="BF61" s="153"/>
      <c r="BG61" s="153"/>
      <c r="BH61" s="195" t="str">
        <f>INDEX($AE$6:$AE$182,MATCH(AR61,$AF$6:$AF$182,0))</f>
        <v>TE</v>
      </c>
      <c r="BI61" s="195">
        <f>SUMIF($BH$6:BH61,BH61,$BK$6:BK61)</f>
        <v>4</v>
      </c>
      <c r="BJ61" s="194">
        <v>1</v>
      </c>
      <c r="BK61" s="194">
        <f t="shared" si="4"/>
        <v>1</v>
      </c>
      <c r="BL61" s="194" t="str">
        <f>IF('Real Time Draft Tool'!B61="y","y","")</f>
        <v/>
      </c>
      <c r="BM61" s="194" t="str">
        <f t="shared" si="5"/>
        <v>TE 4</v>
      </c>
    </row>
    <row r="62" spans="2:65" x14ac:dyDescent="0.25">
      <c r="B62" s="102" t="s">
        <v>215</v>
      </c>
      <c r="C62" s="103" t="s">
        <v>130</v>
      </c>
      <c r="D62" s="103" t="s">
        <v>236</v>
      </c>
      <c r="E62" s="140" t="s">
        <v>236</v>
      </c>
      <c r="F62" s="141">
        <v>-1.5975778950000001</v>
      </c>
      <c r="G62" s="104">
        <v>0.98633313651967147</v>
      </c>
      <c r="H62" s="142">
        <v>0</v>
      </c>
      <c r="I62" s="106" t="s">
        <v>83</v>
      </c>
      <c r="J62" s="80"/>
      <c r="K62" s="101">
        <v>57</v>
      </c>
      <c r="L62" s="102" t="s">
        <v>210</v>
      </c>
      <c r="M62" s="103" t="s">
        <v>130</v>
      </c>
      <c r="N62" s="143">
        <v>165</v>
      </c>
      <c r="O62" s="108">
        <v>-30</v>
      </c>
      <c r="P62" s="141">
        <v>-3.2362754816666666</v>
      </c>
      <c r="Q62" s="105">
        <v>0.89980557853391208</v>
      </c>
      <c r="R62" s="142">
        <v>0</v>
      </c>
      <c r="S62" s="106" t="s">
        <v>113</v>
      </c>
      <c r="T62" s="80"/>
      <c r="U62" s="107">
        <v>57</v>
      </c>
      <c r="V62" s="102" t="s">
        <v>217</v>
      </c>
      <c r="W62" s="103" t="s">
        <v>113</v>
      </c>
      <c r="X62" s="143">
        <v>187</v>
      </c>
      <c r="Y62" s="108">
        <v>51</v>
      </c>
      <c r="Z62" s="141">
        <v>-1.3314982183333335</v>
      </c>
      <c r="AA62" s="104">
        <v>1.2733946464396668</v>
      </c>
      <c r="AB62" s="142">
        <v>0</v>
      </c>
      <c r="AC62" s="106" t="s">
        <v>105</v>
      </c>
      <c r="AD62" s="202"/>
      <c r="AE62" s="195" t="s">
        <v>259</v>
      </c>
      <c r="AF62" s="195" t="str">
        <f t="shared" si="9"/>
        <v>Shane Vereen</v>
      </c>
      <c r="AG62" s="195" t="str">
        <f t="shared" si="9"/>
        <v>10</v>
      </c>
      <c r="AH62" s="195">
        <f t="shared" si="10"/>
        <v>49</v>
      </c>
      <c r="AI62" s="195">
        <f t="shared" si="8"/>
        <v>-2</v>
      </c>
      <c r="AJ62" s="195">
        <f t="shared" si="11"/>
        <v>2.8526513316666668</v>
      </c>
      <c r="AK62" s="195">
        <f t="shared" si="11"/>
        <v>1.0631225600749401</v>
      </c>
      <c r="AL62" s="195">
        <f t="shared" si="11"/>
        <v>0.11878497668435106</v>
      </c>
      <c r="AM62" s="195" t="str">
        <f t="shared" si="11"/>
        <v>6+</v>
      </c>
      <c r="AN62" s="153"/>
      <c r="AO62" s="153">
        <v>57</v>
      </c>
      <c r="AP62" s="153">
        <v>57</v>
      </c>
      <c r="AQ62" s="153">
        <f>AP62-AO62</f>
        <v>0</v>
      </c>
      <c r="AR62" s="86" t="s">
        <v>115</v>
      </c>
      <c r="AS62" s="153" t="str">
        <f>BH62&amp;" "&amp;BI62</f>
        <v>WR 22</v>
      </c>
      <c r="AT62" s="153">
        <f>IF(AU62&gt;8,1,IF(AU62&gt;6.4,2,IF(AU62&gt;6,3,IF(AU62&gt;5,4,IF(AU62&gt;3.5,5,IF(AU62&gt;2.5,6,IF(AU62&gt;1.5,7,IF(AU62&gt;0.5,8,IF(AU62&gt;-0.5,9,10)))))))))</f>
        <v>6</v>
      </c>
      <c r="AU62" s="169">
        <f>SUM(AV62,AZ62,BA62)</f>
        <v>2.5630626900000006</v>
      </c>
      <c r="AV62" s="169">
        <f>INDEX(AJ$6:AJ$182,MATCH($AR62,$AF$6:$AF$182,0))</f>
        <v>2.5630626900000006</v>
      </c>
      <c r="AW62" s="169">
        <f>INDEX(AK$6:AK$182,MATCH($AR62,$AF$6:$AF$182,0))</f>
        <v>0.95445045543233797</v>
      </c>
      <c r="AX62" s="168">
        <f>SUMIFS(AV63:AV$183,AV63:AV$183,"&gt;"&amp;0,$BH63:$BH$183,"="&amp;$BH62,$BK63:$BK$183,"="&amp;1)/SUMIFS(AV$6:AV$183,AV$6:AV$183,"&gt;"&amp;0,$BH$6:$BH$183,"="&amp;$BH62)</f>
        <v>0.20928612576133399</v>
      </c>
      <c r="AY62" s="168">
        <f>SUMIFS(AU63:AU$183,AU63:AU$183,"&gt;"&amp;0,BH63:BH$183,"="&amp;BH62,BK63:BK$183,"="&amp;1)/SUMIFS(AU$6:AU$183,AU$6:AU$183,"&gt;"&amp;0,BH$6:BH$183,"="&amp;BH62)</f>
        <v>0.20908873657420429</v>
      </c>
      <c r="AZ62" s="169">
        <f>IF(AW62&gt;Adjustments!$J$6,Adjustments!$L$6,IF(AW62&gt;Adjustments!$J$7,Adjustments!$L$7,IF(AW62&gt;Adjustments!$J$8,Adjustments!$L$8,IF(AW62&lt;Adjustments!$J$10,Adjustments!$L$10,IF(AW62&lt;Adjustments!$J$9,Adjustments!$L$9,0)))))</f>
        <v>0</v>
      </c>
      <c r="BA62" s="169">
        <f>INDEX(Adjustments!$C$4:$C$2520,MATCH(AR62,Adjustments!$B$4:$B$2520,0))</f>
        <v>0</v>
      </c>
      <c r="BB62" s="153" t="str">
        <f>INDEX(AG$6:AG$182,MATCH($AR62,$AF$6:$AF$182,0))</f>
        <v>10</v>
      </c>
      <c r="BC62" s="153">
        <f>INDEX(AH$6:AH$182,MATCH($AR62,$AF$6:$AF$182,0))</f>
        <v>50</v>
      </c>
      <c r="BD62" s="153">
        <f>INDEX(AI$6:AI$182,MATCH($AR62,$AF$6:$AF$182,0))</f>
        <v>-7</v>
      </c>
      <c r="BE62" s="153">
        <f>BC62-AO62</f>
        <v>-7</v>
      </c>
      <c r="BF62" s="153"/>
      <c r="BG62" s="153"/>
      <c r="BH62" s="195" t="str">
        <f>INDEX($AE$6:$AE$182,MATCH(AR62,$AF$6:$AF$182,0))</f>
        <v>WR</v>
      </c>
      <c r="BI62" s="195">
        <f>SUMIF($BH$6:BH62,BH62,$BK$6:BK62)</f>
        <v>22</v>
      </c>
      <c r="BJ62" s="194">
        <v>1</v>
      </c>
      <c r="BK62" s="194">
        <f t="shared" si="4"/>
        <v>1</v>
      </c>
      <c r="BL62" s="194" t="str">
        <f>IF('Real Time Draft Tool'!B62="y","y","")</f>
        <v/>
      </c>
      <c r="BM62" s="194" t="str">
        <f t="shared" si="5"/>
        <v>WR 22</v>
      </c>
    </row>
    <row r="63" spans="2:65" x14ac:dyDescent="0.25">
      <c r="B63" s="102" t="s">
        <v>218</v>
      </c>
      <c r="C63" s="103" t="s">
        <v>156</v>
      </c>
      <c r="D63" s="103" t="s">
        <v>236</v>
      </c>
      <c r="E63" s="140" t="s">
        <v>236</v>
      </c>
      <c r="F63" s="141">
        <v>-2.2032237083333337</v>
      </c>
      <c r="G63" s="104">
        <v>0.85414905465605862</v>
      </c>
      <c r="H63" s="142">
        <v>0</v>
      </c>
      <c r="I63" s="106" t="s">
        <v>181</v>
      </c>
      <c r="J63" s="80"/>
      <c r="K63" s="101">
        <v>58</v>
      </c>
      <c r="L63" s="102" t="s">
        <v>229</v>
      </c>
      <c r="M63" s="103" t="s">
        <v>105</v>
      </c>
      <c r="N63" s="143">
        <v>135</v>
      </c>
      <c r="O63" s="108">
        <v>-61</v>
      </c>
      <c r="P63" s="141">
        <v>-3.2857949345454545</v>
      </c>
      <c r="Q63" s="105">
        <v>1.332910029869711</v>
      </c>
      <c r="R63" s="142">
        <v>0</v>
      </c>
      <c r="S63" s="106" t="s">
        <v>113</v>
      </c>
      <c r="T63" s="80"/>
      <c r="U63" s="107">
        <v>58</v>
      </c>
      <c r="V63" s="102" t="s">
        <v>226</v>
      </c>
      <c r="W63" s="103" t="s">
        <v>73</v>
      </c>
      <c r="X63" s="143" t="s">
        <v>236</v>
      </c>
      <c r="Y63" s="108" t="s">
        <v>236</v>
      </c>
      <c r="Z63" s="141">
        <v>-1.3788045283333332</v>
      </c>
      <c r="AA63" s="104">
        <v>0.95101941697416714</v>
      </c>
      <c r="AB63" s="142">
        <v>0</v>
      </c>
      <c r="AC63" s="106" t="s">
        <v>113</v>
      </c>
      <c r="AD63" s="202"/>
      <c r="AE63" s="195" t="s">
        <v>259</v>
      </c>
      <c r="AF63" s="195" t="str">
        <f t="shared" si="9"/>
        <v>Frank Gore</v>
      </c>
      <c r="AG63" s="195" t="str">
        <f t="shared" si="9"/>
        <v>8</v>
      </c>
      <c r="AH63" s="195">
        <f t="shared" si="10"/>
        <v>55</v>
      </c>
      <c r="AI63" s="195">
        <f t="shared" si="8"/>
        <v>2</v>
      </c>
      <c r="AJ63" s="195">
        <f t="shared" si="11"/>
        <v>2.6885450016666672</v>
      </c>
      <c r="AK63" s="195">
        <f t="shared" si="11"/>
        <v>1.4322759382465609</v>
      </c>
      <c r="AL63" s="195">
        <f t="shared" si="11"/>
        <v>0.10114747828308475</v>
      </c>
      <c r="AM63" s="195" t="str">
        <f t="shared" si="11"/>
        <v>6</v>
      </c>
      <c r="AN63" s="153"/>
      <c r="AO63" s="153">
        <v>58</v>
      </c>
      <c r="AP63" s="153">
        <v>60</v>
      </c>
      <c r="AQ63" s="153">
        <f>AP63-AO63</f>
        <v>2</v>
      </c>
      <c r="AR63" s="86" t="s">
        <v>45</v>
      </c>
      <c r="AS63" s="153" t="str">
        <f>BH63&amp;" "&amp;BI63</f>
        <v>QB 7</v>
      </c>
      <c r="AT63" s="153">
        <f>IF(AU63&gt;8,1,IF(AU63&gt;6.4,2,IF(AU63&gt;6,3,IF(AU63&gt;5,4,IF(AU63&gt;3.5,5,IF(AU63&gt;2.5,6,IF(AU63&gt;1.5,7,IF(AU63&gt;0.5,8,IF(AU63&gt;-0.5,9,10)))))))))</f>
        <v>7</v>
      </c>
      <c r="AU63" s="169">
        <f>SUM(AV63,AZ63,BA63)</f>
        <v>2.4876594650000001</v>
      </c>
      <c r="AV63" s="169">
        <f>INDEX(AJ$6:AJ$182,MATCH($AR63,$AF$6:$AF$182,0))</f>
        <v>2.4876594650000001</v>
      </c>
      <c r="AW63" s="169">
        <f>INDEX(AK$6:AK$182,MATCH($AR63,$AF$6:$AF$182,0))</f>
        <v>0.80392238942187577</v>
      </c>
      <c r="AX63" s="168">
        <f>SUMIFS(AV64:AV$183,AV64:AV$183,"&gt;"&amp;0,$BH64:$BH$183,"="&amp;$BH63,$BK64:$BK$183,"="&amp;1)/SUMIFS(AV$6:AV$183,AV$6:AV$183,"&gt;"&amp;0,$BH$6:$BH$183,"="&amp;$BH63)</f>
        <v>0.29405996653653632</v>
      </c>
      <c r="AY63" s="168">
        <f>SUMIFS(AU64:AU$183,AU64:AU$183,"&gt;"&amp;0,BH64:BH$183,"="&amp;BH63,BK64:BK$183,"="&amp;1)/SUMIFS(AU$6:AU$183,AU$6:AU$183,"&gt;"&amp;0,BH$6:BH$183,"="&amp;BH63)</f>
        <v>0.32122902204960374</v>
      </c>
      <c r="AZ63" s="169">
        <f>IF(AW63&gt;Adjustments!$J$6,Adjustments!$L$6,IF(AW63&gt;Adjustments!$J$7,Adjustments!$L$7,IF(AW63&gt;Adjustments!$J$8,Adjustments!$L$8,IF(AW63&lt;Adjustments!$J$10,Adjustments!$L$10,IF(AW63&lt;Adjustments!$J$9,Adjustments!$L$9,0)))))</f>
        <v>0</v>
      </c>
      <c r="BA63" s="169">
        <f>INDEX(Adjustments!$C$4:$C$2520,MATCH(AR63,Adjustments!$B$4:$B$2520,0))</f>
        <v>0</v>
      </c>
      <c r="BB63" s="153" t="str">
        <f>INDEX(AG$6:AG$182,MATCH($AR63,$AF$6:$AF$182,0))</f>
        <v>12</v>
      </c>
      <c r="BC63" s="153">
        <f>INDEX(AH$6:AH$182,MATCH($AR63,$AF$6:$AF$182,0))</f>
        <v>75</v>
      </c>
      <c r="BD63" s="153">
        <f>INDEX(AI$6:AI$182,MATCH($AR63,$AF$6:$AF$182,0))</f>
        <v>15</v>
      </c>
      <c r="BE63" s="153">
        <f>BC63-AO63</f>
        <v>17</v>
      </c>
      <c r="BF63" s="153"/>
      <c r="BG63" s="153"/>
      <c r="BH63" s="195" t="str">
        <f>INDEX($AE$6:$AE$182,MATCH(AR63,$AF$6:$AF$182,0))</f>
        <v>QB</v>
      </c>
      <c r="BI63" s="195">
        <f>SUMIF($BH$6:BH63,BH63,$BK$6:BK63)</f>
        <v>7</v>
      </c>
      <c r="BJ63" s="194">
        <v>1</v>
      </c>
      <c r="BK63" s="194">
        <f t="shared" si="4"/>
        <v>1</v>
      </c>
      <c r="BL63" s="194" t="str">
        <f>IF('Real Time Draft Tool'!B63="y","y","")</f>
        <v/>
      </c>
      <c r="BM63" s="194" t="str">
        <f t="shared" si="5"/>
        <v>QB 7</v>
      </c>
    </row>
    <row r="64" spans="2:65" x14ac:dyDescent="0.25">
      <c r="B64" s="102" t="s">
        <v>221</v>
      </c>
      <c r="C64" s="103" t="s">
        <v>130</v>
      </c>
      <c r="D64" s="103" t="s">
        <v>236</v>
      </c>
      <c r="E64" s="140" t="s">
        <v>236</v>
      </c>
      <c r="F64" s="141">
        <v>-2.2954841050000003</v>
      </c>
      <c r="G64" s="104">
        <v>1.1041329010390739</v>
      </c>
      <c r="H64" s="142">
        <v>0</v>
      </c>
      <c r="I64" s="106" t="s">
        <v>91</v>
      </c>
      <c r="J64" s="80"/>
      <c r="K64" s="101">
        <v>59</v>
      </c>
      <c r="L64" s="102" t="s">
        <v>228</v>
      </c>
      <c r="M64" s="103" t="s">
        <v>163</v>
      </c>
      <c r="N64" s="143">
        <v>148</v>
      </c>
      <c r="O64" s="108">
        <v>-50</v>
      </c>
      <c r="P64" s="141">
        <v>-3.3190984683333333</v>
      </c>
      <c r="Q64" s="105">
        <v>1.0547239033981277</v>
      </c>
      <c r="R64" s="142">
        <v>0</v>
      </c>
      <c r="S64" s="106" t="s">
        <v>113</v>
      </c>
      <c r="T64" s="80"/>
      <c r="U64" s="107">
        <v>59</v>
      </c>
      <c r="V64" s="102" t="s">
        <v>220</v>
      </c>
      <c r="W64" s="103" t="s">
        <v>163</v>
      </c>
      <c r="X64" s="143">
        <v>156</v>
      </c>
      <c r="Y64" s="108">
        <v>18</v>
      </c>
      <c r="Z64" s="141">
        <v>-1.3794660166666668</v>
      </c>
      <c r="AA64" s="104">
        <v>1.210980999650759</v>
      </c>
      <c r="AB64" s="142">
        <v>0</v>
      </c>
      <c r="AC64" s="106" t="s">
        <v>113</v>
      </c>
      <c r="AD64" s="202"/>
      <c r="AE64" s="195" t="s">
        <v>259</v>
      </c>
      <c r="AF64" s="195" t="str">
        <f t="shared" si="9"/>
        <v>Pierre Thomas</v>
      </c>
      <c r="AG64" s="195" t="str">
        <f t="shared" si="9"/>
        <v>6</v>
      </c>
      <c r="AH64" s="195">
        <f t="shared" si="10"/>
        <v>72</v>
      </c>
      <c r="AI64" s="195">
        <f t="shared" si="8"/>
        <v>14</v>
      </c>
      <c r="AJ64" s="195">
        <f t="shared" si="11"/>
        <v>2.5584440599999998</v>
      </c>
      <c r="AK64" s="195">
        <f t="shared" si="11"/>
        <v>1.0718215010038779</v>
      </c>
      <c r="AL64" s="195">
        <f t="shared" si="11"/>
        <v>8.4363473183669949E-2</v>
      </c>
      <c r="AM64" s="195" t="str">
        <f t="shared" si="11"/>
        <v>6</v>
      </c>
      <c r="AN64" s="153"/>
      <c r="AO64" s="153">
        <v>59</v>
      </c>
      <c r="AP64" s="153">
        <v>69</v>
      </c>
      <c r="AQ64" s="153">
        <f>AP64-AO64</f>
        <v>10</v>
      </c>
      <c r="AR64" s="86" t="s">
        <v>118</v>
      </c>
      <c r="AS64" s="153" t="str">
        <f>BH64&amp;" "&amp;BI64</f>
        <v>WR 23</v>
      </c>
      <c r="AT64" s="153">
        <f>IF(AU64&gt;8,1,IF(AU64&gt;6.4,2,IF(AU64&gt;6,3,IF(AU64&gt;5,4,IF(AU64&gt;3.5,5,IF(AU64&gt;2.5,6,IF(AU64&gt;1.5,7,IF(AU64&gt;0.5,8,IF(AU64&gt;-0.5,9,10)))))))))</f>
        <v>7</v>
      </c>
      <c r="AU64" s="169">
        <f>SUM(AV64,AZ64,BA64)</f>
        <v>2.4721139016666664</v>
      </c>
      <c r="AV64" s="169">
        <f>INDEX(AJ$6:AJ$182,MATCH($AR64,$AF$6:$AF$182,0))</f>
        <v>2.1721139016666666</v>
      </c>
      <c r="AW64" s="169">
        <f>INDEX(AK$6:AK$182,MATCH($AR64,$AF$6:$AF$182,0))</f>
        <v>0.37046537783954053</v>
      </c>
      <c r="AX64" s="168">
        <f>SUMIFS(AV65:AV$183,AV65:AV$183,"&gt;"&amp;0,$BH65:$BH$183,"="&amp;$BH64,$BK65:$BK$183,"="&amp;1)/SUMIFS(AV$6:AV$183,AV$6:AV$183,"&gt;"&amp;0,$BH$6:$BH$183,"="&amp;$BH64)</f>
        <v>0.19302071389361727</v>
      </c>
      <c r="AY64" s="168">
        <f>SUMIFS(AU65:AU$183,AU65:AU$183,"&gt;"&amp;0,BH65:BH$183,"="&amp;BH64,BK65:BK$183,"="&amp;1)/SUMIFS(AU$6:AU$183,AU$6:AU$183,"&gt;"&amp;0,BH$6:BH$183,"="&amp;BH64)</f>
        <v>0.19082304045336426</v>
      </c>
      <c r="AZ64" s="169">
        <f>IF(AW64&gt;Adjustments!$J$6,Adjustments!$L$6,IF(AW64&gt;Adjustments!$J$7,Adjustments!$L$7,IF(AW64&gt;Adjustments!$J$8,Adjustments!$L$8,IF(AW64&lt;Adjustments!$J$10,Adjustments!$L$10,IF(AW64&lt;Adjustments!$J$9,Adjustments!$L$9,0)))))</f>
        <v>0.3</v>
      </c>
      <c r="BA64" s="169">
        <f>INDEX(Adjustments!$C$4:$C$2520,MATCH(AR64,Adjustments!$B$4:$B$2520,0))</f>
        <v>0</v>
      </c>
      <c r="BB64" s="153" t="str">
        <f>INDEX(AG$6:AG$182,MATCH($AR64,$AF$6:$AF$182,0))</f>
        <v>5</v>
      </c>
      <c r="BC64" s="153">
        <f>INDEX(AH$6:AH$182,MATCH($AR64,$AF$6:$AF$182,0))</f>
        <v>77</v>
      </c>
      <c r="BD64" s="153">
        <f>INDEX(AI$6:AI$182,MATCH($AR64,$AF$6:$AF$182,0))</f>
        <v>8</v>
      </c>
      <c r="BE64" s="153">
        <f>BC64-AO64</f>
        <v>18</v>
      </c>
      <c r="BF64" s="153"/>
      <c r="BG64" s="153"/>
      <c r="BH64" s="195" t="str">
        <f>INDEX($AE$6:$AE$182,MATCH(AR64,$AF$6:$AF$182,0))</f>
        <v>WR</v>
      </c>
      <c r="BI64" s="195">
        <f>SUMIF($BH$6:BH64,BH64,$BK$6:BK64)</f>
        <v>23</v>
      </c>
      <c r="BJ64" s="194">
        <v>1</v>
      </c>
      <c r="BK64" s="194">
        <f t="shared" si="4"/>
        <v>1</v>
      </c>
      <c r="BL64" s="194" t="str">
        <f>IF('Real Time Draft Tool'!B64="y","y","")</f>
        <v/>
      </c>
      <c r="BM64" s="194" t="str">
        <f t="shared" si="5"/>
        <v>WR 23</v>
      </c>
    </row>
    <row r="65" spans="2:65" ht="15.75" thickBot="1" x14ac:dyDescent="0.3">
      <c r="B65" s="109" t="s">
        <v>224</v>
      </c>
      <c r="C65" s="110" t="s">
        <v>113</v>
      </c>
      <c r="D65" s="110" t="s">
        <v>236</v>
      </c>
      <c r="E65" s="144" t="s">
        <v>236</v>
      </c>
      <c r="F65" s="118">
        <v>-2.3634320016666672</v>
      </c>
      <c r="G65" s="111">
        <v>1.3106012199955901</v>
      </c>
      <c r="H65" s="145">
        <v>0</v>
      </c>
      <c r="I65" s="113" t="s">
        <v>91</v>
      </c>
      <c r="J65" s="80"/>
      <c r="K65" s="117">
        <v>60</v>
      </c>
      <c r="L65" s="109" t="s">
        <v>201</v>
      </c>
      <c r="M65" s="110" t="s">
        <v>156</v>
      </c>
      <c r="N65" s="150">
        <v>162</v>
      </c>
      <c r="O65" s="119">
        <v>-38</v>
      </c>
      <c r="P65" s="118">
        <v>-3.3573535566666668</v>
      </c>
      <c r="Q65" s="112">
        <v>1.2112937413920735</v>
      </c>
      <c r="R65" s="145">
        <v>0</v>
      </c>
      <c r="S65" s="113" t="s">
        <v>113</v>
      </c>
      <c r="T65" s="80"/>
      <c r="U65" s="124">
        <v>60</v>
      </c>
      <c r="V65" s="109" t="s">
        <v>223</v>
      </c>
      <c r="W65" s="110" t="s">
        <v>113</v>
      </c>
      <c r="X65" s="150">
        <v>179</v>
      </c>
      <c r="Y65" s="119">
        <v>40</v>
      </c>
      <c r="Z65" s="118">
        <v>-1.4054067216666664</v>
      </c>
      <c r="AA65" s="111">
        <v>0.8918557798855683</v>
      </c>
      <c r="AB65" s="145">
        <v>0</v>
      </c>
      <c r="AC65" s="113" t="s">
        <v>113</v>
      </c>
      <c r="AD65" s="202"/>
      <c r="AE65" s="195" t="s">
        <v>259</v>
      </c>
      <c r="AF65" s="195" t="str">
        <f t="shared" si="9"/>
        <v>Ben Tate</v>
      </c>
      <c r="AG65" s="195" t="str">
        <f t="shared" si="9"/>
        <v>4</v>
      </c>
      <c r="AH65" s="195">
        <f t="shared" si="10"/>
        <v>63</v>
      </c>
      <c r="AI65" s="195">
        <f t="shared" si="8"/>
        <v>0</v>
      </c>
      <c r="AJ65" s="195">
        <f t="shared" si="11"/>
        <v>2.3927919366666668</v>
      </c>
      <c r="AK65" s="195">
        <f t="shared" si="11"/>
        <v>1.2817624577534104</v>
      </c>
      <c r="AL65" s="195">
        <f t="shared" si="11"/>
        <v>6.8666185642877672E-2</v>
      </c>
      <c r="AM65" s="195" t="str">
        <f t="shared" si="11"/>
        <v>6-</v>
      </c>
      <c r="AN65" s="153"/>
      <c r="AO65" s="153">
        <v>60</v>
      </c>
      <c r="AP65" s="153">
        <v>61</v>
      </c>
      <c r="AQ65" s="153">
        <f>AP65-AO65</f>
        <v>1</v>
      </c>
      <c r="AR65" s="153" t="s">
        <v>96</v>
      </c>
      <c r="AS65" s="153" t="str">
        <f>BH65&amp;" "&amp;BI65</f>
        <v>WR 24</v>
      </c>
      <c r="AT65" s="153">
        <f>IF(AU65&gt;8,1,IF(AU65&gt;6.4,2,IF(AU65&gt;6,3,IF(AU65&gt;5,4,IF(AU65&gt;3.5,5,IF(AU65&gt;2.5,6,IF(AU65&gt;1.5,7,IF(AU65&gt;0.5,8,IF(AU65&gt;-0.5,9,10)))))))))</f>
        <v>7</v>
      </c>
      <c r="AU65" s="169">
        <f>SUM(AV65,AZ65,BA65)</f>
        <v>2.4407190200000004</v>
      </c>
      <c r="AV65" s="169">
        <f>INDEX(AJ$6:AJ$182,MATCH($AR65,$AF$6:$AF$182,0))</f>
        <v>2.4407190200000004</v>
      </c>
      <c r="AW65" s="169">
        <f>INDEX(AK$6:AK$182,MATCH($AR65,$AF$6:$AF$182,0))</f>
        <v>0.91212470820039571</v>
      </c>
      <c r="AX65" s="168">
        <f>SUMIFS(AV66:AV$183,AV66:AV$183,"&gt;"&amp;0,$BH66:$BH$183,"="&amp;$BH65,$BK66:$BK$183,"="&amp;1)/SUMIFS(AV$6:AV$183,AV$6:AV$183,"&gt;"&amp;0,$BH$6:$BH$183,"="&amp;$BH65)</f>
        <v>0.17474390986266453</v>
      </c>
      <c r="AY65" s="168">
        <f>SUMIFS(AU66:AU$183,AU66:AU$183,"&gt;"&amp;0,BH66:BH$183,"="&amp;BH65,BK66:BK$183,"="&amp;1)/SUMIFS(AU$6:AU$183,AU$6:AU$183,"&gt;"&amp;0,BH$6:BH$183,"="&amp;BH65)</f>
        <v>0.17278931154402138</v>
      </c>
      <c r="AZ65" s="169">
        <f>IF(AW65&gt;Adjustments!$J$6,Adjustments!$L$6,IF(AW65&gt;Adjustments!$J$7,Adjustments!$L$7,IF(AW65&gt;Adjustments!$J$8,Adjustments!$L$8,IF(AW65&lt;Adjustments!$J$10,Adjustments!$L$10,IF(AW65&lt;Adjustments!$J$9,Adjustments!$L$9,0)))))</f>
        <v>0</v>
      </c>
      <c r="BA65" s="169">
        <f>INDEX(Adjustments!$C$4:$C$2520,MATCH(AR65,Adjustments!$B$4:$B$2520,0))</f>
        <v>0</v>
      </c>
      <c r="BB65" s="153" t="str">
        <f>INDEX(AG$6:AG$182,MATCH($AR65,$AF$6:$AF$182,0))</f>
        <v>9</v>
      </c>
      <c r="BC65" s="153">
        <f>INDEX(AH$6:AH$182,MATCH($AR65,$AF$6:$AF$182,0))</f>
        <v>75</v>
      </c>
      <c r="BD65" s="153">
        <f>INDEX(AI$6:AI$182,MATCH($AR65,$AF$6:$AF$182,0))</f>
        <v>14</v>
      </c>
      <c r="BE65" s="153">
        <f>BC65-AO65</f>
        <v>15</v>
      </c>
      <c r="BF65" s="153"/>
      <c r="BG65" s="153"/>
      <c r="BH65" s="195" t="str">
        <f>INDEX($AE$6:$AE$182,MATCH(AR65,$AF$6:$AF$182,0))</f>
        <v>WR</v>
      </c>
      <c r="BI65" s="195">
        <f>SUMIF($BH$6:BH65,BH65,$BK$6:BK65)</f>
        <v>24</v>
      </c>
      <c r="BJ65" s="194">
        <v>1</v>
      </c>
      <c r="BK65" s="194">
        <f t="shared" si="4"/>
        <v>1</v>
      </c>
      <c r="BL65" s="194" t="str">
        <f>IF('Real Time Draft Tool'!B65="y","y","")</f>
        <v/>
      </c>
      <c r="BM65" s="194" t="str">
        <f t="shared" si="5"/>
        <v>WR 24</v>
      </c>
    </row>
    <row r="66" spans="2:65" ht="15.75" thickBot="1" x14ac:dyDescent="0.3">
      <c r="B66" s="80"/>
      <c r="C66" s="81"/>
      <c r="D66" s="81"/>
      <c r="E66" s="84"/>
      <c r="F66" s="81"/>
      <c r="G66" s="81"/>
      <c r="H66" s="82"/>
      <c r="I66" s="80"/>
      <c r="J66" s="80"/>
      <c r="K66" s="81"/>
      <c r="L66" s="80"/>
      <c r="M66" s="81"/>
      <c r="N66" s="83"/>
      <c r="O66" s="134"/>
      <c r="P66" s="81"/>
      <c r="Q66" s="81"/>
      <c r="R66" s="82"/>
      <c r="S66" s="80"/>
      <c r="T66" s="80"/>
      <c r="U66" s="81"/>
      <c r="V66" s="80"/>
      <c r="W66" s="81"/>
      <c r="X66" s="83"/>
      <c r="Y66" s="134"/>
      <c r="Z66" s="81"/>
      <c r="AA66" s="81"/>
      <c r="AB66" s="82"/>
      <c r="AC66" s="80"/>
      <c r="AE66" s="195" t="s">
        <v>259</v>
      </c>
      <c r="AF66" s="195" t="str">
        <f t="shared" si="9"/>
        <v>Ray Rice</v>
      </c>
      <c r="AG66" s="195" t="str">
        <f t="shared" si="9"/>
        <v>11</v>
      </c>
      <c r="AH66" s="195">
        <f t="shared" si="10"/>
        <v>64</v>
      </c>
      <c r="AI66" s="195">
        <f t="shared" si="8"/>
        <v>-1</v>
      </c>
      <c r="AJ66" s="195">
        <f t="shared" si="11"/>
        <v>2.3689093709090914</v>
      </c>
      <c r="AK66" s="195">
        <f t="shared" si="11"/>
        <v>1.0512535509614651</v>
      </c>
      <c r="AL66" s="195">
        <f t="shared" si="11"/>
        <v>5.3125573446967667E-2</v>
      </c>
      <c r="AM66" s="195" t="str">
        <f t="shared" si="11"/>
        <v>6</v>
      </c>
      <c r="AN66" s="153"/>
      <c r="AO66" s="153">
        <v>61</v>
      </c>
      <c r="AP66" s="153">
        <v>62</v>
      </c>
      <c r="AQ66" s="153">
        <f>AP66-AO66</f>
        <v>1</v>
      </c>
      <c r="AR66" s="86" t="s">
        <v>159</v>
      </c>
      <c r="AS66" s="153" t="str">
        <f>BH66&amp;" "&amp;BI66</f>
        <v>TE 5</v>
      </c>
      <c r="AT66" s="153">
        <f>IF(AU66&gt;8,1,IF(AU66&gt;6.4,2,IF(AU66&gt;6,3,IF(AU66&gt;5,4,IF(AU66&gt;3.5,5,IF(AU66&gt;2.5,6,IF(AU66&gt;1.5,7,IF(AU66&gt;0.5,8,IF(AU66&gt;-0.5,9,10)))))))))</f>
        <v>7</v>
      </c>
      <c r="AU66" s="169">
        <f>SUM(AV66,AZ66,BA66)</f>
        <v>2.4268854766666665</v>
      </c>
      <c r="AV66" s="169">
        <f>INDEX(AJ$6:AJ$182,MATCH($AR66,$AF$6:$AF$182,0))</f>
        <v>2.4268854766666665</v>
      </c>
      <c r="AW66" s="169">
        <f>INDEX(AK$6:AK$182,MATCH($AR66,$AF$6:$AF$182,0))</f>
        <v>0.9541166271656214</v>
      </c>
      <c r="AX66" s="168">
        <f>SUMIFS(AV67:AV$183,AV67:AV$183,"&gt;"&amp;0,$BH67:$BH$183,"="&amp;$BH66,$BK67:$BK$183,"="&amp;1)/SUMIFS(AV$6:AV$183,AV$6:AV$183,"&gt;"&amp;0,$BH$6:$BH$183,"="&amp;$BH66)</f>
        <v>0.30238618564554587</v>
      </c>
      <c r="AY66" s="168">
        <f>SUMIFS(AU67:AU$183,AU67:AU$183,"&gt;"&amp;0,BH67:BH$183,"="&amp;BH66,BK67:BK$183,"="&amp;1)/SUMIFS(AU$6:AU$183,AU$6:AU$183,"&gt;"&amp;0,BH$6:BH$183,"="&amp;BH66)</f>
        <v>0.32452110262042089</v>
      </c>
      <c r="AZ66" s="169">
        <f>IF(AW66&gt;Adjustments!$J$6,Adjustments!$L$6,IF(AW66&gt;Adjustments!$J$7,Adjustments!$L$7,IF(AW66&gt;Adjustments!$J$8,Adjustments!$L$8,IF(AW66&lt;Adjustments!$J$10,Adjustments!$L$10,IF(AW66&lt;Adjustments!$J$9,Adjustments!$L$9,0)))))</f>
        <v>0</v>
      </c>
      <c r="BA66" s="169">
        <f>INDEX(Adjustments!$C$4:$C$2520,MATCH(AR66,Adjustments!$B$4:$B$2520,0))</f>
        <v>0</v>
      </c>
      <c r="BB66" s="153" t="str">
        <f>INDEX(AG$6:AG$182,MATCH($AR66,$AF$6:$AF$182,0))</f>
        <v>4</v>
      </c>
      <c r="BC66" s="153">
        <f>INDEX(AH$6:AH$182,MATCH($AR66,$AF$6:$AF$182,0))</f>
        <v>58</v>
      </c>
      <c r="BD66" s="153">
        <f>INDEX(AI$6:AI$182,MATCH($AR66,$AF$6:$AF$182,0))</f>
        <v>-4</v>
      </c>
      <c r="BE66" s="153">
        <f>BC66-AO66</f>
        <v>-3</v>
      </c>
      <c r="BF66" s="153"/>
      <c r="BG66" s="153"/>
      <c r="BH66" s="195" t="str">
        <f>INDEX($AE$6:$AE$182,MATCH(AR66,$AF$6:$AF$182,0))</f>
        <v>TE</v>
      </c>
      <c r="BI66" s="195">
        <f>SUMIF($BH$6:BH66,BH66,$BK$6:BK66)</f>
        <v>5</v>
      </c>
      <c r="BJ66" s="194">
        <v>1</v>
      </c>
      <c r="BK66" s="194">
        <f t="shared" si="4"/>
        <v>1</v>
      </c>
      <c r="BL66" s="194" t="str">
        <f>IF('Real Time Draft Tool'!B66="y","y","")</f>
        <v/>
      </c>
      <c r="BM66" s="194" t="str">
        <f t="shared" si="5"/>
        <v>TE 5</v>
      </c>
    </row>
    <row r="67" spans="2:65" ht="26.25" x14ac:dyDescent="0.25">
      <c r="B67" s="126" t="s">
        <v>10</v>
      </c>
      <c r="C67" s="127"/>
      <c r="D67" s="127"/>
      <c r="E67" s="127"/>
      <c r="F67" s="127"/>
      <c r="G67" s="127"/>
      <c r="H67" s="127"/>
      <c r="I67" s="128"/>
      <c r="J67" s="129"/>
      <c r="K67" s="125" t="s">
        <v>11</v>
      </c>
      <c r="L67" s="126" t="s">
        <v>11</v>
      </c>
      <c r="M67" s="127"/>
      <c r="N67" s="127"/>
      <c r="O67" s="127"/>
      <c r="P67" s="127"/>
      <c r="Q67" s="127"/>
      <c r="R67" s="127"/>
      <c r="S67" s="128"/>
      <c r="T67" s="129"/>
      <c r="U67" s="125" t="s">
        <v>12</v>
      </c>
      <c r="V67" s="126" t="s">
        <v>12</v>
      </c>
      <c r="W67" s="127"/>
      <c r="X67" s="127"/>
      <c r="Y67" s="127"/>
      <c r="Z67" s="127"/>
      <c r="AA67" s="127"/>
      <c r="AB67" s="127"/>
      <c r="AC67" s="128"/>
      <c r="AE67" s="195" t="s">
        <v>259</v>
      </c>
      <c r="AF67" s="195" t="str">
        <f t="shared" si="9"/>
        <v>Fred Jackson</v>
      </c>
      <c r="AG67" s="195" t="str">
        <f t="shared" si="9"/>
        <v>9</v>
      </c>
      <c r="AH67" s="195">
        <f t="shared" si="10"/>
        <v>101</v>
      </c>
      <c r="AI67" s="195">
        <f t="shared" si="8"/>
        <v>23</v>
      </c>
      <c r="AJ67" s="195">
        <f t="shared" si="11"/>
        <v>1.5744326116666669</v>
      </c>
      <c r="AK67" s="195">
        <f t="shared" si="11"/>
        <v>1.0731339662681803</v>
      </c>
      <c r="AL67" s="195">
        <f t="shared" si="11"/>
        <v>4.2796918857232948E-2</v>
      </c>
      <c r="AM67" s="195" t="str">
        <f t="shared" si="11"/>
        <v>7</v>
      </c>
      <c r="AN67" s="153"/>
      <c r="AO67" s="153">
        <v>62</v>
      </c>
      <c r="AP67" s="153">
        <v>58</v>
      </c>
      <c r="AQ67" s="153">
        <f>AP67-AO67</f>
        <v>-4</v>
      </c>
      <c r="AR67" s="86" t="s">
        <v>95</v>
      </c>
      <c r="AS67" s="153" t="str">
        <f>BH67&amp;" "&amp;BI67</f>
        <v>RB 26</v>
      </c>
      <c r="AT67" s="153">
        <f>IF(AU67&gt;8,1,IF(AU67&gt;6.4,2,IF(AU67&gt;6,3,IF(AU67&gt;5,4,IF(AU67&gt;3.5,5,IF(AU67&gt;2.5,6,IF(AU67&gt;1.5,7,IF(AU67&gt;0.5,8,IF(AU67&gt;-0.5,9,10)))))))))</f>
        <v>7</v>
      </c>
      <c r="AU67" s="169">
        <f>SUM(AV67,AZ67,BA67)</f>
        <v>2.4084440599999999</v>
      </c>
      <c r="AV67" s="169">
        <f>INDEX(AJ$6:AJ$182,MATCH($AR67,$AF$6:$AF$182,0))</f>
        <v>2.5584440599999998</v>
      </c>
      <c r="AW67" s="169">
        <f>INDEX(AK$6:AK$182,MATCH($AR67,$AF$6:$AF$182,0))</f>
        <v>1.0718215010038779</v>
      </c>
      <c r="AX67" s="168">
        <f>SUMIFS(AV68:AV$183,AV68:AV$183,"&gt;"&amp;0,$BH68:$BH$183,"="&amp;$BH67,$BK68:$BK$183,"="&amp;1)/SUMIFS(AV$6:AV$183,AV$6:AV$183,"&gt;"&amp;0,$BH$6:$BH$183,"="&amp;$BH67)</f>
        <v>0.10200097158493668</v>
      </c>
      <c r="AY67" s="168">
        <f>SUMIFS(AU68:AU$183,AU68:AU$183,"&gt;"&amp;0,BH68:BH$183,"="&amp;BH67,BK68:BK$183,"="&amp;1)/SUMIFS(AU$6:AU$183,AU$6:AU$183,"&gt;"&amp;0,BH$6:BH$183,"="&amp;BH67)</f>
        <v>8.745114097461823E-2</v>
      </c>
      <c r="AZ67" s="169">
        <f>IF(AW67&gt;Adjustments!$J$6,Adjustments!$L$6,IF(AW67&gt;Adjustments!$J$7,Adjustments!$L$7,IF(AW67&gt;Adjustments!$J$8,Adjustments!$L$8,IF(AW67&lt;Adjustments!$J$10,Adjustments!$L$10,IF(AW67&lt;Adjustments!$J$9,Adjustments!$L$9,0)))))</f>
        <v>-0.15</v>
      </c>
      <c r="BA67" s="169">
        <f>INDEX(Adjustments!$C$4:$C$2520,MATCH(AR67,Adjustments!$B$4:$B$2520,0))</f>
        <v>0</v>
      </c>
      <c r="BB67" s="153" t="str">
        <f>INDEX(AG$6:AG$182,MATCH($AR67,$AF$6:$AF$182,0))</f>
        <v>6</v>
      </c>
      <c r="BC67" s="153">
        <f>INDEX(AH$6:AH$182,MATCH($AR67,$AF$6:$AF$182,0))</f>
        <v>72</v>
      </c>
      <c r="BD67" s="153">
        <f>INDEX(AI$6:AI$182,MATCH($AR67,$AF$6:$AF$182,0))</f>
        <v>14</v>
      </c>
      <c r="BE67" s="153">
        <f>BC67-AO67</f>
        <v>10</v>
      </c>
      <c r="BF67" s="153"/>
      <c r="BG67" s="153"/>
      <c r="BH67" s="195" t="str">
        <f>INDEX($AE$6:$AE$182,MATCH(AR67,$AF$6:$AF$182,0))</f>
        <v>RB</v>
      </c>
      <c r="BI67" s="195">
        <f>SUMIF($BH$6:BH67,BH67,$BK$6:BK67)</f>
        <v>26</v>
      </c>
      <c r="BJ67" s="194">
        <v>1</v>
      </c>
      <c r="BK67" s="194">
        <f t="shared" si="4"/>
        <v>1</v>
      </c>
      <c r="BL67" s="194" t="str">
        <f>IF('Real Time Draft Tool'!B67="y","y","")</f>
        <v/>
      </c>
      <c r="BM67" s="194" t="str">
        <f t="shared" si="5"/>
        <v>RB 26</v>
      </c>
    </row>
    <row r="68" spans="2:65" ht="27" thickBot="1" x14ac:dyDescent="0.3">
      <c r="B68" s="131"/>
      <c r="C68" s="132"/>
      <c r="D68" s="132"/>
      <c r="E68" s="132"/>
      <c r="F68" s="132"/>
      <c r="G68" s="132"/>
      <c r="H68" s="132"/>
      <c r="I68" s="133"/>
      <c r="J68" s="129"/>
      <c r="K68" s="130"/>
      <c r="L68" s="131"/>
      <c r="M68" s="132"/>
      <c r="N68" s="132"/>
      <c r="O68" s="132"/>
      <c r="P68" s="132"/>
      <c r="Q68" s="132"/>
      <c r="R68" s="132"/>
      <c r="S68" s="133"/>
      <c r="T68" s="129"/>
      <c r="U68" s="130"/>
      <c r="V68" s="131"/>
      <c r="W68" s="132"/>
      <c r="X68" s="132"/>
      <c r="Y68" s="132"/>
      <c r="Z68" s="132"/>
      <c r="AA68" s="132"/>
      <c r="AB68" s="132"/>
      <c r="AC68" s="133"/>
      <c r="AE68" s="195" t="s">
        <v>259</v>
      </c>
      <c r="AF68" s="195" t="str">
        <f t="shared" si="9"/>
        <v>Maurice Jones-Drew</v>
      </c>
      <c r="AG68" s="195" t="str">
        <f t="shared" si="9"/>
        <v>5</v>
      </c>
      <c r="AH68" s="195">
        <f t="shared" si="10"/>
        <v>88</v>
      </c>
      <c r="AI68" s="195">
        <f t="shared" si="8"/>
        <v>5</v>
      </c>
      <c r="AJ68" s="195">
        <f t="shared" si="11"/>
        <v>1.4121940800000004</v>
      </c>
      <c r="AK68" s="195">
        <f t="shared" si="11"/>
        <v>1.2788280836430697</v>
      </c>
      <c r="AL68" s="195">
        <f t="shared" si="11"/>
        <v>3.3532587848141622E-2</v>
      </c>
      <c r="AM68" s="195" t="str">
        <f t="shared" si="11"/>
        <v>7-</v>
      </c>
      <c r="AN68" s="153"/>
      <c r="AO68" s="153">
        <v>63</v>
      </c>
      <c r="AP68" s="153">
        <v>53</v>
      </c>
      <c r="AQ68" s="153">
        <f>AP68-AO68</f>
        <v>-10</v>
      </c>
      <c r="AR68" s="86" t="s">
        <v>127</v>
      </c>
      <c r="AS68" s="153" t="str">
        <f>BH68&amp;" "&amp;BI68</f>
        <v>RB 27</v>
      </c>
      <c r="AT68" s="153">
        <f>IF(AU68&gt;8,1,IF(AU68&gt;6.4,2,IF(AU68&gt;6,3,IF(AU68&gt;5,4,IF(AU68&gt;3.5,5,IF(AU68&gt;2.5,6,IF(AU68&gt;1.5,7,IF(AU68&gt;0.5,8,IF(AU68&gt;-0.5,9,10)))))))))</f>
        <v>7</v>
      </c>
      <c r="AU68" s="169">
        <f>SUM(AV68,AZ68,BA68)</f>
        <v>2.3885450016666674</v>
      </c>
      <c r="AV68" s="169">
        <f>INDEX(AJ$6:AJ$182,MATCH($AR68,$AF$6:$AF$182,0))</f>
        <v>2.6885450016666672</v>
      </c>
      <c r="AW68" s="169">
        <f>INDEX(AK$6:AK$182,MATCH($AR68,$AF$6:$AF$182,0))</f>
        <v>1.4322759382465609</v>
      </c>
      <c r="AX68" s="168">
        <f>SUMIFS(AV69:AV$183,AV69:AV$183,"&gt;"&amp;0,$BH69:$BH$183,"="&amp;$BH68,$BK69:$BK$183,"="&amp;1)/SUMIFS(AV$6:AV$183,AV$6:AV$183,"&gt;"&amp;0,$BH$6:$BH$183,"="&amp;$BH68)</f>
        <v>8.4363473183670282E-2</v>
      </c>
      <c r="AY68" s="168">
        <f>SUMIFS(AU69:AU$183,AU69:AU$183,"&gt;"&amp;0,BH69:BH$183,"="&amp;BH68,BK69:BK$183,"="&amp;1)/SUMIFS(AU$6:AU$183,AU$6:AU$183,"&gt;"&amp;0,BH$6:BH$183,"="&amp;BH68)</f>
        <v>7.0936671134278068E-2</v>
      </c>
      <c r="AZ68" s="169">
        <f>IF(AW68&gt;Adjustments!$J$6,Adjustments!$L$6,IF(AW68&gt;Adjustments!$J$7,Adjustments!$L$7,IF(AW68&gt;Adjustments!$J$8,Adjustments!$L$8,IF(AW68&lt;Adjustments!$J$10,Adjustments!$L$10,IF(AW68&lt;Adjustments!$J$9,Adjustments!$L$9,0)))))</f>
        <v>-0.3</v>
      </c>
      <c r="BA68" s="169">
        <f>INDEX(Adjustments!$C$4:$C$2520,MATCH(AR68,Adjustments!$B$4:$B$2520,0))</f>
        <v>0</v>
      </c>
      <c r="BB68" s="153" t="str">
        <f>INDEX(AG$6:AG$182,MATCH($AR68,$AF$6:$AF$182,0))</f>
        <v>8</v>
      </c>
      <c r="BC68" s="153">
        <f>INDEX(AH$6:AH$182,MATCH($AR68,$AF$6:$AF$182,0))</f>
        <v>55</v>
      </c>
      <c r="BD68" s="153">
        <f>INDEX(AI$6:AI$182,MATCH($AR68,$AF$6:$AF$182,0))</f>
        <v>2</v>
      </c>
      <c r="BE68" s="153">
        <f>BC68-AO68</f>
        <v>-8</v>
      </c>
      <c r="BF68" s="153"/>
      <c r="BG68" s="153"/>
      <c r="BH68" s="195" t="str">
        <f>INDEX($AE$6:$AE$182,MATCH(AR68,$AF$6:$AF$182,0))</f>
        <v>RB</v>
      </c>
      <c r="BI68" s="195">
        <f>SUMIF($BH$6:BH68,BH68,$BK$6:BK68)</f>
        <v>27</v>
      </c>
      <c r="BJ68" s="194">
        <v>1</v>
      </c>
      <c r="BK68" s="194">
        <f t="shared" si="4"/>
        <v>1</v>
      </c>
      <c r="BL68" s="194" t="str">
        <f>IF('Real Time Draft Tool'!B68="y","y","")</f>
        <v/>
      </c>
      <c r="BM68" s="194" t="str">
        <f t="shared" si="5"/>
        <v>RB 27</v>
      </c>
    </row>
    <row r="69" spans="2:65" ht="26.25" x14ac:dyDescent="0.25">
      <c r="B69" s="126" t="s">
        <v>13</v>
      </c>
      <c r="C69" s="127"/>
      <c r="D69" s="127"/>
      <c r="E69" s="127"/>
      <c r="F69" s="127"/>
      <c r="G69" s="127"/>
      <c r="H69" s="127"/>
      <c r="I69" s="128"/>
      <c r="J69" s="129"/>
      <c r="K69" s="125" t="s">
        <v>14</v>
      </c>
      <c r="L69" s="126" t="s">
        <v>14</v>
      </c>
      <c r="M69" s="127"/>
      <c r="N69" s="127"/>
      <c r="O69" s="127"/>
      <c r="P69" s="127"/>
      <c r="Q69" s="127"/>
      <c r="R69" s="127"/>
      <c r="S69" s="128"/>
      <c r="T69" s="129"/>
      <c r="U69" s="125" t="s">
        <v>15</v>
      </c>
      <c r="V69" s="126" t="s">
        <v>15</v>
      </c>
      <c r="W69" s="127"/>
      <c r="X69" s="127"/>
      <c r="Y69" s="127"/>
      <c r="Z69" s="127"/>
      <c r="AA69" s="127"/>
      <c r="AB69" s="127"/>
      <c r="AC69" s="128"/>
      <c r="AE69" s="195" t="s">
        <v>259</v>
      </c>
      <c r="AF69" s="195" t="str">
        <f t="shared" si="9"/>
        <v>Steven Jackson</v>
      </c>
      <c r="AG69" s="195" t="str">
        <f t="shared" si="9"/>
        <v>9</v>
      </c>
      <c r="AH69" s="195">
        <f t="shared" si="10"/>
        <v>79</v>
      </c>
      <c r="AI69" s="195">
        <f t="shared" si="8"/>
        <v>-8</v>
      </c>
      <c r="AJ69" s="195">
        <f t="shared" si="11"/>
        <v>1.1949170066666666</v>
      </c>
      <c r="AK69" s="195">
        <f t="shared" si="11"/>
        <v>1.7246192344363667</v>
      </c>
      <c r="AL69" s="195">
        <f t="shared" si="11"/>
        <v>2.5693646420096233E-2</v>
      </c>
      <c r="AM69" s="195" t="str">
        <f t="shared" si="11"/>
        <v>7+</v>
      </c>
      <c r="AN69" s="153"/>
      <c r="AO69" s="153">
        <v>64</v>
      </c>
      <c r="AP69" s="153">
        <v>59</v>
      </c>
      <c r="AQ69" s="153">
        <f>AP69-AO69</f>
        <v>-5</v>
      </c>
      <c r="AR69" s="86" t="s">
        <v>111</v>
      </c>
      <c r="AS69" s="153" t="str">
        <f>BH69&amp;" "&amp;BI69</f>
        <v>WR 25</v>
      </c>
      <c r="AT69" s="153">
        <f>IF(AU69&gt;8,1,IF(AU69&gt;6.4,2,IF(AU69&gt;6,3,IF(AU69&gt;5,4,IF(AU69&gt;3.5,5,IF(AU69&gt;2.5,6,IF(AU69&gt;1.5,7,IF(AU69&gt;0.5,8,IF(AU69&gt;-0.5,9,10)))))))))</f>
        <v>7</v>
      </c>
      <c r="AU69" s="169">
        <f>SUM(AV69,AZ69,BA69)</f>
        <v>2.2195366583333338</v>
      </c>
      <c r="AV69" s="169">
        <f>INDEX(AJ$6:AJ$182,MATCH($AR69,$AF$6:$AF$182,0))</f>
        <v>2.5195366583333336</v>
      </c>
      <c r="AW69" s="169">
        <f>INDEX(AK$6:AK$182,MATCH($AR69,$AF$6:$AF$182,0))</f>
        <v>1.3043622316256431</v>
      </c>
      <c r="AX69" s="168">
        <f>SUMIFS(AV70:AV$183,AV70:AV$183,"&gt;"&amp;0,$BH70:$BH$183,"="&amp;$BH69,$BK70:$BK$183,"="&amp;1)/SUMIFS(AV$6:AV$183,AV$6:AV$183,"&gt;"&amp;0,$BH$6:$BH$183,"="&amp;$BH69)</f>
        <v>0.15587689675061858</v>
      </c>
      <c r="AY69" s="168">
        <f>SUMIFS(AU70:AU$183,AU70:AU$183,"&gt;"&amp;0,BH70:BH$183,"="&amp;BH69,BK70:BK$183,"="&amp;1)/SUMIFS(AU$6:AU$183,AU$6:AU$183,"&gt;"&amp;0,BH$6:BH$183,"="&amp;BH69)</f>
        <v>0.15638983168880558</v>
      </c>
      <c r="AZ69" s="169">
        <f>IF(AW69&gt;Adjustments!$J$6,Adjustments!$L$6,IF(AW69&gt;Adjustments!$J$7,Adjustments!$L$7,IF(AW69&gt;Adjustments!$J$8,Adjustments!$L$8,IF(AW69&lt;Adjustments!$J$10,Adjustments!$L$10,IF(AW69&lt;Adjustments!$J$9,Adjustments!$L$9,0)))))</f>
        <v>-0.3</v>
      </c>
      <c r="BA69" s="169">
        <f>INDEX(Adjustments!$C$4:$C$2520,MATCH(AR69,Adjustments!$B$4:$B$2520,0))</f>
        <v>0</v>
      </c>
      <c r="BB69" s="153" t="str">
        <f>INDEX(AG$6:AG$182,MATCH($AR69,$AF$6:$AF$182,0))</f>
        <v>4</v>
      </c>
      <c r="BC69" s="153">
        <f>INDEX(AH$6:AH$182,MATCH($AR69,$AF$6:$AF$182,0))</f>
        <v>50</v>
      </c>
      <c r="BD69" s="153">
        <f>INDEX(AI$6:AI$182,MATCH($AR69,$AF$6:$AF$182,0))</f>
        <v>-9</v>
      </c>
      <c r="BE69" s="153">
        <f>BC69-AO69</f>
        <v>-14</v>
      </c>
      <c r="BF69" s="153"/>
      <c r="BG69" s="153"/>
      <c r="BH69" s="195" t="str">
        <f>INDEX($AE$6:$AE$182,MATCH(AR69,$AF$6:$AF$182,0))</f>
        <v>WR</v>
      </c>
      <c r="BI69" s="195">
        <f>SUMIF($BH$6:BH69,BH69,$BK$6:BK69)</f>
        <v>25</v>
      </c>
      <c r="BJ69" s="194">
        <v>1</v>
      </c>
      <c r="BK69" s="194">
        <f t="shared" si="4"/>
        <v>1</v>
      </c>
      <c r="BL69" s="194" t="str">
        <f>IF('Real Time Draft Tool'!B69="y","y","")</f>
        <v/>
      </c>
      <c r="BM69" s="194" t="str">
        <f t="shared" si="5"/>
        <v>WR 25</v>
      </c>
    </row>
    <row r="70" spans="2:65" ht="27" thickBot="1" x14ac:dyDescent="0.3">
      <c r="B70" s="131"/>
      <c r="C70" s="132"/>
      <c r="D70" s="132"/>
      <c r="E70" s="132"/>
      <c r="F70" s="132"/>
      <c r="G70" s="132"/>
      <c r="H70" s="132"/>
      <c r="I70" s="133"/>
      <c r="J70" s="129"/>
      <c r="K70" s="130"/>
      <c r="L70" s="131"/>
      <c r="M70" s="132"/>
      <c r="N70" s="132"/>
      <c r="O70" s="132"/>
      <c r="P70" s="132"/>
      <c r="Q70" s="132"/>
      <c r="R70" s="132"/>
      <c r="S70" s="133"/>
      <c r="T70" s="129"/>
      <c r="U70" s="130"/>
      <c r="V70" s="131"/>
      <c r="W70" s="132"/>
      <c r="X70" s="132"/>
      <c r="Y70" s="132"/>
      <c r="Z70" s="132"/>
      <c r="AA70" s="132"/>
      <c r="AB70" s="132"/>
      <c r="AC70" s="133"/>
      <c r="AE70" s="195" t="s">
        <v>259</v>
      </c>
      <c r="AF70" s="195" t="str">
        <f t="shared" si="9"/>
        <v>Danny Woodhead</v>
      </c>
      <c r="AG70" s="195" t="str">
        <f t="shared" si="9"/>
        <v>10</v>
      </c>
      <c r="AH70" s="195">
        <f t="shared" si="10"/>
        <v>93</v>
      </c>
      <c r="AI70" s="195">
        <f t="shared" si="8"/>
        <v>3</v>
      </c>
      <c r="AJ70" s="195">
        <f t="shared" si="11"/>
        <v>1.0308472450000001</v>
      </c>
      <c r="AK70" s="195">
        <f t="shared" si="11"/>
        <v>1.0515483057481168</v>
      </c>
      <c r="AL70" s="195">
        <f t="shared" si="11"/>
        <v>1.8931041879585962E-2</v>
      </c>
      <c r="AM70" s="195" t="str">
        <f t="shared" si="11"/>
        <v>7</v>
      </c>
      <c r="AN70" s="153"/>
      <c r="AO70" s="153">
        <v>65</v>
      </c>
      <c r="AP70" s="153">
        <v>65</v>
      </c>
      <c r="AQ70" s="153">
        <f>AP70-AO70</f>
        <v>0</v>
      </c>
      <c r="AR70" s="86" t="s">
        <v>121</v>
      </c>
      <c r="AS70" s="153" t="str">
        <f>BH70&amp;" "&amp;BI70</f>
        <v>RB 28</v>
      </c>
      <c r="AT70" s="153">
        <f>IF(AU70&gt;8,1,IF(AU70&gt;6.4,2,IF(AU70&gt;6,3,IF(AU70&gt;5,4,IF(AU70&gt;3.5,5,IF(AU70&gt;2.5,6,IF(AU70&gt;1.5,7,IF(AU70&gt;0.5,8,IF(AU70&gt;-0.5,9,10)))))))))</f>
        <v>7</v>
      </c>
      <c r="AU70" s="169">
        <f>SUM(AV70,AZ70,BA70)</f>
        <v>2.2189093709090915</v>
      </c>
      <c r="AV70" s="169">
        <f>INDEX(AJ$6:AJ$182,MATCH($AR70,$AF$6:$AF$182,0))</f>
        <v>2.3689093709090914</v>
      </c>
      <c r="AW70" s="169">
        <f>INDEX(AK$6:AK$182,MATCH($AR70,$AF$6:$AF$182,0))</f>
        <v>1.0512535509614651</v>
      </c>
      <c r="AX70" s="168">
        <f>SUMIFS(AV71:AV$183,AV71:AV$183,"&gt;"&amp;0,$BH71:$BH$183,"="&amp;$BH70,$BK71:$BK$183,"="&amp;1)/SUMIFS(AV$6:AV$183,AV$6:AV$183,"&gt;"&amp;0,$BH$6:$BH$183,"="&amp;$BH70)</f>
        <v>6.8822860987760179E-2</v>
      </c>
      <c r="AY70" s="168">
        <f>SUMIFS(AU71:AU$183,AU71:AU$183,"&gt;"&amp;0,BH71:BH$183,"="&amp;BH70,BK71:BK$183,"="&amp;1)/SUMIFS(AU$6:AU$183,AU$6:AU$183,"&gt;"&amp;0,BH$6:BH$183,"="&amp;BH70)</f>
        <v>5.5595066995039764E-2</v>
      </c>
      <c r="AZ70" s="169">
        <f>IF(AW70&gt;Adjustments!$J$6,Adjustments!$L$6,IF(AW70&gt;Adjustments!$J$7,Adjustments!$L$7,IF(AW70&gt;Adjustments!$J$8,Adjustments!$L$8,IF(AW70&lt;Adjustments!$J$10,Adjustments!$L$10,IF(AW70&lt;Adjustments!$J$9,Adjustments!$L$9,0)))))</f>
        <v>-0.15</v>
      </c>
      <c r="BA70" s="169">
        <f>INDEX(Adjustments!$C$4:$C$2520,MATCH(AR70,Adjustments!$B$4:$B$2520,0))</f>
        <v>0</v>
      </c>
      <c r="BB70" s="153" t="str">
        <f>INDEX(AG$6:AG$182,MATCH($AR70,$AF$6:$AF$182,0))</f>
        <v>11</v>
      </c>
      <c r="BC70" s="153">
        <f>INDEX(AH$6:AH$182,MATCH($AR70,$AF$6:$AF$182,0))</f>
        <v>64</v>
      </c>
      <c r="BD70" s="153">
        <f>INDEX(AI$6:AI$182,MATCH($AR70,$AF$6:$AF$182,0))</f>
        <v>-1</v>
      </c>
      <c r="BE70" s="153">
        <f>BC70-AO70</f>
        <v>-1</v>
      </c>
      <c r="BF70" s="153"/>
      <c r="BG70" s="153"/>
      <c r="BH70" s="195" t="str">
        <f>INDEX($AE$6:$AE$182,MATCH(AR70,$AF$6:$AF$182,0))</f>
        <v>RB</v>
      </c>
      <c r="BI70" s="195">
        <f>SUMIF($BH$6:BH70,BH70,$BK$6:BK70)</f>
        <v>28</v>
      </c>
      <c r="BJ70" s="194">
        <v>1</v>
      </c>
      <c r="BK70" s="194">
        <f t="shared" si="4"/>
        <v>1</v>
      </c>
      <c r="BL70" s="194" t="str">
        <f>IF('Real Time Draft Tool'!B70="y","y","")</f>
        <v/>
      </c>
      <c r="BM70" s="194" t="str">
        <f t="shared" si="5"/>
        <v>RB 28</v>
      </c>
    </row>
    <row r="71" spans="2:65" ht="26.25" x14ac:dyDescent="0.25">
      <c r="B71" s="126" t="s">
        <v>16</v>
      </c>
      <c r="C71" s="127"/>
      <c r="D71" s="127"/>
      <c r="E71" s="127"/>
      <c r="F71" s="127"/>
      <c r="G71" s="127"/>
      <c r="H71" s="127"/>
      <c r="I71" s="128"/>
      <c r="J71" s="129"/>
      <c r="K71" s="125" t="s">
        <v>17</v>
      </c>
      <c r="L71" s="126" t="s">
        <v>17</v>
      </c>
      <c r="M71" s="127"/>
      <c r="N71" s="127"/>
      <c r="O71" s="127"/>
      <c r="P71" s="127"/>
      <c r="Q71" s="127"/>
      <c r="R71" s="127"/>
      <c r="S71" s="128"/>
      <c r="T71" s="129"/>
      <c r="U71" s="125" t="s">
        <v>18</v>
      </c>
      <c r="V71" s="126" t="s">
        <v>18</v>
      </c>
      <c r="W71" s="127"/>
      <c r="X71" s="127"/>
      <c r="Y71" s="127"/>
      <c r="Z71" s="127"/>
      <c r="AA71" s="127"/>
      <c r="AB71" s="127"/>
      <c r="AC71" s="128"/>
      <c r="AE71" s="195" t="s">
        <v>259</v>
      </c>
      <c r="AF71" s="195" t="str">
        <f t="shared" si="9"/>
        <v>Stevan Ridley</v>
      </c>
      <c r="AG71" s="195" t="str">
        <f t="shared" si="9"/>
        <v>10</v>
      </c>
      <c r="AH71" s="195">
        <f t="shared" si="10"/>
        <v>76</v>
      </c>
      <c r="AI71" s="195">
        <f t="shared" si="8"/>
        <v>-16</v>
      </c>
      <c r="AJ71" s="195">
        <f t="shared" si="11"/>
        <v>1.0010419666666668</v>
      </c>
      <c r="AK71" s="195">
        <f t="shared" si="11"/>
        <v>1.0282647332970356</v>
      </c>
      <c r="AL71" s="195">
        <f t="shared" si="11"/>
        <v>1.2363967095366728E-2</v>
      </c>
      <c r="AM71" s="195" t="str">
        <f t="shared" si="11"/>
        <v>7-</v>
      </c>
      <c r="AN71" s="153"/>
      <c r="AO71" s="153">
        <v>66</v>
      </c>
      <c r="AP71" s="153">
        <v>70</v>
      </c>
      <c r="AQ71" s="153">
        <f>AP71-AO71</f>
        <v>4</v>
      </c>
      <c r="AR71" s="86" t="s">
        <v>51</v>
      </c>
      <c r="AS71" s="153" t="str">
        <f>BH71&amp;" "&amp;BI71</f>
        <v>QB 8</v>
      </c>
      <c r="AT71" s="153">
        <f>IF(AU71&gt;8,1,IF(AU71&gt;6.4,2,IF(AU71&gt;6,3,IF(AU71&gt;5,4,IF(AU71&gt;3.5,5,IF(AU71&gt;2.5,6,IF(AU71&gt;1.5,7,IF(AU71&gt;0.5,8,IF(AU71&gt;-0.5,9,10)))))))))</f>
        <v>7</v>
      </c>
      <c r="AU71" s="169">
        <f>SUM(AV71,AZ71,BA71)</f>
        <v>2.1184740283333334</v>
      </c>
      <c r="AV71" s="169">
        <f>INDEX(AJ$6:AJ$182,MATCH($AR71,$AF$6:$AF$182,0))</f>
        <v>2.1184740283333334</v>
      </c>
      <c r="AW71" s="169">
        <f>INDEX(AK$6:AK$182,MATCH($AR71,$AF$6:$AF$182,0))</f>
        <v>0.88846991953062171</v>
      </c>
      <c r="AX71" s="168">
        <f>SUMIFS(AV72:AV$183,AV72:AV$183,"&gt;"&amp;0,$BH72:$BH$183,"="&amp;$BH71,$BK72:$BK$183,"="&amp;1)/SUMIFS(AV$6:AV$183,AV$6:AV$183,"&gt;"&amp;0,$BH$6:$BH$183,"="&amp;$BH71)</f>
        <v>0.23857070568296684</v>
      </c>
      <c r="AY71" s="168">
        <f>SUMIFS(AU72:AU$183,AU72:AU$183,"&gt;"&amp;0,BH72:BH$183,"="&amp;BH71,BK72:BK$183,"="&amp;1)/SUMIFS(AU$6:AU$183,AU$6:AU$183,"&gt;"&amp;0,BH$6:BH$183,"="&amp;BH71)</f>
        <v>0.26757673505462853</v>
      </c>
      <c r="AZ71" s="169">
        <f>IF(AW71&gt;Adjustments!$J$6,Adjustments!$L$6,IF(AW71&gt;Adjustments!$J$7,Adjustments!$L$7,IF(AW71&gt;Adjustments!$J$8,Adjustments!$L$8,IF(AW71&lt;Adjustments!$J$10,Adjustments!$L$10,IF(AW71&lt;Adjustments!$J$9,Adjustments!$L$9,0)))))</f>
        <v>0</v>
      </c>
      <c r="BA71" s="169">
        <f>INDEX(Adjustments!$C$4:$C$2520,MATCH(AR71,Adjustments!$B$4:$B$2520,0))</f>
        <v>0</v>
      </c>
      <c r="BB71" s="153" t="str">
        <f>INDEX(AG$6:AG$182,MATCH($AR71,$AF$6:$AF$182,0))</f>
        <v>10</v>
      </c>
      <c r="BC71" s="153">
        <f>INDEX(AH$6:AH$182,MATCH($AR71,$AF$6:$AF$182,0))</f>
        <v>67</v>
      </c>
      <c r="BD71" s="153">
        <f>INDEX(AI$6:AI$182,MATCH($AR71,$AF$6:$AF$182,0))</f>
        <v>-3</v>
      </c>
      <c r="BE71" s="153">
        <f>BC71-AO71</f>
        <v>1</v>
      </c>
      <c r="BF71" s="153"/>
      <c r="BG71" s="153"/>
      <c r="BH71" s="195" t="str">
        <f>INDEX($AE$6:$AE$182,MATCH(AR71,$AF$6:$AF$182,0))</f>
        <v>QB</v>
      </c>
      <c r="BI71" s="195">
        <f>SUMIF($BH$6:BH71,BH71,$BK$6:BK71)</f>
        <v>8</v>
      </c>
      <c r="BJ71" s="194">
        <v>1</v>
      </c>
      <c r="BK71" s="194">
        <f t="shared" ref="BK71:BK134" si="12">IF(BL71="y",0,1)</f>
        <v>1</v>
      </c>
      <c r="BL71" s="194" t="str">
        <f>IF('Real Time Draft Tool'!B71="y","y","")</f>
        <v/>
      </c>
      <c r="BM71" s="194" t="str">
        <f t="shared" ref="BM71:BM134" si="13">IF(BK71=1,BH71&amp;" "&amp;BI71)</f>
        <v>QB 8</v>
      </c>
    </row>
    <row r="72" spans="2:65" ht="27" thickBot="1" x14ac:dyDescent="0.3">
      <c r="B72" s="131"/>
      <c r="C72" s="132"/>
      <c r="D72" s="132"/>
      <c r="E72" s="132"/>
      <c r="F72" s="132"/>
      <c r="G72" s="132"/>
      <c r="H72" s="132"/>
      <c r="I72" s="133"/>
      <c r="J72" s="129"/>
      <c r="K72" s="130"/>
      <c r="L72" s="131"/>
      <c r="M72" s="132"/>
      <c r="N72" s="132"/>
      <c r="O72" s="132"/>
      <c r="P72" s="132"/>
      <c r="Q72" s="132"/>
      <c r="R72" s="132"/>
      <c r="S72" s="133"/>
      <c r="T72" s="129"/>
      <c r="U72" s="130"/>
      <c r="V72" s="131"/>
      <c r="W72" s="132"/>
      <c r="X72" s="132"/>
      <c r="Y72" s="132"/>
      <c r="Z72" s="132"/>
      <c r="AA72" s="132"/>
      <c r="AB72" s="132"/>
      <c r="AC72" s="133"/>
      <c r="AE72" s="195" t="s">
        <v>259</v>
      </c>
      <c r="AF72" s="195" t="str">
        <f t="shared" si="9"/>
        <v>Lamar Miller</v>
      </c>
      <c r="AG72" s="195" t="str">
        <f t="shared" si="9"/>
        <v>5</v>
      </c>
      <c r="AH72" s="195">
        <f t="shared" si="10"/>
        <v>95</v>
      </c>
      <c r="AI72" s="195">
        <f t="shared" si="8"/>
        <v>1</v>
      </c>
      <c r="AJ72" s="195">
        <f t="shared" si="11"/>
        <v>0.86701076666666665</v>
      </c>
      <c r="AK72" s="195">
        <f t="shared" si="11"/>
        <v>1.4781760225273619</v>
      </c>
      <c r="AL72" s="195">
        <f t="shared" si="11"/>
        <v>6.6761690479157183E-3</v>
      </c>
      <c r="AM72" s="195" t="str">
        <f t="shared" si="11"/>
        <v>7</v>
      </c>
      <c r="AN72" s="153"/>
      <c r="AO72" s="153">
        <v>67</v>
      </c>
      <c r="AP72" s="153">
        <v>63</v>
      </c>
      <c r="AQ72" s="153">
        <f>AP72-AO72</f>
        <v>-4</v>
      </c>
      <c r="AR72" s="86" t="s">
        <v>124</v>
      </c>
      <c r="AS72" s="153" t="str">
        <f>BH72&amp;" "&amp;BI72</f>
        <v>RB 29</v>
      </c>
      <c r="AT72" s="153">
        <f>IF(AU72&gt;8,1,IF(AU72&gt;6.4,2,IF(AU72&gt;6,3,IF(AU72&gt;5,4,IF(AU72&gt;3.5,5,IF(AU72&gt;2.5,6,IF(AU72&gt;1.5,7,IF(AU72&gt;0.5,8,IF(AU72&gt;-0.5,9,10)))))))))</f>
        <v>7</v>
      </c>
      <c r="AU72" s="169">
        <f>SUM(AV72,AZ72,BA72)</f>
        <v>2.092791936666667</v>
      </c>
      <c r="AV72" s="169">
        <f>INDEX(AJ$6:AJ$182,MATCH($AR72,$AF$6:$AF$182,0))</f>
        <v>2.3927919366666668</v>
      </c>
      <c r="AW72" s="169">
        <f>INDEX(AK$6:AK$182,MATCH($AR72,$AF$6:$AF$182,0))</f>
        <v>1.2817624577534104</v>
      </c>
      <c r="AX72" s="168">
        <f>SUMIFS(AV73:AV$183,AV73:AV$183,"&gt;"&amp;0,$BH73:$BH$183,"="&amp;$BH72,$BK73:$BK$183,"="&amp;1)/SUMIFS(AV$6:AV$183,AV$6:AV$183,"&gt;"&amp;0,$BH$6:$BH$183,"="&amp;$BH72)</f>
        <v>5.3125573446967937E-2</v>
      </c>
      <c r="AY72" s="168">
        <f>SUMIFS(AU73:AU$183,AU73:AU$183,"&gt;"&amp;0,BH73:BH$183,"="&amp;BH72,BK73:BK$183,"="&amp;1)/SUMIFS(AU$6:AU$183,AU$6:AU$183,"&gt;"&amp;0,BH$6:BH$183,"="&amp;BH72)</f>
        <v>4.1125442476316998E-2</v>
      </c>
      <c r="AZ72" s="169">
        <f>IF(AW72&gt;Adjustments!$J$6,Adjustments!$L$6,IF(AW72&gt;Adjustments!$J$7,Adjustments!$L$7,IF(AW72&gt;Adjustments!$J$8,Adjustments!$L$8,IF(AW72&lt;Adjustments!$J$10,Adjustments!$L$10,IF(AW72&lt;Adjustments!$J$9,Adjustments!$L$9,0)))))</f>
        <v>-0.3</v>
      </c>
      <c r="BA72" s="169">
        <f>INDEX(Adjustments!$C$4:$C$2520,MATCH(AR72,Adjustments!$B$4:$B$2520,0))</f>
        <v>0</v>
      </c>
      <c r="BB72" s="153" t="str">
        <f>INDEX(AG$6:AG$182,MATCH($AR72,$AF$6:$AF$182,0))</f>
        <v>4</v>
      </c>
      <c r="BC72" s="153">
        <f>INDEX(AH$6:AH$182,MATCH($AR72,$AF$6:$AF$182,0))</f>
        <v>63</v>
      </c>
      <c r="BD72" s="153">
        <f>INDEX(AI$6:AI$182,MATCH($AR72,$AF$6:$AF$182,0))</f>
        <v>0</v>
      </c>
      <c r="BE72" s="153">
        <f>BC72-AO72</f>
        <v>-4</v>
      </c>
      <c r="BF72" s="153"/>
      <c r="BG72" s="153"/>
      <c r="BH72" s="195" t="str">
        <f>INDEX($AE$6:$AE$182,MATCH(AR72,$AF$6:$AF$182,0))</f>
        <v>RB</v>
      </c>
      <c r="BI72" s="195">
        <f>SUMIF($BH$6:BH72,BH72,$BK$6:BK72)</f>
        <v>29</v>
      </c>
      <c r="BJ72" s="194">
        <v>1</v>
      </c>
      <c r="BK72" s="194">
        <f t="shared" si="12"/>
        <v>1</v>
      </c>
      <c r="BL72" s="194" t="str">
        <f>IF('Real Time Draft Tool'!B72="y","y","")</f>
        <v/>
      </c>
      <c r="BM72" s="194" t="str">
        <f t="shared" si="13"/>
        <v>RB 29</v>
      </c>
    </row>
    <row r="73" spans="2:65" ht="26.25" x14ac:dyDescent="0.25">
      <c r="B73" s="126" t="s">
        <v>19</v>
      </c>
      <c r="C73" s="127"/>
      <c r="D73" s="127"/>
      <c r="E73" s="127"/>
      <c r="F73" s="127"/>
      <c r="G73" s="127"/>
      <c r="H73" s="127"/>
      <c r="I73" s="128"/>
      <c r="J73" s="129"/>
      <c r="K73" s="125" t="s">
        <v>20</v>
      </c>
      <c r="L73" s="126" t="s">
        <v>20</v>
      </c>
      <c r="M73" s="127"/>
      <c r="N73" s="127"/>
      <c r="O73" s="127"/>
      <c r="P73" s="127"/>
      <c r="Q73" s="127"/>
      <c r="R73" s="127"/>
      <c r="S73" s="128"/>
      <c r="T73" s="129"/>
      <c r="U73" s="125" t="s">
        <v>21</v>
      </c>
      <c r="V73" s="126" t="s">
        <v>21</v>
      </c>
      <c r="W73" s="127"/>
      <c r="X73" s="127"/>
      <c r="Y73" s="127"/>
      <c r="Z73" s="127"/>
      <c r="AA73" s="127"/>
      <c r="AB73" s="127"/>
      <c r="AC73" s="128"/>
      <c r="AE73" s="195" t="s">
        <v>259</v>
      </c>
      <c r="AF73" s="195" t="str">
        <f t="shared" si="9"/>
        <v>DeAngelo Williams</v>
      </c>
      <c r="AG73" s="195" t="str">
        <f t="shared" si="9"/>
        <v>12</v>
      </c>
      <c r="AH73" s="195">
        <f t="shared" si="10"/>
        <v>116</v>
      </c>
      <c r="AI73" s="195">
        <f t="shared" si="8"/>
        <v>18</v>
      </c>
      <c r="AJ73" s="195">
        <f t="shared" si="11"/>
        <v>0.52643786000000026</v>
      </c>
      <c r="AK73" s="195">
        <f t="shared" si="11"/>
        <v>1.2776321187908162</v>
      </c>
      <c r="AL73" s="195">
        <f t="shared" si="11"/>
        <v>3.2226107446848068E-3</v>
      </c>
      <c r="AM73" s="195" t="str">
        <f t="shared" si="11"/>
        <v>7</v>
      </c>
      <c r="AN73" s="153"/>
      <c r="AO73" s="153">
        <v>68</v>
      </c>
      <c r="AP73" s="153">
        <v>66</v>
      </c>
      <c r="AQ73" s="153">
        <f>AP73-AO73</f>
        <v>-2</v>
      </c>
      <c r="AR73" s="86" t="s">
        <v>54</v>
      </c>
      <c r="AS73" s="153" t="str">
        <f>BH73&amp;" "&amp;BI73</f>
        <v>QB 9</v>
      </c>
      <c r="AT73" s="153">
        <f>IF(AU73&gt;8,1,IF(AU73&gt;6.4,2,IF(AU73&gt;6,3,IF(AU73&gt;5,4,IF(AU73&gt;3.5,5,IF(AU73&gt;2.5,6,IF(AU73&gt;1.5,7,IF(AU73&gt;0.5,8,IF(AU73&gt;-0.5,9,10)))))))))</f>
        <v>7</v>
      </c>
      <c r="AU73" s="169">
        <f>SUM(AV73,AZ73,BA73)</f>
        <v>2.0890990783333336</v>
      </c>
      <c r="AV73" s="169">
        <f>INDEX(AJ$6:AJ$182,MATCH($AR73,$AF$6:$AF$182,0))</f>
        <v>2.2390990783333335</v>
      </c>
      <c r="AW73" s="169">
        <f>INDEX(AK$6:AK$182,MATCH($AR73,$AF$6:$AF$182,0))</f>
        <v>1.0500343262308243</v>
      </c>
      <c r="AX73" s="168">
        <f>SUMIFS(AV74:AV$183,AV74:AV$183,"&gt;"&amp;0,$BH74:$BH$183,"="&amp;$BH73,$BK74:$BK$183,"="&amp;1)/SUMIFS(AV$6:AV$183,AV$6:AV$183,"&gt;"&amp;0,$BH$6:$BH$183,"="&amp;$BH73)</f>
        <v>0.179921908873136</v>
      </c>
      <c r="AY73" s="168">
        <f>SUMIFS(AU74:AU$183,AU74:AU$183,"&gt;"&amp;0,BH74:BH$183,"="&amp;BH73,BK74:BK$183,"="&amp;1)/SUMIFS(AU$6:AU$183,AU$6:AU$183,"&gt;"&amp;0,BH$6:BH$183,"="&amp;BH73)</f>
        <v>0.2146683954608414</v>
      </c>
      <c r="AZ73" s="169">
        <f>IF(AW73&gt;Adjustments!$J$6,Adjustments!$L$6,IF(AW73&gt;Adjustments!$J$7,Adjustments!$L$7,IF(AW73&gt;Adjustments!$J$8,Adjustments!$L$8,IF(AW73&lt;Adjustments!$J$10,Adjustments!$L$10,IF(AW73&lt;Adjustments!$J$9,Adjustments!$L$9,0)))))</f>
        <v>-0.15</v>
      </c>
      <c r="BA73" s="169">
        <f>INDEX(Adjustments!$C$4:$C$2520,MATCH(AR73,Adjustments!$B$4:$B$2520,0))</f>
        <v>0</v>
      </c>
      <c r="BB73" s="153" t="str">
        <f>INDEX(AG$6:AG$182,MATCH($AR73,$AF$6:$AF$182,0))</f>
        <v>8</v>
      </c>
      <c r="BC73" s="153">
        <f>INDEX(AH$6:AH$182,MATCH($AR73,$AF$6:$AF$182,0))</f>
        <v>86</v>
      </c>
      <c r="BD73" s="153">
        <f>INDEX(AI$6:AI$182,MATCH($AR73,$AF$6:$AF$182,0))</f>
        <v>20</v>
      </c>
      <c r="BE73" s="153">
        <f>BC73-AO73</f>
        <v>18</v>
      </c>
      <c r="BF73" s="153"/>
      <c r="BG73" s="153"/>
      <c r="BH73" s="195" t="str">
        <f>INDEX($AE$6:$AE$182,MATCH(AR73,$AF$6:$AF$182,0))</f>
        <v>QB</v>
      </c>
      <c r="BI73" s="195">
        <f>SUMIF($BH$6:BH73,BH73,$BK$6:BK73)</f>
        <v>9</v>
      </c>
      <c r="BJ73" s="194">
        <v>1</v>
      </c>
      <c r="BK73" s="194">
        <f t="shared" si="12"/>
        <v>1</v>
      </c>
      <c r="BL73" s="194" t="str">
        <f>IF('Real Time Draft Tool'!B73="y","y","")</f>
        <v/>
      </c>
      <c r="BM73" s="194" t="str">
        <f t="shared" si="13"/>
        <v>QB 9</v>
      </c>
    </row>
    <row r="74" spans="2:65" ht="27" thickBot="1" x14ac:dyDescent="0.3">
      <c r="B74" s="131"/>
      <c r="C74" s="132"/>
      <c r="D74" s="132"/>
      <c r="E74" s="132"/>
      <c r="F74" s="132"/>
      <c r="G74" s="132"/>
      <c r="H74" s="132"/>
      <c r="I74" s="133"/>
      <c r="J74" s="129"/>
      <c r="K74" s="130"/>
      <c r="L74" s="131"/>
      <c r="M74" s="132"/>
      <c r="N74" s="132"/>
      <c r="O74" s="132"/>
      <c r="P74" s="132"/>
      <c r="Q74" s="132"/>
      <c r="R74" s="132"/>
      <c r="S74" s="133"/>
      <c r="T74" s="129"/>
      <c r="U74" s="130"/>
      <c r="V74" s="131"/>
      <c r="W74" s="132"/>
      <c r="X74" s="132"/>
      <c r="Y74" s="132"/>
      <c r="Z74" s="132"/>
      <c r="AA74" s="132"/>
      <c r="AB74" s="132"/>
      <c r="AC74" s="133"/>
      <c r="AE74" s="195" t="s">
        <v>259</v>
      </c>
      <c r="AF74" s="195" t="str">
        <f t="shared" si="9"/>
        <v>Darren Sproles</v>
      </c>
      <c r="AG74" s="195" t="str">
        <f t="shared" si="9"/>
        <v>7</v>
      </c>
      <c r="AH74" s="195">
        <f t="shared" si="10"/>
        <v>86</v>
      </c>
      <c r="AI74" s="195">
        <f t="shared" si="8"/>
        <v>-13</v>
      </c>
      <c r="AJ74" s="195">
        <f t="shared" si="11"/>
        <v>0.49123372333333326</v>
      </c>
      <c r="AK74" s="195">
        <f t="shared" si="11"/>
        <v>1.3201827881935229</v>
      </c>
      <c r="AL74" s="195">
        <f t="shared" si="11"/>
        <v>0</v>
      </c>
      <c r="AM74" s="195" t="str">
        <f t="shared" si="11"/>
        <v>7-</v>
      </c>
      <c r="AN74" s="153"/>
      <c r="AO74" s="153">
        <v>69</v>
      </c>
      <c r="AP74" s="153">
        <v>67</v>
      </c>
      <c r="AQ74" s="153">
        <f>AP74-AO74</f>
        <v>-2</v>
      </c>
      <c r="AR74" s="153" t="s">
        <v>166</v>
      </c>
      <c r="AS74" s="153" t="str">
        <f>BH74&amp;" "&amp;BI74</f>
        <v>TE 6</v>
      </c>
      <c r="AT74" s="153">
        <f>IF(AU74&gt;8,1,IF(AU74&gt;6.4,2,IF(AU74&gt;6,3,IF(AU74&gt;5,4,IF(AU74&gt;3.5,5,IF(AU74&gt;2.5,6,IF(AU74&gt;1.5,7,IF(AU74&gt;0.5,8,IF(AU74&gt;-0.5,9,10)))))))))</f>
        <v>7</v>
      </c>
      <c r="AU74" s="169">
        <f>SUM(AV74,AZ74,BA74)</f>
        <v>2.0414010916666663</v>
      </c>
      <c r="AV74" s="169">
        <f>INDEX(AJ$6:AJ$182,MATCH($AR74,$AF$6:$AF$182,0))</f>
        <v>2.1914010916666662</v>
      </c>
      <c r="AW74" s="169">
        <f>INDEX(AK$6:AK$182,MATCH($AR74,$AF$6:$AF$182,0))</f>
        <v>1.1442978151128809</v>
      </c>
      <c r="AX74" s="168">
        <f>SUMIFS(AV75:AV$183,AV75:AV$183,"&gt;"&amp;0,$BH75:$BH$183,"="&amp;$BH74,$BK75:$BK$183,"="&amp;1)/SUMIFS(AV$6:AV$183,AV$6:AV$183,"&gt;"&amp;0,$BH$6:$BH$183,"="&amp;$BH74)</f>
        <v>0.22686768649355515</v>
      </c>
      <c r="AY74" s="168">
        <f>SUMIFS(AU75:AU$183,AU75:AU$183,"&gt;"&amp;0,BH75:BH$183,"="&amp;BH74,BK75:BK$183,"="&amp;1)/SUMIFS(AU$6:AU$183,AU$6:AU$183,"&gt;"&amp;0,BH$6:BH$183,"="&amp;BH74)</f>
        <v>0.25606578149277909</v>
      </c>
      <c r="AZ74" s="169">
        <f>IF(AW74&gt;Adjustments!$J$6,Adjustments!$L$6,IF(AW74&gt;Adjustments!$J$7,Adjustments!$L$7,IF(AW74&gt;Adjustments!$J$8,Adjustments!$L$8,IF(AW74&lt;Adjustments!$J$10,Adjustments!$L$10,IF(AW74&lt;Adjustments!$J$9,Adjustments!$L$9,0)))))</f>
        <v>-0.15</v>
      </c>
      <c r="BA74" s="169">
        <f>INDEX(Adjustments!$C$4:$C$2520,MATCH(AR74,Adjustments!$B$4:$B$2520,0))</f>
        <v>0</v>
      </c>
      <c r="BB74" s="153" t="str">
        <f>INDEX(AG$6:AG$182,MATCH($AR74,$AF$6:$AF$182,0))</f>
        <v>8</v>
      </c>
      <c r="BC74" s="153">
        <f>INDEX(AH$6:AH$182,MATCH($AR74,$AF$6:$AF$182,0))</f>
        <v>56</v>
      </c>
      <c r="BD74" s="153">
        <f>INDEX(AI$6:AI$182,MATCH($AR74,$AF$6:$AF$182,0))</f>
        <v>-11</v>
      </c>
      <c r="BE74" s="153">
        <f>BC74-AO74</f>
        <v>-13</v>
      </c>
      <c r="BF74" s="153"/>
      <c r="BG74" s="153"/>
      <c r="BH74" s="195" t="str">
        <f>INDEX($AE$6:$AE$182,MATCH(AR74,$AF$6:$AF$182,0))</f>
        <v>TE</v>
      </c>
      <c r="BI74" s="195">
        <f>SUMIF($BH$6:BH74,BH74,$BK$6:BK74)</f>
        <v>6</v>
      </c>
      <c r="BJ74" s="194">
        <v>1</v>
      </c>
      <c r="BK74" s="194">
        <f t="shared" si="12"/>
        <v>1</v>
      </c>
      <c r="BL74" s="194" t="str">
        <f>IF('Real Time Draft Tool'!B74="y","y","")</f>
        <v/>
      </c>
      <c r="BM74" s="194" t="str">
        <f t="shared" si="13"/>
        <v>TE 6</v>
      </c>
    </row>
    <row r="75" spans="2:65" ht="26.25" x14ac:dyDescent="0.25">
      <c r="B75" s="126" t="s">
        <v>22</v>
      </c>
      <c r="C75" s="127"/>
      <c r="D75" s="127"/>
      <c r="E75" s="127"/>
      <c r="F75" s="127"/>
      <c r="G75" s="127"/>
      <c r="H75" s="127"/>
      <c r="I75" s="128"/>
      <c r="J75" s="129"/>
      <c r="K75" s="125" t="s">
        <v>22</v>
      </c>
      <c r="L75" s="126" t="s">
        <v>23</v>
      </c>
      <c r="M75" s="127"/>
      <c r="N75" s="127"/>
      <c r="O75" s="127"/>
      <c r="P75" s="127"/>
      <c r="Q75" s="127"/>
      <c r="R75" s="127"/>
      <c r="S75" s="128"/>
      <c r="T75" s="129"/>
      <c r="U75" s="125" t="s">
        <v>22</v>
      </c>
      <c r="V75" s="126" t="s">
        <v>24</v>
      </c>
      <c r="W75" s="127"/>
      <c r="X75" s="127"/>
      <c r="Y75" s="127"/>
      <c r="Z75" s="127"/>
      <c r="AA75" s="127"/>
      <c r="AB75" s="127"/>
      <c r="AC75" s="128"/>
      <c r="AE75" s="195" t="s">
        <v>259</v>
      </c>
      <c r="AF75" s="195" t="str">
        <f t="shared" si="9"/>
        <v>Knowshon Moreno</v>
      </c>
      <c r="AG75" s="195" t="str">
        <f t="shared" si="9"/>
        <v>5</v>
      </c>
      <c r="AH75" s="195">
        <f t="shared" si="10"/>
        <v>108</v>
      </c>
      <c r="AI75" s="195">
        <f t="shared" si="8"/>
        <v>-11</v>
      </c>
      <c r="AJ75" s="195">
        <f t="shared" si="11"/>
        <v>-0.39360757454545464</v>
      </c>
      <c r="AK75" s="195">
        <f t="shared" si="11"/>
        <v>1.6581151724385803</v>
      </c>
      <c r="AL75" s="195">
        <f t="shared" si="11"/>
        <v>0</v>
      </c>
      <c r="AM75" s="195" t="str">
        <f t="shared" si="11"/>
        <v>8-</v>
      </c>
      <c r="AN75" s="153"/>
      <c r="AO75" s="153">
        <v>70</v>
      </c>
      <c r="AP75" s="153">
        <v>71</v>
      </c>
      <c r="AQ75" s="153">
        <f>AP75-AO75</f>
        <v>1</v>
      </c>
      <c r="AR75" s="86" t="s">
        <v>162</v>
      </c>
      <c r="AS75" s="153" t="str">
        <f>BH75&amp;" "&amp;BI75</f>
        <v>TE 7</v>
      </c>
      <c r="AT75" s="153">
        <f>IF(AU75&gt;8,1,IF(AU75&gt;6.4,2,IF(AU75&gt;6,3,IF(AU75&gt;5,4,IF(AU75&gt;3.5,5,IF(AU75&gt;2.5,6,IF(AU75&gt;1.5,7,IF(AU75&gt;0.5,8,IF(AU75&gt;-0.5,9,10)))))))))</f>
        <v>7</v>
      </c>
      <c r="AU75" s="169">
        <f>SUM(AV75,AZ75,BA75)</f>
        <v>2.0219948716666662</v>
      </c>
      <c r="AV75" s="169">
        <f>INDEX(AJ$6:AJ$182,MATCH($AR75,$AF$6:$AF$182,0))</f>
        <v>2.0219948716666662</v>
      </c>
      <c r="AW75" s="169">
        <f>INDEX(AK$6:AK$182,MATCH($AR75,$AF$6:$AF$182,0))</f>
        <v>0.80669530182381211</v>
      </c>
      <c r="AX75" s="168">
        <f>SUMIFS(AV76:AV$183,AV76:AV$183,"&gt;"&amp;0,$BH76:$BH$183,"="&amp;$BH75,$BK76:$BK$183,"="&amp;1)/SUMIFS(AV$6:AV$183,AV$6:AV$183,"&gt;"&amp;0,$BH$6:$BH$183,"="&amp;$BH75)</f>
        <v>0.15718714349211199</v>
      </c>
      <c r="AY75" s="168">
        <f>SUMIFS(AU76:AU$183,AU76:AU$183,"&gt;"&amp;0,BH76:BH$183,"="&amp;BH75,BK76:BK$183,"="&amp;1)/SUMIFS(AU$6:AU$183,AU$6:AU$183,"&gt;"&amp;0,BH$6:BH$183,"="&amp;BH75)</f>
        <v>0.1882612188208844</v>
      </c>
      <c r="AZ75" s="169">
        <f>IF(AW75&gt;Adjustments!$J$6,Adjustments!$L$6,IF(AW75&gt;Adjustments!$J$7,Adjustments!$L$7,IF(AW75&gt;Adjustments!$J$8,Adjustments!$L$8,IF(AW75&lt;Adjustments!$J$10,Adjustments!$L$10,IF(AW75&lt;Adjustments!$J$9,Adjustments!$L$9,0)))))</f>
        <v>0</v>
      </c>
      <c r="BA75" s="169">
        <f>INDEX(Adjustments!$C$4:$C$2520,MATCH(AR75,Adjustments!$B$4:$B$2520,0))</f>
        <v>0</v>
      </c>
      <c r="BB75" s="153" t="str">
        <f>INDEX(AG$6:AG$182,MATCH($AR75,$AF$6:$AF$182,0))</f>
        <v>12</v>
      </c>
      <c r="BC75" s="153">
        <f>INDEX(AH$6:AH$182,MATCH($AR75,$AF$6:$AF$182,0))</f>
        <v>81</v>
      </c>
      <c r="BD75" s="153">
        <f>INDEX(AI$6:AI$182,MATCH($AR75,$AF$6:$AF$182,0))</f>
        <v>10</v>
      </c>
      <c r="BE75" s="153">
        <f>BC75-AO75</f>
        <v>11</v>
      </c>
      <c r="BF75" s="153"/>
      <c r="BG75" s="153"/>
      <c r="BH75" s="195" t="str">
        <f>INDEX($AE$6:$AE$182,MATCH(AR75,$AF$6:$AF$182,0))</f>
        <v>TE</v>
      </c>
      <c r="BI75" s="195">
        <f>SUMIF($BH$6:BH75,BH75,$BK$6:BK75)</f>
        <v>7</v>
      </c>
      <c r="BJ75" s="194">
        <v>1</v>
      </c>
      <c r="BK75" s="194">
        <f t="shared" si="12"/>
        <v>1</v>
      </c>
      <c r="BL75" s="194" t="str">
        <f>IF('Real Time Draft Tool'!B75="y","y","")</f>
        <v/>
      </c>
      <c r="BM75" s="194" t="str">
        <f t="shared" si="13"/>
        <v>TE 7</v>
      </c>
    </row>
    <row r="76" spans="2:65" ht="27" thickBot="1" x14ac:dyDescent="0.3">
      <c r="B76" s="131"/>
      <c r="C76" s="132"/>
      <c r="D76" s="132"/>
      <c r="E76" s="132"/>
      <c r="F76" s="132"/>
      <c r="G76" s="132"/>
      <c r="H76" s="132"/>
      <c r="I76" s="133"/>
      <c r="J76" s="129"/>
      <c r="K76" s="130"/>
      <c r="L76" s="131"/>
      <c r="M76" s="132"/>
      <c r="N76" s="132"/>
      <c r="O76" s="132"/>
      <c r="P76" s="132"/>
      <c r="Q76" s="132"/>
      <c r="R76" s="132"/>
      <c r="S76" s="133"/>
      <c r="T76" s="129"/>
      <c r="U76" s="130"/>
      <c r="V76" s="131"/>
      <c r="W76" s="132"/>
      <c r="X76" s="132"/>
      <c r="Y76" s="132"/>
      <c r="Z76" s="132"/>
      <c r="AA76" s="132"/>
      <c r="AB76" s="132"/>
      <c r="AC76" s="133"/>
      <c r="AE76" s="195" t="s">
        <v>259</v>
      </c>
      <c r="AF76" s="195" t="str">
        <f t="shared" si="9"/>
        <v>Bernard Pierce</v>
      </c>
      <c r="AG76" s="195" t="str">
        <f t="shared" si="9"/>
        <v>11</v>
      </c>
      <c r="AH76" s="195">
        <f t="shared" si="10"/>
        <v>109</v>
      </c>
      <c r="AI76" s="195">
        <f t="shared" si="8"/>
        <v>-23</v>
      </c>
      <c r="AJ76" s="195">
        <f t="shared" si="11"/>
        <v>-1.0161881416666667</v>
      </c>
      <c r="AK76" s="195">
        <f t="shared" si="11"/>
        <v>1.3808900075455526</v>
      </c>
      <c r="AL76" s="195">
        <f t="shared" si="11"/>
        <v>0</v>
      </c>
      <c r="AM76" s="195" t="str">
        <f t="shared" si="11"/>
        <v>8</v>
      </c>
      <c r="AN76" s="153"/>
      <c r="AO76" s="153">
        <v>71</v>
      </c>
      <c r="AP76" s="153">
        <v>76</v>
      </c>
      <c r="AQ76" s="153">
        <f>AP76-AO76</f>
        <v>5</v>
      </c>
      <c r="AR76" s="86" t="s">
        <v>57</v>
      </c>
      <c r="AS76" s="153" t="str">
        <f>BH76&amp;" "&amp;BI76</f>
        <v>QB 10</v>
      </c>
      <c r="AT76" s="153">
        <f>IF(AU76&gt;8,1,IF(AU76&gt;6.4,2,IF(AU76&gt;6,3,IF(AU76&gt;5,4,IF(AU76&gt;3.5,5,IF(AU76&gt;2.5,6,IF(AU76&gt;1.5,7,IF(AU76&gt;0.5,8,IF(AU76&gt;-0.5,9,10)))))))))</f>
        <v>7</v>
      </c>
      <c r="AU76" s="169">
        <f>SUM(AV76,AZ76,BA76)</f>
        <v>1.9733938600000014</v>
      </c>
      <c r="AV76" s="169">
        <f>INDEX(AJ$6:AJ$182,MATCH($AR76,$AF$6:$AF$182,0))</f>
        <v>1.6733938600000013</v>
      </c>
      <c r="AW76" s="169">
        <f>INDEX(AK$6:AK$182,MATCH($AR76,$AF$6:$AF$182,0))</f>
        <v>0.58220570034499397</v>
      </c>
      <c r="AX76" s="168">
        <f>SUMIFS(AV77:AV$183,AV77:AV$183,"&gt;"&amp;0,$BH77:$BH$183,"="&amp;$BH76,$BK77:$BK$183,"="&amp;1)/SUMIFS(AV$6:AV$183,AV$6:AV$183,"&gt;"&amp;0,$BH$6:$BH$183,"="&amp;$BH76)</f>
        <v>0.13609064770759144</v>
      </c>
      <c r="AY76" s="168">
        <f>SUMIFS(AU77:AU$183,AU77:AU$183,"&gt;"&amp;0,BH77:BH$183,"="&amp;BH76,BK77:BK$183,"="&amp;1)/SUMIFS(AU$6:AU$183,AU$6:AU$183,"&gt;"&amp;0,BH$6:BH$183,"="&amp;BH76)</f>
        <v>0.16469039605428806</v>
      </c>
      <c r="AZ76" s="169">
        <f>IF(AW76&gt;Adjustments!$J$6,Adjustments!$L$6,IF(AW76&gt;Adjustments!$J$7,Adjustments!$L$7,IF(AW76&gt;Adjustments!$J$8,Adjustments!$L$8,IF(AW76&lt;Adjustments!$J$10,Adjustments!$L$10,IF(AW76&lt;Adjustments!$J$9,Adjustments!$L$9,0)))))</f>
        <v>0.3</v>
      </c>
      <c r="BA76" s="169">
        <f>INDEX(Adjustments!$C$4:$C$2520,MATCH(AR76,Adjustments!$B$4:$B$2520,0))</f>
        <v>0</v>
      </c>
      <c r="BB76" s="153" t="str">
        <f>INDEX(AG$6:AG$182,MATCH($AR76,$AF$6:$AF$182,0))</f>
        <v>10</v>
      </c>
      <c r="BC76" s="153">
        <f>INDEX(AH$6:AH$182,MATCH($AR76,$AF$6:$AF$182,0))</f>
        <v>71</v>
      </c>
      <c r="BD76" s="153">
        <f>INDEX(AI$6:AI$182,MATCH($AR76,$AF$6:$AF$182,0))</f>
        <v>-5</v>
      </c>
      <c r="BE76" s="153">
        <f>BC76-AO76</f>
        <v>0</v>
      </c>
      <c r="BF76" s="153"/>
      <c r="BG76" s="153"/>
      <c r="BH76" s="195" t="str">
        <f>INDEX($AE$6:$AE$182,MATCH(AR76,$AF$6:$AF$182,0))</f>
        <v>QB</v>
      </c>
      <c r="BI76" s="195">
        <f>SUMIF($BH$6:BH76,BH76,$BK$6:BK76)</f>
        <v>10</v>
      </c>
      <c r="BJ76" s="194">
        <v>1</v>
      </c>
      <c r="BK76" s="194">
        <f t="shared" si="12"/>
        <v>1</v>
      </c>
      <c r="BL76" s="194" t="str">
        <f>IF('Real Time Draft Tool'!B76="y","y","")</f>
        <v/>
      </c>
      <c r="BM76" s="194" t="str">
        <f t="shared" si="13"/>
        <v>QB 10</v>
      </c>
    </row>
    <row r="77" spans="2:65" x14ac:dyDescent="0.25">
      <c r="AE77" s="195" t="s">
        <v>259</v>
      </c>
      <c r="AF77" s="195" t="str">
        <f t="shared" si="9"/>
        <v>Darren McFadden</v>
      </c>
      <c r="AG77" s="195" t="str">
        <f t="shared" si="9"/>
        <v>5</v>
      </c>
      <c r="AH77" s="195">
        <f t="shared" si="10"/>
        <v>113</v>
      </c>
      <c r="AI77" s="195">
        <f t="shared" si="8"/>
        <v>-21</v>
      </c>
      <c r="AJ77" s="195">
        <f t="shared" si="11"/>
        <v>-1.0494558399999998</v>
      </c>
      <c r="AK77" s="195">
        <f t="shared" si="11"/>
        <v>1.280028218888384</v>
      </c>
      <c r="AL77" s="195">
        <f t="shared" si="11"/>
        <v>0</v>
      </c>
      <c r="AM77" s="195" t="str">
        <f t="shared" si="11"/>
        <v>8</v>
      </c>
      <c r="AN77" s="153"/>
      <c r="AO77" s="153">
        <v>72</v>
      </c>
      <c r="AP77" s="153">
        <v>72</v>
      </c>
      <c r="AQ77" s="153">
        <f>AP77-AO77</f>
        <v>0</v>
      </c>
      <c r="AR77" s="86" t="s">
        <v>122</v>
      </c>
      <c r="AS77" s="153" t="str">
        <f>BH77&amp;" "&amp;BI77</f>
        <v>WR 26</v>
      </c>
      <c r="AT77" s="153">
        <f>IF(AU77&gt;8,1,IF(AU77&gt;6.4,2,IF(AU77&gt;6,3,IF(AU77&gt;5,4,IF(AU77&gt;3.5,5,IF(AU77&gt;2.5,6,IF(AU77&gt;1.5,7,IF(AU77&gt;0.5,8,IF(AU77&gt;-0.5,9,10)))))))))</f>
        <v>7</v>
      </c>
      <c r="AU77" s="169">
        <f>SUM(AV77,AZ77,BA77)</f>
        <v>1.9634169766666665</v>
      </c>
      <c r="AV77" s="169">
        <f>INDEX(AJ$6:AJ$182,MATCH($AR77,$AF$6:$AF$182,0))</f>
        <v>1.9634169766666665</v>
      </c>
      <c r="AW77" s="169">
        <f>INDEX(AK$6:AK$182,MATCH($AR77,$AF$6:$AF$182,0))</f>
        <v>0.9677383270786416</v>
      </c>
      <c r="AX77" s="168">
        <f>SUMIFS(AV78:AV$183,AV78:AV$183,"&gt;"&amp;0,$BH78:$BH$183,"="&amp;$BH77,$BK78:$BK$183,"="&amp;1)/SUMIFS(AV$6:AV$183,AV$6:AV$183,"&gt;"&amp;0,$BH$6:$BH$183,"="&amp;$BH77)</f>
        <v>0.14117426731251867</v>
      </c>
      <c r="AY77" s="168">
        <f>SUMIFS(AU78:AU$183,AU78:AU$183,"&gt;"&amp;0,BH78:BH$183,"="&amp;BH77,BK78:BK$183,"="&amp;1)/SUMIFS(AU$6:AU$183,AU$6:AU$183,"&gt;"&amp;0,BH$6:BH$183,"="&amp;BH77)</f>
        <v>0.14188274209632634</v>
      </c>
      <c r="AZ77" s="169">
        <f>IF(AW77&gt;Adjustments!$J$6,Adjustments!$L$6,IF(AW77&gt;Adjustments!$J$7,Adjustments!$L$7,IF(AW77&gt;Adjustments!$J$8,Adjustments!$L$8,IF(AW77&lt;Adjustments!$J$10,Adjustments!$L$10,IF(AW77&lt;Adjustments!$J$9,Adjustments!$L$9,0)))))</f>
        <v>0</v>
      </c>
      <c r="BA77" s="169">
        <f>INDEX(Adjustments!$C$4:$C$2520,MATCH(AR77,Adjustments!$B$4:$B$2520,0))</f>
        <v>0</v>
      </c>
      <c r="BB77" s="153" t="str">
        <f>INDEX(AG$6:AG$182,MATCH($AR77,$AF$6:$AF$182,0))</f>
        <v>6</v>
      </c>
      <c r="BC77" s="153">
        <f>INDEX(AH$6:AH$182,MATCH($AR77,$AF$6:$AF$182,0))</f>
        <v>79</v>
      </c>
      <c r="BD77" s="153">
        <f>INDEX(AI$6:AI$182,MATCH($AR77,$AF$6:$AF$182,0))</f>
        <v>7</v>
      </c>
      <c r="BE77" s="153">
        <f>BC77-AO77</f>
        <v>7</v>
      </c>
      <c r="BF77" s="153"/>
      <c r="BG77" s="153"/>
      <c r="BH77" s="195" t="str">
        <f>INDEX($AE$6:$AE$182,MATCH(AR77,$AF$6:$AF$182,0))</f>
        <v>WR</v>
      </c>
      <c r="BI77" s="195">
        <f>SUMIF($BH$6:BH77,BH77,$BK$6:BK77)</f>
        <v>26</v>
      </c>
      <c r="BJ77" s="194">
        <v>1</v>
      </c>
      <c r="BK77" s="194">
        <f t="shared" si="12"/>
        <v>1</v>
      </c>
      <c r="BL77" s="194" t="str">
        <f>IF('Real Time Draft Tool'!B77="y","y","")</f>
        <v/>
      </c>
      <c r="BM77" s="194" t="str">
        <f t="shared" si="13"/>
        <v>WR 26</v>
      </c>
    </row>
    <row r="78" spans="2:65" x14ac:dyDescent="0.25">
      <c r="O78" s="122" t="s">
        <v>7</v>
      </c>
      <c r="AE78" s="195" t="s">
        <v>259</v>
      </c>
      <c r="AF78" s="195" t="str">
        <f t="shared" si="9"/>
        <v>Jeremy Hill</v>
      </c>
      <c r="AG78" s="195" t="str">
        <f t="shared" si="9"/>
        <v>4</v>
      </c>
      <c r="AH78" s="195">
        <f t="shared" si="10"/>
        <v>124</v>
      </c>
      <c r="AI78" s="195">
        <f t="shared" si="8"/>
        <v>-18</v>
      </c>
      <c r="AJ78" s="195">
        <f t="shared" si="11"/>
        <v>-1.6069849966666665</v>
      </c>
      <c r="AK78" s="195">
        <f t="shared" si="11"/>
        <v>1.1369509845144814</v>
      </c>
      <c r="AL78" s="195">
        <f t="shared" si="11"/>
        <v>0</v>
      </c>
      <c r="AM78" s="195" t="str">
        <f t="shared" si="11"/>
        <v>8</v>
      </c>
      <c r="AN78" s="153"/>
      <c r="AO78" s="153">
        <v>73</v>
      </c>
      <c r="AP78" s="153">
        <v>75</v>
      </c>
      <c r="AQ78" s="153">
        <f>AP78-AO78</f>
        <v>2</v>
      </c>
      <c r="AR78" s="86" t="s">
        <v>132</v>
      </c>
      <c r="AS78" s="153" t="str">
        <f>BH78&amp;" "&amp;BI78</f>
        <v>WR 27</v>
      </c>
      <c r="AT78" s="153">
        <f>IF(AU78&gt;8,1,IF(AU78&gt;6.4,2,IF(AU78&gt;6,3,IF(AU78&gt;5,4,IF(AU78&gt;3.5,5,IF(AU78&gt;2.5,6,IF(AU78&gt;1.5,7,IF(AU78&gt;0.5,8,IF(AU78&gt;-0.5,9,10)))))))))</f>
        <v>7</v>
      </c>
      <c r="AU78" s="169">
        <f>SUM(AV78,AZ78,BA78)</f>
        <v>1.8886366136363639</v>
      </c>
      <c r="AV78" s="169">
        <f>INDEX(AJ$6:AJ$182,MATCH($AR78,$AF$6:$AF$182,0))</f>
        <v>1.8886366136363639</v>
      </c>
      <c r="AW78" s="169">
        <f>INDEX(AK$6:AK$182,MATCH($AR78,$AF$6:$AF$182,0))</f>
        <v>0.97289363089983016</v>
      </c>
      <c r="AX78" s="168">
        <f>SUMIFS(AV79:AV$183,AV79:AV$183,"&gt;"&amp;0,$BH79:$BH$183,"="&amp;$BH78,$BK79:$BK$183,"="&amp;1)/SUMIFS(AV$6:AV$183,AV$6:AV$183,"&gt;"&amp;0,$BH$6:$BH$183,"="&amp;$BH78)</f>
        <v>0.12703161468013408</v>
      </c>
      <c r="AY78" s="168">
        <f>SUMIFS(AU79:AU$183,AU79:AU$183,"&gt;"&amp;0,BH79:BH$183,"="&amp;BH78,BK79:BK$183,"="&amp;1)/SUMIFS(AU$6:AU$183,AU$6:AU$183,"&gt;"&amp;0,BH$6:BH$183,"="&amp;BH78)</f>
        <v>0.127928181813276</v>
      </c>
      <c r="AZ78" s="169">
        <f>IF(AW78&gt;Adjustments!$J$6,Adjustments!$L$6,IF(AW78&gt;Adjustments!$J$7,Adjustments!$L$7,IF(AW78&gt;Adjustments!$J$8,Adjustments!$L$8,IF(AW78&lt;Adjustments!$J$10,Adjustments!$L$10,IF(AW78&lt;Adjustments!$J$9,Adjustments!$L$9,0)))))</f>
        <v>0</v>
      </c>
      <c r="BA78" s="169">
        <f>INDEX(Adjustments!$C$4:$C$2520,MATCH(AR78,Adjustments!$B$4:$B$2520,0))</f>
        <v>0</v>
      </c>
      <c r="BB78" s="153" t="str">
        <f>INDEX(AG$6:AG$182,MATCH($AR78,$AF$6:$AF$182,0))</f>
        <v>10</v>
      </c>
      <c r="BC78" s="153">
        <f>INDEX(AH$6:AH$182,MATCH($AR78,$AF$6:$AF$182,0))</f>
        <v>63</v>
      </c>
      <c r="BD78" s="153">
        <f>INDEX(AI$6:AI$182,MATCH($AR78,$AF$6:$AF$182,0))</f>
        <v>-12</v>
      </c>
      <c r="BE78" s="153">
        <f>BC78-AO78</f>
        <v>-10</v>
      </c>
      <c r="BF78" s="153"/>
      <c r="BG78" s="153"/>
      <c r="BH78" s="195" t="str">
        <f>INDEX($AE$6:$AE$182,MATCH(AR78,$AF$6:$AF$182,0))</f>
        <v>WR</v>
      </c>
      <c r="BI78" s="195">
        <f>SUMIF($BH$6:BH78,BH78,$BK$6:BK78)</f>
        <v>27</v>
      </c>
      <c r="BJ78" s="194">
        <v>1</v>
      </c>
      <c r="BK78" s="194">
        <f t="shared" si="12"/>
        <v>1</v>
      </c>
      <c r="BL78" s="194" t="str">
        <f>IF('Real Time Draft Tool'!B78="y","y","")</f>
        <v/>
      </c>
      <c r="BM78" s="194" t="str">
        <f t="shared" si="13"/>
        <v>WR 27</v>
      </c>
    </row>
    <row r="79" spans="2:65" x14ac:dyDescent="0.25">
      <c r="AE79" s="195" t="s">
        <v>259</v>
      </c>
      <c r="AF79" s="195" t="str">
        <f t="shared" si="9"/>
        <v>Terrance West</v>
      </c>
      <c r="AG79" s="195" t="str">
        <f t="shared" si="9"/>
        <v>4</v>
      </c>
      <c r="AH79" s="195">
        <f t="shared" si="10"/>
        <v>103</v>
      </c>
      <c r="AI79" s="195">
        <f t="shared" si="8"/>
        <v>-41</v>
      </c>
      <c r="AJ79" s="195">
        <f t="shared" si="11"/>
        <v>-1.6662141433333337</v>
      </c>
      <c r="AK79" s="195">
        <f t="shared" si="11"/>
        <v>1.0156316794162641</v>
      </c>
      <c r="AL79" s="195">
        <f t="shared" si="11"/>
        <v>0</v>
      </c>
      <c r="AM79" s="195" t="str">
        <f t="shared" si="11"/>
        <v>8</v>
      </c>
      <c r="AN79" s="153"/>
      <c r="AO79" s="153">
        <v>74</v>
      </c>
      <c r="AP79" s="153">
        <v>68</v>
      </c>
      <c r="AQ79" s="153">
        <f>AP79-AO79</f>
        <v>-6</v>
      </c>
      <c r="AR79" s="86" t="s">
        <v>103</v>
      </c>
      <c r="AS79" s="153" t="str">
        <f>BH79&amp;" "&amp;BI79</f>
        <v>WR 28</v>
      </c>
      <c r="AT79" s="153">
        <f>IF(AU79&gt;8,1,IF(AU79&gt;6.4,2,IF(AU79&gt;6,3,IF(AU79&gt;5,4,IF(AU79&gt;3.5,5,IF(AU79&gt;2.5,6,IF(AU79&gt;1.5,7,IF(AU79&gt;0.5,8,IF(AU79&gt;-0.5,9,10)))))))))</f>
        <v>7</v>
      </c>
      <c r="AU79" s="169">
        <f>SUM(AV79,AZ79,BA79)</f>
        <v>1.8856127999999999</v>
      </c>
      <c r="AV79" s="169">
        <f>INDEX(AJ$6:AJ$182,MATCH($AR79,$AF$6:$AF$182,0))</f>
        <v>2.1856127999999999</v>
      </c>
      <c r="AW79" s="169">
        <f>INDEX(AK$6:AK$182,MATCH($AR79,$AF$6:$AF$182,0))</f>
        <v>1.4573807925872597</v>
      </c>
      <c r="AX79" s="168">
        <f>SUMIFS(AV80:AV$183,AV80:AV$183,"&gt;"&amp;0,$BH80:$BH$183,"="&amp;$BH79,$BK80:$BK$183,"="&amp;1)/SUMIFS(AV$6:AV$183,AV$6:AV$183,"&gt;"&amp;0,$BH$6:$BH$183,"="&amp;$BH79)</f>
        <v>0.11066511919015268</v>
      </c>
      <c r="AY79" s="168">
        <f>SUMIFS(AU80:AU$183,AU80:AU$183,"&gt;"&amp;0,BH80:BH$183,"="&amp;BH79,BK80:BK$183,"="&amp;1)/SUMIFS(AU$6:AU$183,AU$6:AU$183,"&gt;"&amp;0,BH$6:BH$183,"="&amp;BH79)</f>
        <v>0.11399596356752852</v>
      </c>
      <c r="AZ79" s="169">
        <f>IF(AW79&gt;Adjustments!$J$6,Adjustments!$L$6,IF(AW79&gt;Adjustments!$J$7,Adjustments!$L$7,IF(AW79&gt;Adjustments!$J$8,Adjustments!$L$8,IF(AW79&lt;Adjustments!$J$10,Adjustments!$L$10,IF(AW79&lt;Adjustments!$J$9,Adjustments!$L$9,0)))))</f>
        <v>-0.3</v>
      </c>
      <c r="BA79" s="169">
        <f>INDEX(Adjustments!$C$4:$C$2520,MATCH(AR79,Adjustments!$B$4:$B$2520,0))</f>
        <v>0</v>
      </c>
      <c r="BB79" s="153" t="str">
        <f>INDEX(AG$6:AG$182,MATCH($AR79,$AF$6:$AF$182,0))</f>
        <v>10</v>
      </c>
      <c r="BC79" s="153">
        <f>INDEX(AH$6:AH$182,MATCH($AR79,$AF$6:$AF$182,0))</f>
        <v>64</v>
      </c>
      <c r="BD79" s="153">
        <f>INDEX(AI$6:AI$182,MATCH($AR79,$AF$6:$AF$182,0))</f>
        <v>-4</v>
      </c>
      <c r="BE79" s="153">
        <f>BC79-AO79</f>
        <v>-10</v>
      </c>
      <c r="BF79" s="153"/>
      <c r="BG79" s="153"/>
      <c r="BH79" s="195" t="str">
        <f>INDEX($AE$6:$AE$182,MATCH(AR79,$AF$6:$AF$182,0))</f>
        <v>WR</v>
      </c>
      <c r="BI79" s="195">
        <f>SUMIF($BH$6:BH79,BH79,$BK$6:BK79)</f>
        <v>28</v>
      </c>
      <c r="BJ79" s="194">
        <v>1</v>
      </c>
      <c r="BK79" s="194">
        <f t="shared" si="12"/>
        <v>1</v>
      </c>
      <c r="BL79" s="194" t="str">
        <f>IF('Real Time Draft Tool'!B79="y","y","")</f>
        <v/>
      </c>
      <c r="BM79" s="194" t="str">
        <f t="shared" si="13"/>
        <v>WR 28</v>
      </c>
    </row>
    <row r="80" spans="2:65" x14ac:dyDescent="0.25">
      <c r="AE80" s="195" t="s">
        <v>259</v>
      </c>
      <c r="AF80" s="195" t="str">
        <f t="shared" si="9"/>
        <v>Chris Ivory</v>
      </c>
      <c r="AG80" s="195" t="str">
        <f t="shared" si="9"/>
        <v>11</v>
      </c>
      <c r="AH80" s="195">
        <f t="shared" si="10"/>
        <v>200</v>
      </c>
      <c r="AI80" s="195">
        <f t="shared" si="8"/>
        <v>0</v>
      </c>
      <c r="AJ80" s="195">
        <f t="shared" si="11"/>
        <v>-1.8939526950000001</v>
      </c>
      <c r="AK80" s="195">
        <f t="shared" si="11"/>
        <v>1.0693083991550576</v>
      </c>
      <c r="AL80" s="195">
        <f t="shared" si="11"/>
        <v>0</v>
      </c>
      <c r="AM80" s="195" t="str">
        <f t="shared" si="11"/>
        <v>8</v>
      </c>
      <c r="AN80" s="153"/>
      <c r="AO80" s="153">
        <v>75</v>
      </c>
      <c r="AP80" s="153">
        <v>73</v>
      </c>
      <c r="AQ80" s="153">
        <f>AP80-AO80</f>
        <v>-2</v>
      </c>
      <c r="AR80" s="86" t="s">
        <v>128</v>
      </c>
      <c r="AS80" s="153" t="str">
        <f>BH80&amp;" "&amp;BI80</f>
        <v>WR 29</v>
      </c>
      <c r="AT80" s="153">
        <f>IF(AU80&gt;8,1,IF(AU80&gt;6.4,2,IF(AU80&gt;6,3,IF(AU80&gt;5,4,IF(AU80&gt;3.5,5,IF(AU80&gt;2.5,6,IF(AU80&gt;1.5,7,IF(AU80&gt;0.5,8,IF(AU80&gt;-0.5,9,10)))))))))</f>
        <v>7</v>
      </c>
      <c r="AU80" s="169">
        <f>SUM(AV80,AZ80,BA80)</f>
        <v>1.8095512816666668</v>
      </c>
      <c r="AV80" s="169">
        <f>INDEX(AJ$6:AJ$182,MATCH($AR80,$AF$6:$AF$182,0))</f>
        <v>1.9595512816666667</v>
      </c>
      <c r="AW80" s="169">
        <f>INDEX(AK$6:AK$182,MATCH($AR80,$AF$6:$AF$182,0))</f>
        <v>1.0550668378825032</v>
      </c>
      <c r="AX80" s="168">
        <f>SUMIFS(AV81:AV$183,AV81:AV$183,"&gt;"&amp;0,$BH81:$BH$183,"="&amp;$BH80,$BK81:$BK$183,"="&amp;1)/SUMIFS(AV$6:AV$183,AV$6:AV$183,"&gt;"&amp;0,$BH$6:$BH$183,"="&amp;$BH80)</f>
        <v>9.5991437184911474E-2</v>
      </c>
      <c r="AY80" s="168">
        <f>SUMIFS(AU81:AU$183,AU81:AU$183,"&gt;"&amp;0,BH81:BH$183,"="&amp;BH80,BK81:BK$183,"="&amp;1)/SUMIFS(AU$6:AU$183,AU$6:AU$183,"&gt;"&amp;0,BH$6:BH$183,"="&amp;BH80)</f>
        <v>0.10062574069724885</v>
      </c>
      <c r="AZ80" s="169">
        <f>IF(AW80&gt;Adjustments!$J$6,Adjustments!$L$6,IF(AW80&gt;Adjustments!$J$7,Adjustments!$L$7,IF(AW80&gt;Adjustments!$J$8,Adjustments!$L$8,IF(AW80&lt;Adjustments!$J$10,Adjustments!$L$10,IF(AW80&lt;Adjustments!$J$9,Adjustments!$L$9,0)))))</f>
        <v>-0.15</v>
      </c>
      <c r="BA80" s="169">
        <f>INDEX(Adjustments!$C$4:$C$2520,MATCH(AR80,Adjustments!$B$4:$B$2520,0))</f>
        <v>0</v>
      </c>
      <c r="BB80" s="153" t="str">
        <f>INDEX(AG$6:AG$182,MATCH($AR80,$AF$6:$AF$182,0))</f>
        <v>11</v>
      </c>
      <c r="BC80" s="153">
        <f>INDEX(AH$6:AH$182,MATCH($AR80,$AF$6:$AF$182,0))</f>
        <v>68</v>
      </c>
      <c r="BD80" s="153">
        <f>INDEX(AI$6:AI$182,MATCH($AR80,$AF$6:$AF$182,0))</f>
        <v>-5</v>
      </c>
      <c r="BE80" s="153">
        <f>BC80-AO80</f>
        <v>-7</v>
      </c>
      <c r="BF80" s="153"/>
      <c r="BG80" s="153"/>
      <c r="BH80" s="195" t="str">
        <f>INDEX($AE$6:$AE$182,MATCH(AR80,$AF$6:$AF$182,0))</f>
        <v>WR</v>
      </c>
      <c r="BI80" s="195">
        <f>SUMIF($BH$6:BH80,BH80,$BK$6:BK80)</f>
        <v>29</v>
      </c>
      <c r="BJ80" s="194">
        <v>1</v>
      </c>
      <c r="BK80" s="194">
        <f t="shared" si="12"/>
        <v>1</v>
      </c>
      <c r="BL80" s="194" t="str">
        <f>IF('Real Time Draft Tool'!B80="y","y","")</f>
        <v/>
      </c>
      <c r="BM80" s="194" t="str">
        <f t="shared" si="13"/>
        <v>WR 29</v>
      </c>
    </row>
    <row r="81" spans="31:65" x14ac:dyDescent="0.25">
      <c r="AE81" s="195" t="s">
        <v>259</v>
      </c>
      <c r="AF81" s="195" t="str">
        <f t="shared" si="9"/>
        <v>Devonta Freeman</v>
      </c>
      <c r="AG81" s="195" t="str">
        <f t="shared" si="9"/>
        <v>9</v>
      </c>
      <c r="AH81" s="195">
        <f t="shared" si="10"/>
        <v>124</v>
      </c>
      <c r="AI81" s="195">
        <f t="shared" si="8"/>
        <v>-27</v>
      </c>
      <c r="AJ81" s="195">
        <f t="shared" si="11"/>
        <v>-1.9504964250000001</v>
      </c>
      <c r="AK81" s="195">
        <f t="shared" si="11"/>
        <v>1.180220363959015</v>
      </c>
      <c r="AL81" s="195">
        <f t="shared" si="11"/>
        <v>0</v>
      </c>
      <c r="AM81" s="195" t="str">
        <f t="shared" si="11"/>
        <v>8</v>
      </c>
      <c r="AN81" s="153"/>
      <c r="AO81" s="153">
        <v>76</v>
      </c>
      <c r="AP81" s="153">
        <v>79</v>
      </c>
      <c r="AQ81" s="153">
        <f>AP81-AO81</f>
        <v>3</v>
      </c>
      <c r="AR81" s="86" t="s">
        <v>65</v>
      </c>
      <c r="AS81" s="153" t="str">
        <f>BH81&amp;" "&amp;BI81</f>
        <v>QB 11</v>
      </c>
      <c r="AT81" s="153">
        <f>IF(AU81&gt;8,1,IF(AU81&gt;6.4,2,IF(AU81&gt;6,3,IF(AU81&gt;5,4,IF(AU81&gt;3.5,5,IF(AU81&gt;2.5,6,IF(AU81&gt;1.5,7,IF(AU81&gt;0.5,8,IF(AU81&gt;-0.5,9,10)))))))))</f>
        <v>7</v>
      </c>
      <c r="AU81" s="169">
        <f>SUM(AV81,AZ81,BA81)</f>
        <v>1.7545063900000011</v>
      </c>
      <c r="AV81" s="169">
        <f>INDEX(AJ$6:AJ$182,MATCH($AR81,$AF$6:$AF$182,0))</f>
        <v>1.5545063900000011</v>
      </c>
      <c r="AW81" s="169">
        <f>INDEX(AK$6:AK$182,MATCH($AR81,$AF$6:$AF$182,0))</f>
        <v>0.70886046069835029</v>
      </c>
      <c r="AX81" s="168">
        <f>SUMIFS(AV82:AV$183,AV82:AV$183,"&gt;"&amp;0,$BH82:$BH$183,"="&amp;$BH81,$BK82:$BK$183,"="&amp;1)/SUMIFS(AV$6:AV$183,AV$6:AV$183,"&gt;"&amp;0,$BH$6:$BH$183,"="&amp;$BH81)</f>
        <v>9.537341000743764E-2</v>
      </c>
      <c r="AY81" s="168">
        <f>SUMIFS(AU82:AU$183,AU82:AU$183,"&gt;"&amp;0,BH82:BH$183,"="&amp;BH81,BK82:BK$183,"="&amp;1)/SUMIFS(AU$6:AU$183,AU$6:AU$183,"&gt;"&amp;0,BH$6:BH$183,"="&amp;BH81)</f>
        <v>0.12025592146936459</v>
      </c>
      <c r="AZ81" s="169">
        <f>IF(AW81&gt;Adjustments!$J$6,Adjustments!$L$6,IF(AW81&gt;Adjustments!$J$7,Adjustments!$L$7,IF(AW81&gt;Adjustments!$J$8,Adjustments!$L$8,IF(AW81&lt;Adjustments!$J$10,Adjustments!$L$10,IF(AW81&lt;Adjustments!$J$9,Adjustments!$L$9,0)))))</f>
        <v>0.2</v>
      </c>
      <c r="BA81" s="169">
        <f>INDEX(Adjustments!$C$4:$C$2520,MATCH(AR81,Adjustments!$B$4:$B$2520,0))</f>
        <v>0</v>
      </c>
      <c r="BB81" s="153" t="str">
        <f>INDEX(AG$6:AG$182,MATCH($AR81,$AF$6:$AF$182,0))</f>
        <v>4</v>
      </c>
      <c r="BC81" s="153">
        <f>INDEX(AH$6:AH$182,MATCH($AR81,$AF$6:$AF$182,0))</f>
        <v>109</v>
      </c>
      <c r="BD81" s="153">
        <f>INDEX(AI$6:AI$182,MATCH($AR81,$AF$6:$AF$182,0))</f>
        <v>30</v>
      </c>
      <c r="BE81" s="153">
        <f>BC81-AO81</f>
        <v>33</v>
      </c>
      <c r="BF81" s="153"/>
      <c r="BG81" s="153"/>
      <c r="BH81" s="195" t="str">
        <f>INDEX($AE$6:$AE$182,MATCH(AR81,$AF$6:$AF$182,0))</f>
        <v>QB</v>
      </c>
      <c r="BI81" s="195">
        <f>SUMIF($BH$6:BH81,BH81,$BK$6:BK81)</f>
        <v>11</v>
      </c>
      <c r="BJ81" s="194">
        <v>1</v>
      </c>
      <c r="BK81" s="194">
        <f t="shared" si="12"/>
        <v>1</v>
      </c>
      <c r="BL81" s="194" t="str">
        <f>IF('Real Time Draft Tool'!B81="y","y","")</f>
        <v/>
      </c>
      <c r="BM81" s="194" t="str">
        <f t="shared" si="13"/>
        <v>QB 11</v>
      </c>
    </row>
    <row r="82" spans="31:65" x14ac:dyDescent="0.25">
      <c r="AE82" s="195" t="s">
        <v>259</v>
      </c>
      <c r="AF82" s="195" t="str">
        <f t="shared" si="9"/>
        <v>Khiry Robinson</v>
      </c>
      <c r="AG82" s="195" t="str">
        <f t="shared" si="9"/>
        <v>6</v>
      </c>
      <c r="AH82" s="195">
        <f t="shared" si="10"/>
        <v>114</v>
      </c>
      <c r="AI82" s="195">
        <f t="shared" si="8"/>
        <v>-49</v>
      </c>
      <c r="AJ82" s="195">
        <f t="shared" si="11"/>
        <v>-2.5316297483333332</v>
      </c>
      <c r="AK82" s="195">
        <f t="shared" si="11"/>
        <v>1.2174293959537612</v>
      </c>
      <c r="AL82" s="195">
        <f t="shared" si="11"/>
        <v>0</v>
      </c>
      <c r="AM82" s="195" t="str">
        <f t="shared" si="11"/>
        <v>9</v>
      </c>
      <c r="AN82" s="153"/>
      <c r="AO82" s="153">
        <v>77</v>
      </c>
      <c r="AP82" s="153">
        <v>84</v>
      </c>
      <c r="AQ82" s="153">
        <f>AP82-AO82</f>
        <v>7</v>
      </c>
      <c r="AR82" s="86" t="s">
        <v>61</v>
      </c>
      <c r="AS82" s="153" t="str">
        <f>BH82&amp;" "&amp;BI82</f>
        <v>QB 12</v>
      </c>
      <c r="AT82" s="153">
        <f>IF(AU82&gt;8,1,IF(AU82&gt;6.4,2,IF(AU82&gt;6,3,IF(AU82&gt;5,4,IF(AU82&gt;3.5,5,IF(AU82&gt;2.5,6,IF(AU82&gt;1.5,7,IF(AU82&gt;0.5,8,IF(AU82&gt;-0.5,9,10)))))))))</f>
        <v>7</v>
      </c>
      <c r="AU82" s="169">
        <f>SUM(AV82,AZ82,BA82)</f>
        <v>1.6784365583333338</v>
      </c>
      <c r="AV82" s="169">
        <f>INDEX(AJ$6:AJ$182,MATCH($AR82,$AF$6:$AF$182,0))</f>
        <v>1.3784365583333338</v>
      </c>
      <c r="AW82" s="169">
        <f>INDEX(AK$6:AK$182,MATCH($AR82,$AF$6:$AF$182,0))</f>
        <v>0.59571770182587491</v>
      </c>
      <c r="AX82" s="168">
        <f>SUMIFS(AV83:AV$183,AV83:AV$183,"&gt;"&amp;0,$BH83:$BH$183,"="&amp;$BH82,$BK83:$BK$183,"="&amp;1)/SUMIFS(AV$6:AV$183,AV$6:AV$183,"&gt;"&amp;0,$BH$6:$BH$183,"="&amp;$BH82)</f>
        <v>5.9267975278256356E-2</v>
      </c>
      <c r="AY82" s="168">
        <f>SUMIFS(AU83:AU$183,AU83:AU$183,"&gt;"&amp;0,BH83:BH$183,"="&amp;BH82,BK83:BK$183,"="&amp;1)/SUMIFS(AU$6:AU$183,AU$6:AU$183,"&gt;"&amp;0,BH$6:BH$183,"="&amp;BH82)</f>
        <v>7.7747984753517782E-2</v>
      </c>
      <c r="AZ82" s="169">
        <f>IF(AW82&gt;Adjustments!$J$6,Adjustments!$L$6,IF(AW82&gt;Adjustments!$J$7,Adjustments!$L$7,IF(AW82&gt;Adjustments!$J$8,Adjustments!$L$8,IF(AW82&lt;Adjustments!$J$10,Adjustments!$L$10,IF(AW82&lt;Adjustments!$J$9,Adjustments!$L$9,0)))))</f>
        <v>0.3</v>
      </c>
      <c r="BA82" s="169">
        <f>INDEX(Adjustments!$C$4:$C$2520,MATCH(AR82,Adjustments!$B$4:$B$2520,0))</f>
        <v>0</v>
      </c>
      <c r="BB82" s="153" t="str">
        <f>INDEX(AG$6:AG$182,MATCH($AR82,$AF$6:$AF$182,0))</f>
        <v>9</v>
      </c>
      <c r="BC82" s="153">
        <f>INDEX(AH$6:AH$182,MATCH($AR82,$AF$6:$AF$182,0))</f>
        <v>78</v>
      </c>
      <c r="BD82" s="153">
        <f>INDEX(AI$6:AI$182,MATCH($AR82,$AF$6:$AF$182,0))</f>
        <v>-6</v>
      </c>
      <c r="BE82" s="153">
        <f>BC82-AO82</f>
        <v>1</v>
      </c>
      <c r="BF82" s="153"/>
      <c r="BG82" s="153"/>
      <c r="BH82" s="195" t="str">
        <f>INDEX($AE$6:$AE$182,MATCH(AR82,$AF$6:$AF$182,0))</f>
        <v>QB</v>
      </c>
      <c r="BI82" s="195">
        <f>SUMIF($BH$6:BH82,BH82,$BK$6:BK82)</f>
        <v>12</v>
      </c>
      <c r="BJ82" s="194">
        <v>1</v>
      </c>
      <c r="BK82" s="194">
        <f t="shared" si="12"/>
        <v>1</v>
      </c>
      <c r="BL82" s="194" t="str">
        <f>IF('Real Time Draft Tool'!B82="y","y","")</f>
        <v/>
      </c>
      <c r="BM82" s="194" t="str">
        <f t="shared" si="13"/>
        <v>QB 12</v>
      </c>
    </row>
    <row r="83" spans="31:65" x14ac:dyDescent="0.25">
      <c r="AE83" s="195" t="s">
        <v>259</v>
      </c>
      <c r="AF83" s="195" t="str">
        <f t="shared" si="9"/>
        <v>Mark Ingram</v>
      </c>
      <c r="AG83" s="195" t="str">
        <f t="shared" si="9"/>
        <v>6</v>
      </c>
      <c r="AH83" s="195">
        <f t="shared" si="10"/>
        <v>167</v>
      </c>
      <c r="AI83" s="195">
        <f t="shared" si="8"/>
        <v>-7</v>
      </c>
      <c r="AJ83" s="195">
        <f t="shared" si="11"/>
        <v>-2.8332130616666671</v>
      </c>
      <c r="AK83" s="195">
        <f t="shared" si="11"/>
        <v>1.6330502828075415</v>
      </c>
      <c r="AL83" s="195">
        <f t="shared" si="11"/>
        <v>0</v>
      </c>
      <c r="AM83" s="195" t="str">
        <f t="shared" si="11"/>
        <v>9+</v>
      </c>
      <c r="AN83" s="153"/>
      <c r="AO83" s="153">
        <v>78</v>
      </c>
      <c r="AP83" s="153">
        <v>74</v>
      </c>
      <c r="AQ83" s="153">
        <f>AP83-AO83</f>
        <v>-4</v>
      </c>
      <c r="AR83" s="153" t="s">
        <v>125</v>
      </c>
      <c r="AS83" s="153" t="str">
        <f>BH83&amp;" "&amp;BI83</f>
        <v>WR 30</v>
      </c>
      <c r="AT83" s="153">
        <f>IF(AU83&gt;8,1,IF(AU83&gt;6.4,2,IF(AU83&gt;6,3,IF(AU83&gt;5,4,IF(AU83&gt;3.5,5,IF(AU83&gt;2.5,6,IF(AU83&gt;1.5,7,IF(AU83&gt;0.5,8,IF(AU83&gt;-0.5,9,10)))))))))</f>
        <v>7</v>
      </c>
      <c r="AU83" s="169">
        <f>SUM(AV83,AZ83,BA83)</f>
        <v>1.6125128200000001</v>
      </c>
      <c r="AV83" s="169">
        <f>INDEX(AJ$6:AJ$182,MATCH($AR83,$AF$6:$AF$182,0))</f>
        <v>1.9125128200000001</v>
      </c>
      <c r="AW83" s="169">
        <f>INDEX(AK$6:AK$182,MATCH($AR83,$AF$6:$AF$182,0))</f>
        <v>1.4038875010168599</v>
      </c>
      <c r="AX83" s="168">
        <f>SUMIFS(AV84:AV$183,AV84:AV$183,"&gt;"&amp;0,$BH84:$BH$183,"="&amp;$BH83,$BK84:$BK$183,"="&amp;1)/SUMIFS(AV$6:AV$183,AV$6:AV$183,"&gt;"&amp;0,$BH$6:$BH$183,"="&amp;$BH83)</f>
        <v>8.1669992671472652E-2</v>
      </c>
      <c r="AY83" s="168">
        <f>SUMIFS(AU84:AU$183,AU84:AU$183,"&gt;"&amp;0,BH84:BH$183,"="&amp;BH83,BK84:BK$183,"="&amp;1)/SUMIFS(AU$6:AU$183,AU$6:AU$183,"&gt;"&amp;0,BH$6:BH$183,"="&amp;BH83)</f>
        <v>8.8711374963039935E-2</v>
      </c>
      <c r="AZ83" s="169">
        <f>IF(AW83&gt;Adjustments!$J$6,Adjustments!$L$6,IF(AW83&gt;Adjustments!$J$7,Adjustments!$L$7,IF(AW83&gt;Adjustments!$J$8,Adjustments!$L$8,IF(AW83&lt;Adjustments!$J$10,Adjustments!$L$10,IF(AW83&lt;Adjustments!$J$9,Adjustments!$L$9,0)))))</f>
        <v>-0.3</v>
      </c>
      <c r="BA83" s="169">
        <f>INDEX(Adjustments!$C$4:$C$2520,MATCH(AR83,Adjustments!$B$4:$B$2520,0))</f>
        <v>0</v>
      </c>
      <c r="BB83" s="153" t="str">
        <f>INDEX(AG$6:AG$182,MATCH($AR83,$AF$6:$AF$182,0))</f>
        <v>7</v>
      </c>
      <c r="BC83" s="153">
        <f>INDEX(AH$6:AH$182,MATCH($AR83,$AF$6:$AF$182,0))</f>
        <v>69</v>
      </c>
      <c r="BD83" s="153">
        <f>INDEX(AI$6:AI$182,MATCH($AR83,$AF$6:$AF$182,0))</f>
        <v>-5</v>
      </c>
      <c r="BE83" s="153">
        <f>BC83-AO83</f>
        <v>-9</v>
      </c>
      <c r="BF83" s="153"/>
      <c r="BG83" s="153"/>
      <c r="BH83" s="195" t="str">
        <f>INDEX($AE$6:$AE$182,MATCH(AR83,$AF$6:$AF$182,0))</f>
        <v>WR</v>
      </c>
      <c r="BI83" s="195">
        <f>SUMIF($BH$6:BH83,BH83,$BK$6:BK83)</f>
        <v>30</v>
      </c>
      <c r="BJ83" s="194">
        <v>1</v>
      </c>
      <c r="BK83" s="194">
        <f t="shared" si="12"/>
        <v>1</v>
      </c>
      <c r="BL83" s="194" t="str">
        <f>IF('Real Time Draft Tool'!B83="y","y","")</f>
        <v/>
      </c>
      <c r="BM83" s="194" t="str">
        <f t="shared" si="13"/>
        <v>WR 30</v>
      </c>
    </row>
    <row r="84" spans="31:65" x14ac:dyDescent="0.25">
      <c r="AE84" s="195" t="s">
        <v>259</v>
      </c>
      <c r="AF84" s="195" t="str">
        <f t="shared" si="9"/>
        <v>Jacquizz Rodgers</v>
      </c>
      <c r="AG84" s="195" t="str">
        <f t="shared" si="9"/>
        <v>9</v>
      </c>
      <c r="AH84" s="195">
        <f t="shared" si="10"/>
        <v>200</v>
      </c>
      <c r="AI84" s="195">
        <f t="shared" si="8"/>
        <v>0</v>
      </c>
      <c r="AJ84" s="195">
        <f t="shared" si="11"/>
        <v>-2.9276972866666662</v>
      </c>
      <c r="AK84" s="195">
        <f t="shared" si="11"/>
        <v>1.1476991502002036</v>
      </c>
      <c r="AL84" s="195">
        <f t="shared" si="11"/>
        <v>0</v>
      </c>
      <c r="AM84" s="195" t="str">
        <f t="shared" si="11"/>
        <v>9+</v>
      </c>
      <c r="AN84" s="153"/>
      <c r="AO84" s="153">
        <v>79</v>
      </c>
      <c r="AP84" s="153">
        <v>77</v>
      </c>
      <c r="AQ84" s="153">
        <f>AP84-AO84</f>
        <v>-2</v>
      </c>
      <c r="AR84" s="86" t="s">
        <v>138</v>
      </c>
      <c r="AS84" s="153" t="str">
        <f>BH84&amp;" "&amp;BI84</f>
        <v>WR 31</v>
      </c>
      <c r="AT84" s="153">
        <f>IF(AU84&gt;8,1,IF(AU84&gt;6.4,2,IF(AU84&gt;6,3,IF(AU84&gt;5,4,IF(AU84&gt;3.5,5,IF(AU84&gt;2.5,6,IF(AU84&gt;1.5,7,IF(AU84&gt;0.5,8,IF(AU84&gt;-0.5,9,10)))))))))</f>
        <v>7</v>
      </c>
      <c r="AU84" s="169">
        <f>SUM(AV84,AZ84,BA84)</f>
        <v>1.5070784050000001</v>
      </c>
      <c r="AV84" s="169">
        <f>INDEX(AJ$6:AJ$182,MATCH($AR84,$AF$6:$AF$182,0))</f>
        <v>1.657078405</v>
      </c>
      <c r="AW84" s="169">
        <f>INDEX(AK$6:AK$182,MATCH($AR84,$AF$6:$AF$182,0))</f>
        <v>1.0524717548861318</v>
      </c>
      <c r="AX84" s="168">
        <f>SUMIFS(AV85:AV$183,AV85:AV$183,"&gt;"&amp;0,$BH85:$BH$183,"="&amp;$BH84,$BK85:$BK$183,"="&amp;1)/SUMIFS(AV$6:AV$183,AV$6:AV$183,"&gt;"&amp;0,$BH$6:$BH$183,"="&amp;$BH84)</f>
        <v>6.9261314317292919E-2</v>
      </c>
      <c r="AY84" s="168">
        <f>SUMIFS(AU85:AU$183,AU85:AU$183,"&gt;"&amp;0,BH85:BH$183,"="&amp;BH84,BK85:BK$183,"="&amp;1)/SUMIFS(AU$6:AU$183,AU$6:AU$183,"&gt;"&amp;0,BH$6:BH$183,"="&amp;BH84)</f>
        <v>7.7576031984930627E-2</v>
      </c>
      <c r="AZ84" s="169">
        <f>IF(AW84&gt;Adjustments!$J$6,Adjustments!$L$6,IF(AW84&gt;Adjustments!$J$7,Adjustments!$L$7,IF(AW84&gt;Adjustments!$J$8,Adjustments!$L$8,IF(AW84&lt;Adjustments!$J$10,Adjustments!$L$10,IF(AW84&lt;Adjustments!$J$9,Adjustments!$L$9,0)))))</f>
        <v>-0.15</v>
      </c>
      <c r="BA84" s="169">
        <f>INDEX(Adjustments!$C$4:$C$2520,MATCH(AR84,Adjustments!$B$4:$B$2520,0))</f>
        <v>0</v>
      </c>
      <c r="BB84" s="153" t="str">
        <f>INDEX(AG$6:AG$182,MATCH($AR84,$AF$6:$AF$182,0))</f>
        <v>11</v>
      </c>
      <c r="BC84" s="153">
        <f>INDEX(AH$6:AH$182,MATCH($AR84,$AF$6:$AF$182,0))</f>
        <v>89</v>
      </c>
      <c r="BD84" s="153">
        <f>INDEX(AI$6:AI$182,MATCH($AR84,$AF$6:$AF$182,0))</f>
        <v>12</v>
      </c>
      <c r="BE84" s="153">
        <f>BC84-AO84</f>
        <v>10</v>
      </c>
      <c r="BF84" s="153"/>
      <c r="BG84" s="153"/>
      <c r="BH84" s="195" t="str">
        <f>INDEX($AE$6:$AE$182,MATCH(AR84,$AF$6:$AF$182,0))</f>
        <v>WR</v>
      </c>
      <c r="BI84" s="195">
        <f>SUMIF($BH$6:BH84,BH84,$BK$6:BK84)</f>
        <v>31</v>
      </c>
      <c r="BJ84" s="194">
        <v>1</v>
      </c>
      <c r="BK84" s="194">
        <f t="shared" si="12"/>
        <v>1</v>
      </c>
      <c r="BL84" s="194" t="str">
        <f>IF('Real Time Draft Tool'!B84="y","y","")</f>
        <v/>
      </c>
      <c r="BM84" s="194" t="str">
        <f t="shared" si="13"/>
        <v>WR 31</v>
      </c>
    </row>
    <row r="85" spans="31:65" x14ac:dyDescent="0.25">
      <c r="AE85" s="195" t="s">
        <v>259</v>
      </c>
      <c r="AF85" s="195" t="str">
        <f t="shared" si="9"/>
        <v>Shonn Greene</v>
      </c>
      <c r="AG85" s="195" t="str">
        <f t="shared" si="9"/>
        <v>9</v>
      </c>
      <c r="AH85" s="195">
        <f t="shared" si="10"/>
        <v>200</v>
      </c>
      <c r="AI85" s="195">
        <f t="shared" si="8"/>
        <v>0</v>
      </c>
      <c r="AJ85" s="195">
        <f t="shared" si="11"/>
        <v>-2.9920151550000007</v>
      </c>
      <c r="AK85" s="195">
        <f t="shared" si="11"/>
        <v>1.4739883915750041</v>
      </c>
      <c r="AL85" s="195">
        <f t="shared" si="11"/>
        <v>0</v>
      </c>
      <c r="AM85" s="195" t="str">
        <f t="shared" si="11"/>
        <v>9</v>
      </c>
      <c r="AN85" s="153"/>
      <c r="AO85" s="153">
        <v>80</v>
      </c>
      <c r="AP85" s="153">
        <v>85</v>
      </c>
      <c r="AQ85" s="153">
        <f>AP85-AO85</f>
        <v>5</v>
      </c>
      <c r="AR85" s="86" t="s">
        <v>172</v>
      </c>
      <c r="AS85" s="153" t="str">
        <f>BH85&amp;" "&amp;BI85</f>
        <v>TE 8</v>
      </c>
      <c r="AT85" s="153">
        <f>IF(AU85&gt;8,1,IF(AU85&gt;6.4,2,IF(AU85&gt;6,3,IF(AU85&gt;5,4,IF(AU85&gt;3.5,5,IF(AU85&gt;2.5,6,IF(AU85&gt;1.5,7,IF(AU85&gt;0.5,8,IF(AU85&gt;-0.5,9,10)))))))))</f>
        <v>8</v>
      </c>
      <c r="AU85" s="169">
        <f>SUM(AV85,AZ85,BA85)</f>
        <v>1.4808073916666664</v>
      </c>
      <c r="AV85" s="169">
        <f>INDEX(AJ$6:AJ$182,MATCH($AR85,$AF$6:$AF$182,0))</f>
        <v>1.2808073916666665</v>
      </c>
      <c r="AW85" s="169">
        <f>INDEX(AK$6:AK$182,MATCH($AR85,$AF$6:$AF$182,0))</f>
        <v>0.75802773370757315</v>
      </c>
      <c r="AX85" s="168">
        <f>SUMIFS(AV86:AV$183,AV86:AV$183,"&gt;"&amp;0,$BH86:$BH$183,"="&amp;$BH85,$BK86:$BK$183,"="&amp;1)/SUMIFS(AV$6:AV$183,AV$6:AV$183,"&gt;"&amp;0,$BH$6:$BH$183,"="&amp;$BH85)</f>
        <v>0.1130488740127084</v>
      </c>
      <c r="AY85" s="168">
        <f>SUMIFS(AU86:AU$183,AU86:AU$183,"&gt;"&amp;0,BH86:BH$183,"="&amp;BH85,BK86:BK$183,"="&amp;1)/SUMIFS(AU$6:AU$183,AU$6:AU$183,"&gt;"&amp;0,BH$6:BH$183,"="&amp;BH85)</f>
        <v>0.13860456587868072</v>
      </c>
      <c r="AZ85" s="169">
        <f>IF(AW85&gt;Adjustments!$J$6,Adjustments!$L$6,IF(AW85&gt;Adjustments!$J$7,Adjustments!$L$7,IF(AW85&gt;Adjustments!$J$8,Adjustments!$L$8,IF(AW85&lt;Adjustments!$J$10,Adjustments!$L$10,IF(AW85&lt;Adjustments!$J$9,Adjustments!$L$9,0)))))</f>
        <v>0.2</v>
      </c>
      <c r="BA85" s="169">
        <f>INDEX(Adjustments!$C$4:$C$2520,MATCH(AR85,Adjustments!$B$4:$B$2520,0))</f>
        <v>0</v>
      </c>
      <c r="BB85" s="153" t="str">
        <f>INDEX(AG$6:AG$182,MATCH($AR85,$AF$6:$AF$182,0))</f>
        <v>11</v>
      </c>
      <c r="BC85" s="153">
        <f>INDEX(AH$6:AH$182,MATCH($AR85,$AF$6:$AF$182,0))</f>
        <v>84</v>
      </c>
      <c r="BD85" s="153">
        <f>INDEX(AI$6:AI$182,MATCH($AR85,$AF$6:$AF$182,0))</f>
        <v>-1</v>
      </c>
      <c r="BE85" s="153">
        <f>BC85-AO85</f>
        <v>4</v>
      </c>
      <c r="BF85" s="153"/>
      <c r="BG85" s="153"/>
      <c r="BH85" s="195" t="str">
        <f>INDEX($AE$6:$AE$182,MATCH(AR85,$AF$6:$AF$182,0))</f>
        <v>TE</v>
      </c>
      <c r="BI85" s="195">
        <f>SUMIF($BH$6:BH85,BH85,$BK$6:BK85)</f>
        <v>8</v>
      </c>
      <c r="BJ85" s="194">
        <v>1</v>
      </c>
      <c r="BK85" s="194">
        <f t="shared" si="12"/>
        <v>1</v>
      </c>
      <c r="BL85" s="194" t="str">
        <f>IF('Real Time Draft Tool'!B85="y","y","")</f>
        <v/>
      </c>
      <c r="BM85" s="194" t="str">
        <f t="shared" si="13"/>
        <v>TE 8</v>
      </c>
    </row>
    <row r="86" spans="31:65" x14ac:dyDescent="0.25">
      <c r="AE86" s="195" t="s">
        <v>259</v>
      </c>
      <c r="AF86" s="195" t="str">
        <f t="shared" si="9"/>
        <v>Roy Helu</v>
      </c>
      <c r="AG86" s="195" t="str">
        <f t="shared" si="9"/>
        <v>10</v>
      </c>
      <c r="AH86" s="195">
        <f t="shared" si="10"/>
        <v>172</v>
      </c>
      <c r="AI86" s="195">
        <f t="shared" si="8"/>
        <v>-10</v>
      </c>
      <c r="AJ86" s="195">
        <f t="shared" si="11"/>
        <v>-3.0538379216666667</v>
      </c>
      <c r="AK86" s="195">
        <f t="shared" si="11"/>
        <v>1.2934441756615525</v>
      </c>
      <c r="AL86" s="195">
        <f t="shared" si="11"/>
        <v>0</v>
      </c>
      <c r="AM86" s="195" t="str">
        <f t="shared" si="11"/>
        <v>9-</v>
      </c>
      <c r="AN86" s="153"/>
      <c r="AO86" s="153">
        <v>81</v>
      </c>
      <c r="AP86" s="153">
        <v>78</v>
      </c>
      <c r="AQ86" s="153">
        <f>AP86-AO86</f>
        <v>-3</v>
      </c>
      <c r="AR86" s="86" t="s">
        <v>134</v>
      </c>
      <c r="AS86" s="153" t="str">
        <f>BH86&amp;" "&amp;BI86</f>
        <v>RB 30</v>
      </c>
      <c r="AT86" s="153">
        <f>IF(AU86&gt;8,1,IF(AU86&gt;6.4,2,IF(AU86&gt;6,3,IF(AU86&gt;5,4,IF(AU86&gt;3.5,5,IF(AU86&gt;2.5,6,IF(AU86&gt;1.5,7,IF(AU86&gt;0.5,8,IF(AU86&gt;-0.5,9,10)))))))))</f>
        <v>8</v>
      </c>
      <c r="AU86" s="169">
        <f>SUM(AV86,AZ86,BA86)</f>
        <v>1.424432611666667</v>
      </c>
      <c r="AV86" s="169">
        <f>INDEX(AJ$6:AJ$182,MATCH($AR86,$AF$6:$AF$182,0))</f>
        <v>1.5744326116666669</v>
      </c>
      <c r="AW86" s="169">
        <f>INDEX(AK$6:AK$182,MATCH($AR86,$AF$6:$AF$182,0))</f>
        <v>1.0731339662681803</v>
      </c>
      <c r="AX86" s="168">
        <f>SUMIFS(AV87:AV$183,AV87:AV$183,"&gt;"&amp;0,$BH87:$BH$183,"="&amp;$BH86,$BK87:$BK$183,"="&amp;1)/SUMIFS(AV$6:AV$183,AV$6:AV$183,"&gt;"&amp;0,$BH$6:$BH$183,"="&amp;$BH86)</f>
        <v>4.2796918857233301E-2</v>
      </c>
      <c r="AY86" s="168">
        <f>SUMIFS(AU87:AU$183,AU87:AU$183,"&gt;"&amp;0,BH87:BH$183,"="&amp;BH86,BK87:BK$183,"="&amp;1)/SUMIFS(AU$6:AU$183,AU$6:AU$183,"&gt;"&amp;0,BH$6:BH$183,"="&amp;BH86)</f>
        <v>3.1276873833669762E-2</v>
      </c>
      <c r="AZ86" s="169">
        <f>IF(AW86&gt;Adjustments!$J$6,Adjustments!$L$6,IF(AW86&gt;Adjustments!$J$7,Adjustments!$L$7,IF(AW86&gt;Adjustments!$J$8,Adjustments!$L$8,IF(AW86&lt;Adjustments!$J$10,Adjustments!$L$10,IF(AW86&lt;Adjustments!$J$9,Adjustments!$L$9,0)))))</f>
        <v>-0.15</v>
      </c>
      <c r="BA86" s="169">
        <f>INDEX(Adjustments!$C$4:$C$2520,MATCH(AR86,Adjustments!$B$4:$B$2520,0))</f>
        <v>0</v>
      </c>
      <c r="BB86" s="153" t="str">
        <f>INDEX(AG$6:AG$182,MATCH($AR86,$AF$6:$AF$182,0))</f>
        <v>9</v>
      </c>
      <c r="BC86" s="153">
        <f>INDEX(AH$6:AH$182,MATCH($AR86,$AF$6:$AF$182,0))</f>
        <v>101</v>
      </c>
      <c r="BD86" s="153">
        <f>INDEX(AI$6:AI$182,MATCH($AR86,$AF$6:$AF$182,0))</f>
        <v>23</v>
      </c>
      <c r="BE86" s="153">
        <f>BC86-AO86</f>
        <v>20</v>
      </c>
      <c r="BF86" s="153"/>
      <c r="BG86" s="153"/>
      <c r="BH86" s="195" t="str">
        <f>INDEX($AE$6:$AE$182,MATCH(AR86,$AF$6:$AF$182,0))</f>
        <v>RB</v>
      </c>
      <c r="BI86" s="195">
        <f>SUMIF($BH$6:BH86,BH86,$BK$6:BK86)</f>
        <v>30</v>
      </c>
      <c r="BJ86" s="194">
        <v>1</v>
      </c>
      <c r="BK86" s="194">
        <f t="shared" si="12"/>
        <v>1</v>
      </c>
      <c r="BL86" s="194" t="str">
        <f>IF('Real Time Draft Tool'!B86="y","y","")</f>
        <v/>
      </c>
      <c r="BM86" s="194" t="str">
        <f t="shared" si="13"/>
        <v>RB 30</v>
      </c>
    </row>
    <row r="87" spans="31:65" x14ac:dyDescent="0.25">
      <c r="AE87" s="195" t="s">
        <v>259</v>
      </c>
      <c r="AF87" s="195" t="str">
        <f t="shared" si="9"/>
        <v>Ahmad Bradshaw</v>
      </c>
      <c r="AG87" s="195" t="str">
        <f t="shared" si="9"/>
        <v>10</v>
      </c>
      <c r="AH87" s="195">
        <f t="shared" si="10"/>
        <v>150</v>
      </c>
      <c r="AI87" s="195">
        <f t="shared" si="8"/>
        <v>-35</v>
      </c>
      <c r="AJ87" s="195">
        <f t="shared" si="11"/>
        <v>-3.0876713350000005</v>
      </c>
      <c r="AK87" s="195">
        <f t="shared" si="11"/>
        <v>1.2949294412829135</v>
      </c>
      <c r="AL87" s="195">
        <f t="shared" si="11"/>
        <v>0</v>
      </c>
      <c r="AM87" s="195" t="str">
        <f t="shared" si="11"/>
        <v>9</v>
      </c>
      <c r="AN87" s="153"/>
      <c r="AO87" s="153">
        <v>82</v>
      </c>
      <c r="AP87" s="153">
        <v>81</v>
      </c>
      <c r="AQ87" s="153">
        <f>AP87-AO87</f>
        <v>-1</v>
      </c>
      <c r="AR87" s="86" t="s">
        <v>169</v>
      </c>
      <c r="AS87" s="153" t="str">
        <f>BH87&amp;" "&amp;BI87</f>
        <v>TE 9</v>
      </c>
      <c r="AT87" s="153">
        <f>IF(AU87&gt;8,1,IF(AU87&gt;6.4,2,IF(AU87&gt;6,3,IF(AU87&gt;5,4,IF(AU87&gt;3.5,5,IF(AU87&gt;2.5,6,IF(AU87&gt;1.5,7,IF(AU87&gt;0.5,8,IF(AU87&gt;-0.5,9,10)))))))))</f>
        <v>8</v>
      </c>
      <c r="AU87" s="169">
        <f>SUM(AV87,AZ87,BA87)</f>
        <v>1.4241302983333328</v>
      </c>
      <c r="AV87" s="169">
        <f>INDEX(AJ$6:AJ$182,MATCH($AR87,$AF$6:$AF$182,0))</f>
        <v>1.4241302983333328</v>
      </c>
      <c r="AW87" s="169">
        <f>INDEX(AK$6:AK$182,MATCH($AR87,$AF$6:$AF$182,0))</f>
        <v>0.99328919506930613</v>
      </c>
      <c r="AX87" s="168">
        <f>SUMIFS(AV88:AV$183,AV88:AV$183,"&gt;"&amp;0,$BH88:$BH$183,"="&amp;$BH87,$BK88:$BK$183,"="&amp;1)/SUMIFS(AV$6:AV$183,AV$6:AV$183,"&gt;"&amp;0,$BH$6:$BH$183,"="&amp;$BH87)</f>
        <v>6.3971512896120436E-2</v>
      </c>
      <c r="AY87" s="168">
        <f>SUMIFS(AU88:AU$183,AU88:AU$183,"&gt;"&amp;0,BH88:BH$183,"="&amp;BH87,BK88:BK$183,"="&amp;1)/SUMIFS(AU$6:AU$183,AU$6:AU$183,"&gt;"&amp;0,BH$6:BH$183,"="&amp;BH87)</f>
        <v>9.0848494179699091E-2</v>
      </c>
      <c r="AZ87" s="169">
        <f>IF(AW87&gt;Adjustments!$J$6,Adjustments!$L$6,IF(AW87&gt;Adjustments!$J$7,Adjustments!$L$7,IF(AW87&gt;Adjustments!$J$8,Adjustments!$L$8,IF(AW87&lt;Adjustments!$J$10,Adjustments!$L$10,IF(AW87&lt;Adjustments!$J$9,Adjustments!$L$9,0)))))</f>
        <v>0</v>
      </c>
      <c r="BA87" s="169">
        <f>INDEX(Adjustments!$C$4:$C$2520,MATCH(AR87,Adjustments!$B$4:$B$2520,0))</f>
        <v>0</v>
      </c>
      <c r="BB87" s="153" t="str">
        <f>INDEX(AG$6:AG$182,MATCH($AR87,$AF$6:$AF$182,0))</f>
        <v>10</v>
      </c>
      <c r="BC87" s="153">
        <f>INDEX(AH$6:AH$182,MATCH($AR87,$AF$6:$AF$182,0))</f>
        <v>84</v>
      </c>
      <c r="BD87" s="153">
        <f>INDEX(AI$6:AI$182,MATCH($AR87,$AF$6:$AF$182,0))</f>
        <v>3</v>
      </c>
      <c r="BE87" s="153">
        <f>BC87-AO87</f>
        <v>2</v>
      </c>
      <c r="BF87" s="153"/>
      <c r="BG87" s="153"/>
      <c r="BH87" s="195" t="str">
        <f>INDEX($AE$6:$AE$182,MATCH(AR87,$AF$6:$AF$182,0))</f>
        <v>TE</v>
      </c>
      <c r="BI87" s="195">
        <f>SUMIF($BH$6:BH87,BH87,$BK$6:BK87)</f>
        <v>9</v>
      </c>
      <c r="BJ87" s="194">
        <v>1</v>
      </c>
      <c r="BK87" s="194">
        <f t="shared" si="12"/>
        <v>1</v>
      </c>
      <c r="BL87" s="194" t="str">
        <f>IF('Real Time Draft Tool'!B87="y","y","")</f>
        <v/>
      </c>
      <c r="BM87" s="194" t="str">
        <f t="shared" si="13"/>
        <v>TE 9</v>
      </c>
    </row>
    <row r="88" spans="31:65" x14ac:dyDescent="0.25">
      <c r="AE88" s="195" t="s">
        <v>259</v>
      </c>
      <c r="AF88" s="195" t="str">
        <f t="shared" si="9"/>
        <v>C.J. Anderson</v>
      </c>
      <c r="AG88" s="195" t="str">
        <f t="shared" si="9"/>
        <v>4</v>
      </c>
      <c r="AH88" s="195">
        <f t="shared" si="10"/>
        <v>180</v>
      </c>
      <c r="AI88" s="195">
        <f t="shared" si="8"/>
        <v>-7</v>
      </c>
      <c r="AJ88" s="195">
        <f t="shared" si="11"/>
        <v>-3.1324995000000002</v>
      </c>
      <c r="AK88" s="195">
        <f t="shared" si="11"/>
        <v>1.2313603306461061</v>
      </c>
      <c r="AL88" s="195">
        <f t="shared" si="11"/>
        <v>0</v>
      </c>
      <c r="AM88" s="195" t="str">
        <f t="shared" si="11"/>
        <v>9+</v>
      </c>
      <c r="AN88" s="153"/>
      <c r="AO88" s="153">
        <v>83</v>
      </c>
      <c r="AP88" s="153">
        <v>80</v>
      </c>
      <c r="AQ88" s="153">
        <f>AP88-AO88</f>
        <v>-3</v>
      </c>
      <c r="AR88" s="86" t="s">
        <v>135</v>
      </c>
      <c r="AS88" s="153" t="str">
        <f>BH88&amp;" "&amp;BI88</f>
        <v>WR 32</v>
      </c>
      <c r="AT88" s="153">
        <f>IF(AU88&gt;8,1,IF(AU88&gt;6.4,2,IF(AU88&gt;6,3,IF(AU88&gt;5,4,IF(AU88&gt;3.5,5,IF(AU88&gt;2.5,6,IF(AU88&gt;1.5,7,IF(AU88&gt;0.5,8,IF(AU88&gt;-0.5,9,10)))))))))</f>
        <v>8</v>
      </c>
      <c r="AU88" s="169">
        <f>SUM(AV88,AZ88,BA88)</f>
        <v>1.2968388716666668</v>
      </c>
      <c r="AV88" s="169">
        <f>INDEX(AJ$6:AJ$182,MATCH($AR88,$AF$6:$AF$182,0))</f>
        <v>1.4468388716666667</v>
      </c>
      <c r="AW88" s="169">
        <f>INDEX(AK$6:AK$182,MATCH($AR88,$AF$6:$AF$182,0))</f>
        <v>1.1446917919776372</v>
      </c>
      <c r="AX88" s="168">
        <f>SUMIFS(AV89:AV$183,AV89:AV$183,"&gt;"&amp;0,$BH89:$BH$183,"="&amp;$BH88,$BK89:$BK$183,"="&amp;1)/SUMIFS(AV$6:AV$183,AV$6:AV$183,"&gt;"&amp;0,$BH$6:$BH$183,"="&amp;$BH88)</f>
        <v>5.8426969886356955E-2</v>
      </c>
      <c r="AY88" s="168">
        <f>SUMIFS(AU89:AU$183,AU89:AU$183,"&gt;"&amp;0,BH89:BH$183,"="&amp;BH88,BK89:BK$183,"="&amp;1)/SUMIFS(AU$6:AU$183,AU$6:AU$183,"&gt;"&amp;0,BH$6:BH$183,"="&amp;BH88)</f>
        <v>6.7994084837759747E-2</v>
      </c>
      <c r="AZ88" s="169">
        <f>IF(AW88&gt;Adjustments!$J$6,Adjustments!$L$6,IF(AW88&gt;Adjustments!$J$7,Adjustments!$L$7,IF(AW88&gt;Adjustments!$J$8,Adjustments!$L$8,IF(AW88&lt;Adjustments!$J$10,Adjustments!$L$10,IF(AW88&lt;Adjustments!$J$9,Adjustments!$L$9,0)))))</f>
        <v>-0.15</v>
      </c>
      <c r="BA88" s="169">
        <f>INDEX(Adjustments!$C$4:$C$2520,MATCH(AR88,Adjustments!$B$4:$B$2520,0))</f>
        <v>0</v>
      </c>
      <c r="BB88" s="153" t="str">
        <f>INDEX(AG$6:AG$182,MATCH($AR88,$AF$6:$AF$182,0))</f>
        <v>10</v>
      </c>
      <c r="BC88" s="153">
        <f>INDEX(AH$6:AH$182,MATCH($AR88,$AF$6:$AF$182,0))</f>
        <v>86</v>
      </c>
      <c r="BD88" s="153">
        <f>INDEX(AI$6:AI$182,MATCH($AR88,$AF$6:$AF$182,0))</f>
        <v>6</v>
      </c>
      <c r="BE88" s="153">
        <f>BC88-AO88</f>
        <v>3</v>
      </c>
      <c r="BF88" s="153"/>
      <c r="BG88" s="153"/>
      <c r="BH88" s="195" t="str">
        <f>INDEX($AE$6:$AE$182,MATCH(AR88,$AF$6:$AF$182,0))</f>
        <v>WR</v>
      </c>
      <c r="BI88" s="195">
        <f>SUMIF($BH$6:BH88,BH88,$BK$6:BK88)</f>
        <v>32</v>
      </c>
      <c r="BJ88" s="194">
        <v>1</v>
      </c>
      <c r="BK88" s="194">
        <f t="shared" si="12"/>
        <v>1</v>
      </c>
      <c r="BL88" s="194" t="str">
        <f>IF('Real Time Draft Tool'!B88="y","y","")</f>
        <v/>
      </c>
      <c r="BM88" s="194" t="str">
        <f t="shared" si="13"/>
        <v>WR 32</v>
      </c>
    </row>
    <row r="89" spans="31:65" x14ac:dyDescent="0.25">
      <c r="AE89" s="195" t="s">
        <v>259</v>
      </c>
      <c r="AF89" s="195" t="str">
        <f t="shared" si="9"/>
        <v>Jonathan Stewart</v>
      </c>
      <c r="AG89" s="195" t="str">
        <f t="shared" si="9"/>
        <v>12</v>
      </c>
      <c r="AH89" s="195">
        <f t="shared" si="10"/>
        <v>158</v>
      </c>
      <c r="AI89" s="195">
        <f t="shared" si="8"/>
        <v>-30</v>
      </c>
      <c r="AJ89" s="195">
        <f t="shared" si="11"/>
        <v>-3.1485254916666667</v>
      </c>
      <c r="AK89" s="195">
        <f t="shared" si="11"/>
        <v>0.81802779019076455</v>
      </c>
      <c r="AL89" s="195">
        <f t="shared" si="11"/>
        <v>0</v>
      </c>
      <c r="AM89" s="195" t="str">
        <f t="shared" si="11"/>
        <v>9</v>
      </c>
      <c r="AN89" s="153"/>
      <c r="AO89" s="153">
        <v>84</v>
      </c>
      <c r="AP89" s="153">
        <v>89</v>
      </c>
      <c r="AQ89" s="153">
        <f>AP89-AO89</f>
        <v>5</v>
      </c>
      <c r="AR89" s="86" t="s">
        <v>144</v>
      </c>
      <c r="AS89" s="153" t="str">
        <f>BH89&amp;" "&amp;BI89</f>
        <v>WR 33</v>
      </c>
      <c r="AT89" s="153">
        <f>IF(AU89&gt;8,1,IF(AU89&gt;6.4,2,IF(AU89&gt;6,3,IF(AU89&gt;5,4,IF(AU89&gt;3.5,5,IF(AU89&gt;2.5,6,IF(AU89&gt;1.5,7,IF(AU89&gt;0.5,8,IF(AU89&gt;-0.5,9,10)))))))))</f>
        <v>8</v>
      </c>
      <c r="AU89" s="169">
        <f>SUM(AV89,AZ89,BA89)</f>
        <v>1.2849067399999998</v>
      </c>
      <c r="AV89" s="169">
        <f>INDEX(AJ$6:AJ$182,MATCH($AR89,$AF$6:$AF$182,0))</f>
        <v>1.0849067399999999</v>
      </c>
      <c r="AW89" s="169">
        <f>INDEX(AK$6:AK$182,MATCH($AR89,$AF$6:$AF$182,0))</f>
        <v>0.75834246042730025</v>
      </c>
      <c r="AX89" s="168">
        <f>SUMIFS(AV90:AV$183,AV90:AV$183,"&gt;"&amp;0,$BH90:$BH$183,"="&amp;$BH89,$BK90:$BK$183,"="&amp;1)/SUMIFS(AV$6:AV$183,AV$6:AV$183,"&gt;"&amp;0,$BH$6:$BH$183,"="&amp;$BH89)</f>
        <v>5.0302877061104256E-2</v>
      </c>
      <c r="AY89" s="168">
        <f>SUMIFS(AU90:AU$183,AU90:AU$183,"&gt;"&amp;0,BH90:BH$183,"="&amp;BH89,BK90:BK$183,"="&amp;1)/SUMIFS(AU$6:AU$183,AU$6:AU$183,"&gt;"&amp;0,BH$6:BH$183,"="&amp;BH89)</f>
        <v>5.8500300574568537E-2</v>
      </c>
      <c r="AZ89" s="169">
        <f>IF(AW89&gt;Adjustments!$J$6,Adjustments!$L$6,IF(AW89&gt;Adjustments!$J$7,Adjustments!$L$7,IF(AW89&gt;Adjustments!$J$8,Adjustments!$L$8,IF(AW89&lt;Adjustments!$J$10,Adjustments!$L$10,IF(AW89&lt;Adjustments!$J$9,Adjustments!$L$9,0)))))</f>
        <v>0.2</v>
      </c>
      <c r="BA89" s="169">
        <f>INDEX(Adjustments!$C$4:$C$2520,MATCH(AR89,Adjustments!$B$4:$B$2520,0))</f>
        <v>0</v>
      </c>
      <c r="BB89" s="153" t="str">
        <f>INDEX(AG$6:AG$182,MATCH($AR89,$AF$6:$AF$182,0))</f>
        <v>9</v>
      </c>
      <c r="BC89" s="153">
        <f>INDEX(AH$6:AH$182,MATCH($AR89,$AF$6:$AF$182,0))</f>
        <v>87</v>
      </c>
      <c r="BD89" s="153">
        <f>INDEX(AI$6:AI$182,MATCH($AR89,$AF$6:$AF$182,0))</f>
        <v>-2</v>
      </c>
      <c r="BE89" s="153">
        <f>BC89-AO89</f>
        <v>3</v>
      </c>
      <c r="BF89" s="153"/>
      <c r="BG89" s="153"/>
      <c r="BH89" s="195" t="str">
        <f>INDEX($AE$6:$AE$182,MATCH(AR89,$AF$6:$AF$182,0))</f>
        <v>WR</v>
      </c>
      <c r="BI89" s="195">
        <f>SUMIF($BH$6:BH89,BH89,$BK$6:BK89)</f>
        <v>33</v>
      </c>
      <c r="BJ89" s="194">
        <v>1</v>
      </c>
      <c r="BK89" s="194">
        <f t="shared" si="12"/>
        <v>1</v>
      </c>
      <c r="BL89" s="194" t="str">
        <f>IF('Real Time Draft Tool'!B89="y","y","")</f>
        <v/>
      </c>
      <c r="BM89" s="194" t="str">
        <f t="shared" si="13"/>
        <v>WR 33</v>
      </c>
    </row>
    <row r="90" spans="31:65" x14ac:dyDescent="0.25">
      <c r="AE90" s="195" t="s">
        <v>259</v>
      </c>
      <c r="AF90" s="195" t="str">
        <f t="shared" si="9"/>
        <v>Mike Tolbert</v>
      </c>
      <c r="AG90" s="195" t="str">
        <f t="shared" si="9"/>
        <v>12</v>
      </c>
      <c r="AH90" s="195">
        <f t="shared" si="10"/>
        <v>200</v>
      </c>
      <c r="AI90" s="195">
        <f t="shared" si="8"/>
        <v>0</v>
      </c>
      <c r="AJ90" s="195">
        <f t="shared" si="11"/>
        <v>-3.1833306599999998</v>
      </c>
      <c r="AK90" s="195">
        <f t="shared" si="11"/>
        <v>0.89262864600756686</v>
      </c>
      <c r="AL90" s="195">
        <f t="shared" si="11"/>
        <v>0</v>
      </c>
      <c r="AM90" s="195" t="str">
        <f t="shared" si="11"/>
        <v>9</v>
      </c>
      <c r="AN90" s="153"/>
      <c r="AO90" s="153">
        <v>85</v>
      </c>
      <c r="AP90" s="153">
        <v>91</v>
      </c>
      <c r="AQ90" s="153">
        <f>AP90-AO90</f>
        <v>6</v>
      </c>
      <c r="AR90" s="86" t="s">
        <v>175</v>
      </c>
      <c r="AS90" s="153" t="str">
        <f>BH90&amp;" "&amp;BI90</f>
        <v>TE 10</v>
      </c>
      <c r="AT90" s="153">
        <f>IF(AU90&gt;8,1,IF(AU90&gt;6.4,2,IF(AU90&gt;6,3,IF(AU90&gt;5,4,IF(AU90&gt;3.5,5,IF(AU90&gt;2.5,6,IF(AU90&gt;1.5,7,IF(AU90&gt;0.5,8,IF(AU90&gt;-0.5,9,10)))))))))</f>
        <v>8</v>
      </c>
      <c r="AU90" s="169">
        <f>SUM(AV90,AZ90,BA90)</f>
        <v>1.2150990683333329</v>
      </c>
      <c r="AV90" s="169">
        <f>INDEX(AJ$6:AJ$182,MATCH($AR90,$AF$6:$AF$182,0))</f>
        <v>1.015099068333333</v>
      </c>
      <c r="AW90" s="169">
        <f>INDEX(AK$6:AK$182,MATCH($AR90,$AF$6:$AF$182,0))</f>
        <v>0.77943868454649212</v>
      </c>
      <c r="AX90" s="168">
        <f>SUMIFS(AV91:AV$183,AV91:AV$183,"&gt;"&amp;0,$BH91:$BH$183,"="&amp;$BH90,$BK91:$BK$183,"="&amp;1)/SUMIFS(AV$6:AV$183,AV$6:AV$183,"&gt;"&amp;0,$BH$6:$BH$183,"="&amp;$BH90)</f>
        <v>2.8989893865888655E-2</v>
      </c>
      <c r="AY90" s="168">
        <f>SUMIFS(AU91:AU$183,AU91:AU$183,"&gt;"&amp;0,BH91:BH$183,"="&amp;BH90,BK91:BK$183,"="&amp;1)/SUMIFS(AU$6:AU$183,AU$6:AU$183,"&gt;"&amp;0,BH$6:BH$183,"="&amp;BH90)</f>
        <v>5.0101970988244385E-2</v>
      </c>
      <c r="AZ90" s="169">
        <f>IF(AW90&gt;Adjustments!$J$6,Adjustments!$L$6,IF(AW90&gt;Adjustments!$J$7,Adjustments!$L$7,IF(AW90&gt;Adjustments!$J$8,Adjustments!$L$8,IF(AW90&lt;Adjustments!$J$10,Adjustments!$L$10,IF(AW90&lt;Adjustments!$J$9,Adjustments!$L$9,0)))))</f>
        <v>0.2</v>
      </c>
      <c r="BA90" s="169">
        <f>INDEX(Adjustments!$C$4:$C$2520,MATCH(AR90,Adjustments!$B$4:$B$2520,0))</f>
        <v>0</v>
      </c>
      <c r="BB90" s="153" t="str">
        <f>INDEX(AG$6:AG$182,MATCH($AR90,$AF$6:$AF$182,0))</f>
        <v>10</v>
      </c>
      <c r="BC90" s="153">
        <f>INDEX(AH$6:AH$182,MATCH($AR90,$AF$6:$AF$182,0))</f>
        <v>94</v>
      </c>
      <c r="BD90" s="153">
        <f>INDEX(AI$6:AI$182,MATCH($AR90,$AF$6:$AF$182,0))</f>
        <v>3</v>
      </c>
      <c r="BE90" s="153">
        <f>BC90-AO90</f>
        <v>9</v>
      </c>
      <c r="BF90" s="153"/>
      <c r="BG90" s="153"/>
      <c r="BH90" s="195" t="str">
        <f>INDEX($AE$6:$AE$182,MATCH(AR90,$AF$6:$AF$182,0))</f>
        <v>TE</v>
      </c>
      <c r="BI90" s="195">
        <f>SUMIF($BH$6:BH90,BH90,$BK$6:BK90)</f>
        <v>10</v>
      </c>
      <c r="BJ90" s="194">
        <v>1</v>
      </c>
      <c r="BK90" s="194">
        <f t="shared" si="12"/>
        <v>1</v>
      </c>
      <c r="BL90" s="194" t="str">
        <f>IF('Real Time Draft Tool'!B90="y","y","")</f>
        <v/>
      </c>
      <c r="BM90" s="194" t="str">
        <f t="shared" si="13"/>
        <v>TE 10</v>
      </c>
    </row>
    <row r="91" spans="31:65" x14ac:dyDescent="0.25">
      <c r="AE91" s="195" t="s">
        <v>259</v>
      </c>
      <c r="AF91" s="195" t="str">
        <f t="shared" si="9"/>
        <v>Knile Davis</v>
      </c>
      <c r="AG91" s="195" t="str">
        <f t="shared" si="9"/>
        <v>6</v>
      </c>
      <c r="AH91" s="195">
        <f t="shared" si="10"/>
        <v>157</v>
      </c>
      <c r="AI91" s="195">
        <f t="shared" si="8"/>
        <v>-33</v>
      </c>
      <c r="AJ91" s="195">
        <f t="shared" si="11"/>
        <v>-3.1937494699999998</v>
      </c>
      <c r="AK91" s="195">
        <f t="shared" si="11"/>
        <v>0.91468488426342909</v>
      </c>
      <c r="AL91" s="195">
        <f t="shared" si="11"/>
        <v>0</v>
      </c>
      <c r="AM91" s="195" t="str">
        <f t="shared" si="11"/>
        <v>9</v>
      </c>
      <c r="AN91" s="153"/>
      <c r="AO91" s="153">
        <v>86</v>
      </c>
      <c r="AP91" s="153">
        <v>95</v>
      </c>
      <c r="AQ91" s="153">
        <f>AP91-AO91</f>
        <v>9</v>
      </c>
      <c r="AR91" s="86" t="s">
        <v>148</v>
      </c>
      <c r="AS91" s="153" t="str">
        <f>BH91&amp;" "&amp;BI91</f>
        <v>WR 34</v>
      </c>
      <c r="AT91" s="153">
        <f>IF(AU91&gt;8,1,IF(AU91&gt;6.4,2,IF(AU91&gt;6,3,IF(AU91&gt;5,4,IF(AU91&gt;3.5,5,IF(AU91&gt;2.5,6,IF(AU91&gt;1.5,7,IF(AU91&gt;0.5,8,IF(AU91&gt;-0.5,9,10)))))))))</f>
        <v>8</v>
      </c>
      <c r="AU91" s="169">
        <f>SUM(AV91,AZ91,BA91)</f>
        <v>1.1330784649999999</v>
      </c>
      <c r="AV91" s="169">
        <f>INDEX(AJ$6:AJ$182,MATCH($AR91,$AF$6:$AF$182,0))</f>
        <v>0.83307846499999982</v>
      </c>
      <c r="AW91" s="169">
        <f>INDEX(AK$6:AK$182,MATCH($AR91,$AF$6:$AF$182,0))</f>
        <v>0.58177387628575328</v>
      </c>
      <c r="AX91" s="168">
        <f>SUMIFS(AV92:AV$183,AV92:AV$183,"&gt;"&amp;0,$BH92:$BH$183,"="&amp;$BH91,$BK92:$BK$183,"="&amp;1)/SUMIFS(AV$6:AV$183,AV$6:AV$183,"&gt;"&amp;0,$BH$6:$BH$183,"="&amp;$BH91)</f>
        <v>4.4064546584533494E-2</v>
      </c>
      <c r="AY91" s="168">
        <f>SUMIFS(AU92:AU$183,AU92:AU$183,"&gt;"&amp;0,BH92:BH$183,"="&amp;BH91,BK92:BK$183,"="&amp;1)/SUMIFS(AU$6:AU$183,AU$6:AU$183,"&gt;"&amp;0,BH$6:BH$183,"="&amp;BH91)</f>
        <v>5.0128329158201118E-2</v>
      </c>
      <c r="AZ91" s="169">
        <f>IF(AW91&gt;Adjustments!$J$6,Adjustments!$L$6,IF(AW91&gt;Adjustments!$J$7,Adjustments!$L$7,IF(AW91&gt;Adjustments!$J$8,Adjustments!$L$8,IF(AW91&lt;Adjustments!$J$10,Adjustments!$L$10,IF(AW91&lt;Adjustments!$J$9,Adjustments!$L$9,0)))))</f>
        <v>0.3</v>
      </c>
      <c r="BA91" s="169">
        <f>INDEX(Adjustments!$C$4:$C$2520,MATCH(AR91,Adjustments!$B$4:$B$2520,0))</f>
        <v>0</v>
      </c>
      <c r="BB91" s="153" t="str">
        <f>INDEX(AG$6:AG$182,MATCH($AR91,$AF$6:$AF$182,0))</f>
        <v>6</v>
      </c>
      <c r="BC91" s="153">
        <f>INDEX(AH$6:AH$182,MATCH($AR91,$AF$6:$AF$182,0))</f>
        <v>107</v>
      </c>
      <c r="BD91" s="153">
        <f>INDEX(AI$6:AI$182,MATCH($AR91,$AF$6:$AF$182,0))</f>
        <v>12</v>
      </c>
      <c r="BE91" s="153">
        <f>BC91-AO91</f>
        <v>21</v>
      </c>
      <c r="BF91" s="153"/>
      <c r="BG91" s="153"/>
      <c r="BH91" s="195" t="str">
        <f>INDEX($AE$6:$AE$182,MATCH(AR91,$AF$6:$AF$182,0))</f>
        <v>WR</v>
      </c>
      <c r="BI91" s="195">
        <f>SUMIF($BH$6:BH91,BH91,$BK$6:BK91)</f>
        <v>34</v>
      </c>
      <c r="BJ91" s="194">
        <v>1</v>
      </c>
      <c r="BK91" s="194">
        <f t="shared" si="12"/>
        <v>1</v>
      </c>
      <c r="BL91" s="194" t="str">
        <f>IF('Real Time Draft Tool'!B91="y","y","")</f>
        <v/>
      </c>
      <c r="BM91" s="194" t="str">
        <f t="shared" si="13"/>
        <v>WR 34</v>
      </c>
    </row>
    <row r="92" spans="31:65" x14ac:dyDescent="0.25">
      <c r="AE92" s="195" t="s">
        <v>259</v>
      </c>
      <c r="AF92" s="195" t="str">
        <f t="shared" si="9"/>
        <v>Christine Michael</v>
      </c>
      <c r="AG92" s="195" t="str">
        <f t="shared" si="9"/>
        <v>4</v>
      </c>
      <c r="AH92" s="195">
        <f t="shared" si="10"/>
        <v>128</v>
      </c>
      <c r="AI92" s="195">
        <f t="shared" si="8"/>
        <v>-65</v>
      </c>
      <c r="AJ92" s="195">
        <f t="shared" si="11"/>
        <v>-3.2261358536363636</v>
      </c>
      <c r="AK92" s="195">
        <f t="shared" si="11"/>
        <v>1.4821353318929609</v>
      </c>
      <c r="AL92" s="195">
        <f t="shared" si="11"/>
        <v>0</v>
      </c>
      <c r="AM92" s="195" t="str">
        <f t="shared" si="11"/>
        <v>9</v>
      </c>
      <c r="AN92" s="153"/>
      <c r="AO92" s="153">
        <v>87</v>
      </c>
      <c r="AP92" s="153">
        <v>82</v>
      </c>
      <c r="AQ92" s="153">
        <f>AP92-AO92</f>
        <v>-5</v>
      </c>
      <c r="AR92" s="86" t="s">
        <v>140</v>
      </c>
      <c r="AS92" s="153" t="str">
        <f>BH92&amp;" "&amp;BI92</f>
        <v>WR 35</v>
      </c>
      <c r="AT92" s="153">
        <f>IF(AU92&gt;8,1,IF(AU92&gt;6.4,2,IF(AU92&gt;6,3,IF(AU92&gt;5,4,IF(AU92&gt;3.5,5,IF(AU92&gt;2.5,6,IF(AU92&gt;1.5,7,IF(AU92&gt;0.5,8,IF(AU92&gt;-0.5,9,10)))))))))</f>
        <v>8</v>
      </c>
      <c r="AU92" s="169">
        <f>SUM(AV92,AZ92,BA92)</f>
        <v>1.1198243283333336</v>
      </c>
      <c r="AV92" s="169">
        <f>INDEX(AJ$6:AJ$182,MATCH($AR92,$AF$6:$AF$182,0))</f>
        <v>1.4198243283333336</v>
      </c>
      <c r="AW92" s="169">
        <f>INDEX(AK$6:AK$182,MATCH($AR92,$AF$6:$AF$182,0))</f>
        <v>1.2538020324838959</v>
      </c>
      <c r="AX92" s="168">
        <f>SUMIFS(AV93:AV$183,AV93:AV$183,"&gt;"&amp;0,$BH93:$BH$183,"="&amp;$BH92,$BK93:$BK$183,"="&amp;1)/SUMIFS(AV$6:AV$183,AV$6:AV$183,"&gt;"&amp;0,$BH$6:$BH$183,"="&amp;$BH92)</f>
        <v>3.3432494801970074E-2</v>
      </c>
      <c r="AY92" s="168">
        <f>SUMIFS(AU93:AU$183,AU93:AU$183,"&gt;"&amp;0,BH93:BH$183,"="&amp;BH92,BK93:BK$183,"="&amp;1)/SUMIFS(AU$6:AU$183,AU$6:AU$183,"&gt;"&amp;0,BH$6:BH$183,"="&amp;BH92)</f>
        <v>4.1854288517812178E-2</v>
      </c>
      <c r="AZ92" s="169">
        <f>IF(AW92&gt;Adjustments!$J$6,Adjustments!$L$6,IF(AW92&gt;Adjustments!$J$7,Adjustments!$L$7,IF(AW92&gt;Adjustments!$J$8,Adjustments!$L$8,IF(AW92&lt;Adjustments!$J$10,Adjustments!$L$10,IF(AW92&lt;Adjustments!$J$9,Adjustments!$L$9,0)))))</f>
        <v>-0.3</v>
      </c>
      <c r="BA92" s="169">
        <f>INDEX(Adjustments!$C$4:$C$2520,MATCH(AR92,Adjustments!$B$4:$B$2520,0))</f>
        <v>0</v>
      </c>
      <c r="BB92" s="153" t="str">
        <f>INDEX(AG$6:AG$182,MATCH($AR92,$AF$6:$AF$182,0))</f>
        <v>4</v>
      </c>
      <c r="BC92" s="153">
        <f>INDEX(AH$6:AH$182,MATCH($AR92,$AF$6:$AF$182,0))</f>
        <v>73</v>
      </c>
      <c r="BD92" s="153">
        <f>INDEX(AI$6:AI$182,MATCH($AR92,$AF$6:$AF$182,0))</f>
        <v>-9</v>
      </c>
      <c r="BE92" s="153">
        <f>BC92-AO92</f>
        <v>-14</v>
      </c>
      <c r="BF92" s="153"/>
      <c r="BG92" s="153"/>
      <c r="BH92" s="195" t="str">
        <f>INDEX($AE$6:$AE$182,MATCH(AR92,$AF$6:$AF$182,0))</f>
        <v>WR</v>
      </c>
      <c r="BI92" s="195">
        <f>SUMIF($BH$6:BH92,BH92,$BK$6:BK92)</f>
        <v>35</v>
      </c>
      <c r="BJ92" s="194">
        <v>1</v>
      </c>
      <c r="BK92" s="194">
        <f t="shared" si="12"/>
        <v>1</v>
      </c>
      <c r="BL92" s="194" t="str">
        <f>IF('Real Time Draft Tool'!B92="y","y","")</f>
        <v/>
      </c>
      <c r="BM92" s="194" t="str">
        <f t="shared" si="13"/>
        <v>WR 35</v>
      </c>
    </row>
    <row r="93" spans="31:65" x14ac:dyDescent="0.25">
      <c r="AE93" s="195" t="s">
        <v>259</v>
      </c>
      <c r="AF93" s="195" t="str">
        <f t="shared" si="9"/>
        <v>David Wilson</v>
      </c>
      <c r="AG93" s="195" t="str">
        <f t="shared" si="9"/>
        <v>8</v>
      </c>
      <c r="AH93" s="195">
        <f t="shared" si="10"/>
        <v>123</v>
      </c>
      <c r="AI93" s="195">
        <f t="shared" si="8"/>
        <v>-71</v>
      </c>
      <c r="AJ93" s="195">
        <f t="shared" si="11"/>
        <v>-3.2305983883333331</v>
      </c>
      <c r="AK93" s="195">
        <f t="shared" si="11"/>
        <v>1.3421838551538867</v>
      </c>
      <c r="AL93" s="195">
        <f t="shared" si="11"/>
        <v>0</v>
      </c>
      <c r="AM93" s="195" t="str">
        <f t="shared" si="11"/>
        <v>9</v>
      </c>
      <c r="AN93" s="153"/>
      <c r="AO93" s="153">
        <v>88</v>
      </c>
      <c r="AP93" s="153">
        <v>83</v>
      </c>
      <c r="AQ93" s="153">
        <f>AP93-AO93</f>
        <v>-5</v>
      </c>
      <c r="AR93" s="86" t="s">
        <v>137</v>
      </c>
      <c r="AS93" s="153" t="str">
        <f>BH93&amp;" "&amp;BI93</f>
        <v>RB 31</v>
      </c>
      <c r="AT93" s="153">
        <f>IF(AU93&gt;8,1,IF(AU93&gt;6.4,2,IF(AU93&gt;6,3,IF(AU93&gt;5,4,IF(AU93&gt;3.5,5,IF(AU93&gt;2.5,6,IF(AU93&gt;1.5,7,IF(AU93&gt;0.5,8,IF(AU93&gt;-0.5,9,10)))))))))</f>
        <v>8</v>
      </c>
      <c r="AU93" s="169">
        <f>SUM(AV93,AZ93,BA93)</f>
        <v>1.1121940800000003</v>
      </c>
      <c r="AV93" s="169">
        <f>INDEX(AJ$6:AJ$182,MATCH($AR93,$AF$6:$AF$182,0))</f>
        <v>1.4121940800000004</v>
      </c>
      <c r="AW93" s="169">
        <f>INDEX(AK$6:AK$182,MATCH($AR93,$AF$6:$AF$182,0))</f>
        <v>1.2788280836430697</v>
      </c>
      <c r="AX93" s="168">
        <f>SUMIFS(AV94:AV$183,AV94:AV$183,"&gt;"&amp;0,$BH94:$BH$183,"="&amp;$BH93,$BK94:$BK$183,"="&amp;1)/SUMIFS(AV$6:AV$183,AV$6:AV$183,"&gt;"&amp;0,$BH$6:$BH$183,"="&amp;$BH93)</f>
        <v>3.3532587848142018E-2</v>
      </c>
      <c r="AY93" s="176">
        <f>SUMIFS(AU94:AU$183,AU94:AU$183,"&gt;"&amp;0,BH94:BH$183,"="&amp;BH93,BK94:BK$183,"="&amp;1)/SUMIFS(AU$6:AU$183,AU$6:AU$183,"&gt;"&amp;0,BH$6:BH$183,"="&amp;BH93)</f>
        <v>2.3587131510226574E-2</v>
      </c>
      <c r="AZ93" s="169">
        <f>IF(AW93&gt;Adjustments!$J$6,Adjustments!$L$6,IF(AW93&gt;Adjustments!$J$7,Adjustments!$L$7,IF(AW93&gt;Adjustments!$J$8,Adjustments!$L$8,IF(AW93&lt;Adjustments!$J$10,Adjustments!$L$10,IF(AW93&lt;Adjustments!$J$9,Adjustments!$L$9,0)))))</f>
        <v>-0.3</v>
      </c>
      <c r="BA93" s="169">
        <f>INDEX(Adjustments!$C$4:$C$2520,MATCH(AR93,Adjustments!$B$4:$B$2520,0))</f>
        <v>0</v>
      </c>
      <c r="BB93" s="153" t="str">
        <f>INDEX(AG$6:AG$182,MATCH($AR93,$AF$6:$AF$182,0))</f>
        <v>5</v>
      </c>
      <c r="BC93" s="153">
        <f>INDEX(AH$6:AH$182,MATCH($AR93,$AF$6:$AF$182,0))</f>
        <v>88</v>
      </c>
      <c r="BD93" s="153">
        <f>INDEX(AI$6:AI$182,MATCH($AR93,$AF$6:$AF$182,0))</f>
        <v>5</v>
      </c>
      <c r="BE93" s="153">
        <f>BC93-AO93</f>
        <v>0</v>
      </c>
      <c r="BF93" s="153"/>
      <c r="BG93" s="153"/>
      <c r="BH93" s="195" t="str">
        <f>INDEX($AE$6:$AE$182,MATCH(AR93,$AF$6:$AF$182,0))</f>
        <v>RB</v>
      </c>
      <c r="BI93" s="195">
        <f>SUMIF($BH$6:BH93,BH93,$BK$6:BK93)</f>
        <v>31</v>
      </c>
      <c r="BJ93" s="194">
        <v>1</v>
      </c>
      <c r="BK93" s="194">
        <f t="shared" si="12"/>
        <v>1</v>
      </c>
      <c r="BL93" s="194" t="str">
        <f>IF('Real Time Draft Tool'!B93="y","y","")</f>
        <v/>
      </c>
      <c r="BM93" s="194" t="str">
        <f t="shared" si="13"/>
        <v>RB 31</v>
      </c>
    </row>
    <row r="94" spans="31:65" x14ac:dyDescent="0.25">
      <c r="AE94" s="195" t="s">
        <v>259</v>
      </c>
      <c r="AF94" s="195" t="str">
        <f t="shared" si="9"/>
        <v>Andre Brown</v>
      </c>
      <c r="AG94" s="195" t="str">
        <f t="shared" si="9"/>
        <v>10</v>
      </c>
      <c r="AH94" s="195">
        <f t="shared" si="10"/>
        <v>165</v>
      </c>
      <c r="AI94" s="195">
        <f t="shared" si="8"/>
        <v>-30</v>
      </c>
      <c r="AJ94" s="195">
        <f t="shared" si="11"/>
        <v>-3.2362754816666666</v>
      </c>
      <c r="AK94" s="195">
        <f t="shared" si="11"/>
        <v>0.89980557853391208</v>
      </c>
      <c r="AL94" s="195">
        <f t="shared" si="11"/>
        <v>0</v>
      </c>
      <c r="AM94" s="195" t="str">
        <f t="shared" si="11"/>
        <v>9</v>
      </c>
      <c r="AN94" s="153"/>
      <c r="AO94" s="153">
        <v>89</v>
      </c>
      <c r="AP94" s="153">
        <v>96</v>
      </c>
      <c r="AQ94" s="153">
        <f>AP94-AO94</f>
        <v>7</v>
      </c>
      <c r="AR94" s="86" t="s">
        <v>151</v>
      </c>
      <c r="AS94" s="153" t="str">
        <f>BH94&amp;" "&amp;BI94</f>
        <v>WR 36</v>
      </c>
      <c r="AT94" s="153">
        <f>IF(AU94&gt;8,1,IF(AU94&gt;6.4,2,IF(AU94&gt;6,3,IF(AU94&gt;5,4,IF(AU94&gt;3.5,5,IF(AU94&gt;2.5,6,IF(AU94&gt;1.5,7,IF(AU94&gt;0.5,8,IF(AU94&gt;-0.5,9,10)))))))))</f>
        <v>8</v>
      </c>
      <c r="AU94" s="169">
        <f>SUM(AV94,AZ94,BA94)</f>
        <v>0.98154731499999981</v>
      </c>
      <c r="AV94" s="169">
        <f>INDEX(AJ$6:AJ$182,MATCH($AR94,$AF$6:$AF$182,0))</f>
        <v>0.78154731499999974</v>
      </c>
      <c r="AW94" s="169">
        <f>INDEX(AK$6:AK$182,MATCH($AR94,$AF$6:$AF$182,0))</f>
        <v>0.79834683110213689</v>
      </c>
      <c r="AX94" s="168">
        <f>SUMIFS(AV95:AV$183,AV95:AV$183,"&gt;"&amp;0,$BH95:$BH$183,"="&amp;$BH94,$BK95:$BK$183,"="&amp;1)/SUMIFS(AV$6:AV$183,AV$6:AV$183,"&gt;"&amp;0,$BH$6:$BH$183,"="&amp;$BH94)</f>
        <v>2.7580044355964908E-2</v>
      </c>
      <c r="AY94" s="168">
        <f>SUMIFS(AU95:AU$183,AU95:AU$183,"&gt;"&amp;0,BH95:BH$183,"="&amp;BH94,BK95:BK$183,"="&amp;1)/SUMIFS(AU$6:AU$183,AU$6:AU$183,"&gt;"&amp;0,BH$6:BH$183,"="&amp;BH94)</f>
        <v>3.460193458220702E-2</v>
      </c>
      <c r="AZ94" s="169">
        <f>IF(AW94&gt;Adjustments!$J$6,Adjustments!$L$6,IF(AW94&gt;Adjustments!$J$7,Adjustments!$L$7,IF(AW94&gt;Adjustments!$J$8,Adjustments!$L$8,IF(AW94&lt;Adjustments!$J$10,Adjustments!$L$10,IF(AW94&lt;Adjustments!$J$9,Adjustments!$L$9,0)))))</f>
        <v>0.2</v>
      </c>
      <c r="BA94" s="169">
        <f>INDEX(Adjustments!$C$4:$C$2520,MATCH(AR94,Adjustments!$B$4:$B$2520,0))</f>
        <v>0</v>
      </c>
      <c r="BB94" s="153" t="str">
        <f>INDEX(AG$6:AG$182,MATCH($AR94,$AF$6:$AF$182,0))</f>
        <v>11</v>
      </c>
      <c r="BC94" s="153">
        <f>INDEX(AH$6:AH$182,MATCH($AR94,$AF$6:$AF$182,0))</f>
        <v>115</v>
      </c>
      <c r="BD94" s="153">
        <f>INDEX(AI$6:AI$182,MATCH($AR94,$AF$6:$AF$182,0))</f>
        <v>19</v>
      </c>
      <c r="BE94" s="153">
        <f>BC94-AO94</f>
        <v>26</v>
      </c>
      <c r="BF94" s="153"/>
      <c r="BG94" s="153"/>
      <c r="BH94" s="195" t="str">
        <f>INDEX($AE$6:$AE$182,MATCH(AR94,$AF$6:$AF$182,0))</f>
        <v>WR</v>
      </c>
      <c r="BI94" s="195">
        <f>SUMIF($BH$6:BH94,BH94,$BK$6:BK94)</f>
        <v>36</v>
      </c>
      <c r="BJ94" s="194">
        <v>1</v>
      </c>
      <c r="BK94" s="194">
        <f t="shared" si="12"/>
        <v>1</v>
      </c>
      <c r="BL94" s="194" t="str">
        <f>IF('Real Time Draft Tool'!B94="y","y","")</f>
        <v/>
      </c>
      <c r="BM94" s="194" t="str">
        <f t="shared" si="13"/>
        <v>WR 36</v>
      </c>
    </row>
    <row r="95" spans="31:65" x14ac:dyDescent="0.25">
      <c r="AE95" s="195" t="s">
        <v>259</v>
      </c>
      <c r="AF95" s="195" t="str">
        <f t="shared" si="9"/>
        <v>Carlos Hyde</v>
      </c>
      <c r="AG95" s="195" t="str">
        <f t="shared" si="9"/>
        <v>8</v>
      </c>
      <c r="AH95" s="195">
        <f t="shared" si="10"/>
        <v>135</v>
      </c>
      <c r="AI95" s="195">
        <f t="shared" si="8"/>
        <v>-61</v>
      </c>
      <c r="AJ95" s="195">
        <f t="shared" si="11"/>
        <v>-3.2857949345454545</v>
      </c>
      <c r="AK95" s="195">
        <f t="shared" si="11"/>
        <v>1.332910029869711</v>
      </c>
      <c r="AL95" s="195">
        <f t="shared" si="11"/>
        <v>0</v>
      </c>
      <c r="AM95" s="195" t="str">
        <f t="shared" si="11"/>
        <v>9</v>
      </c>
      <c r="AN95" s="153"/>
      <c r="AO95" s="153">
        <v>90</v>
      </c>
      <c r="AP95" s="153">
        <v>88</v>
      </c>
      <c r="AQ95" s="153">
        <f>AP95-AO95</f>
        <v>-2</v>
      </c>
      <c r="AR95" s="86" t="s">
        <v>68</v>
      </c>
      <c r="AS95" s="153" t="str">
        <f>BH95&amp;" "&amp;BI95</f>
        <v>QB 13</v>
      </c>
      <c r="AT95" s="153">
        <f>IF(AU95&gt;8,1,IF(AU95&gt;6.4,2,IF(AU95&gt;6,3,IF(AU95&gt;5,4,IF(AU95&gt;3.5,5,IF(AU95&gt;2.5,6,IF(AU95&gt;1.5,7,IF(AU95&gt;0.5,8,IF(AU95&gt;-0.5,9,10)))))))))</f>
        <v>8</v>
      </c>
      <c r="AU95" s="169">
        <f>SUM(AV95,AZ95,BA95)</f>
        <v>0.97674804666666726</v>
      </c>
      <c r="AV95" s="169">
        <f>INDEX(AJ$6:AJ$182,MATCH($AR95,$AF$6:$AF$182,0))</f>
        <v>1.1267480466666673</v>
      </c>
      <c r="AW95" s="169">
        <f>INDEX(AK$6:AK$182,MATCH($AR95,$AF$6:$AF$182,0))</f>
        <v>1.0375276190441181</v>
      </c>
      <c r="AX95" s="168">
        <f>SUMIFS(AV96:AV$183,AV96:AV$183,"&gt;"&amp;0,$BH96:$BH$183,"="&amp;$BH95,$BK96:$BK$183,"="&amp;1)/SUMIFS(AV$6:AV$183,AV$6:AV$183,"&gt;"&amp;0,$BH$6:$BH$183,"="&amp;$BH95)</f>
        <v>2.9755026126396876E-2</v>
      </c>
      <c r="AY95" s="168">
        <f>SUMIFS(AU96:AU$183,AU96:AU$183,"&gt;"&amp;0,BH96:BH$183,"="&amp;BH95,BK96:BK$183,"="&amp;1)/SUMIFS(AU$6:AU$183,AU$6:AU$183,"&gt;"&amp;0,BH$6:BH$183,"="&amp;BH95)</f>
        <v>5.301094959488057E-2</v>
      </c>
      <c r="AZ95" s="169">
        <f>IF(AW95&gt;Adjustments!$J$6,Adjustments!$L$6,IF(AW95&gt;Adjustments!$J$7,Adjustments!$L$7,IF(AW95&gt;Adjustments!$J$8,Adjustments!$L$8,IF(AW95&lt;Adjustments!$J$10,Adjustments!$L$10,IF(AW95&lt;Adjustments!$J$9,Adjustments!$L$9,0)))))</f>
        <v>-0.15</v>
      </c>
      <c r="BA95" s="169">
        <f>INDEX(Adjustments!$C$4:$C$2520,MATCH(AR95,Adjustments!$B$4:$B$2520,0))</f>
        <v>0</v>
      </c>
      <c r="BB95" s="153" t="str">
        <f>INDEX(AG$6:AG$182,MATCH($AR95,$AF$6:$AF$182,0))</f>
        <v>11</v>
      </c>
      <c r="BC95" s="153">
        <f>INDEX(AH$6:AH$182,MATCH($AR95,$AF$6:$AF$182,0))</f>
        <v>91</v>
      </c>
      <c r="BD95" s="153">
        <f>INDEX(AI$6:AI$182,MATCH($AR95,$AF$6:$AF$182,0))</f>
        <v>3</v>
      </c>
      <c r="BE95" s="153">
        <f>BC95-AO95</f>
        <v>1</v>
      </c>
      <c r="BF95" s="153"/>
      <c r="BG95" s="153"/>
      <c r="BH95" s="195" t="str">
        <f>INDEX($AE$6:$AE$182,MATCH(AR95,$AF$6:$AF$182,0))</f>
        <v>QB</v>
      </c>
      <c r="BI95" s="195">
        <f>SUMIF($BH$6:BH95,BH95,$BK$6:BK95)</f>
        <v>13</v>
      </c>
      <c r="BJ95" s="194">
        <v>1</v>
      </c>
      <c r="BK95" s="194">
        <f t="shared" si="12"/>
        <v>1</v>
      </c>
      <c r="BL95" s="194" t="str">
        <f>IF('Real Time Draft Tool'!B95="y","y","")</f>
        <v/>
      </c>
      <c r="BM95" s="194" t="str">
        <f t="shared" si="13"/>
        <v>QB 13</v>
      </c>
    </row>
    <row r="96" spans="31:65" x14ac:dyDescent="0.25">
      <c r="AE96" s="195" t="s">
        <v>259</v>
      </c>
      <c r="AF96" s="195" t="str">
        <f t="shared" si="9"/>
        <v>LeGarrette Blount</v>
      </c>
      <c r="AG96" s="195" t="str">
        <f t="shared" si="9"/>
        <v>12</v>
      </c>
      <c r="AH96" s="195">
        <f t="shared" si="10"/>
        <v>148</v>
      </c>
      <c r="AI96" s="195">
        <f t="shared" si="8"/>
        <v>-50</v>
      </c>
      <c r="AJ96" s="195">
        <f t="shared" si="11"/>
        <v>-3.3190984683333333</v>
      </c>
      <c r="AK96" s="195">
        <f t="shared" si="11"/>
        <v>1.0547239033981277</v>
      </c>
      <c r="AL96" s="195">
        <f t="shared" si="11"/>
        <v>0</v>
      </c>
      <c r="AM96" s="195" t="str">
        <f t="shared" si="11"/>
        <v>9</v>
      </c>
      <c r="AN96" s="153"/>
      <c r="AO96" s="153">
        <v>91</v>
      </c>
      <c r="AP96" s="153">
        <v>86</v>
      </c>
      <c r="AQ96" s="153">
        <f>AP96-AO96</f>
        <v>-5</v>
      </c>
      <c r="AR96" s="86" t="s">
        <v>142</v>
      </c>
      <c r="AS96" s="153" t="str">
        <f>BH96&amp;" "&amp;BI96</f>
        <v>WR 37</v>
      </c>
      <c r="AT96" s="153">
        <f>IF(AU96&gt;8,1,IF(AU96&gt;6.4,2,IF(AU96&gt;6,3,IF(AU96&gt;5,4,IF(AU96&gt;3.5,5,IF(AU96&gt;2.5,6,IF(AU96&gt;1.5,7,IF(AU96&gt;0.5,8,IF(AU96&gt;-0.5,9,10)))))))))</f>
        <v>8</v>
      </c>
      <c r="AU96" s="169">
        <f>SUM(AV96,AZ96,BA96)</f>
        <v>0.90715143166666667</v>
      </c>
      <c r="AV96" s="169">
        <f>INDEX(AJ$6:AJ$182,MATCH($AR96,$AF$6:$AF$182,0))</f>
        <v>1.2071514316666667</v>
      </c>
      <c r="AW96" s="169">
        <f>INDEX(AK$6:AK$182,MATCH($AR96,$AF$6:$AF$182,0))</f>
        <v>1.3102783734033299</v>
      </c>
      <c r="AX96" s="168">
        <f>SUMIFS(AV97:AV$183,AV97:AV$183,"&gt;"&amp;0,$BH97:$BH$183,"="&amp;$BH96,$BK97:$BK$183,"="&amp;1)/SUMIFS(AV$6:AV$183,AV$6:AV$183,"&gt;"&amp;0,$BH$6:$BH$183,"="&amp;$BH96)</f>
        <v>1.8540548219184806E-2</v>
      </c>
      <c r="AY96" s="168">
        <f>SUMIFS(AU97:AU$183,AU97:AU$183,"&gt;"&amp;0,BH97:BH$183,"="&amp;BH96,BK97:BK$183,"="&amp;1)/SUMIFS(AU$6:AU$183,AU$6:AU$183,"&gt;"&amp;0,BH$6:BH$183,"="&amp;BH96)</f>
        <v>2.7899269152739062E-2</v>
      </c>
      <c r="AZ96" s="169">
        <f>IF(AW96&gt;Adjustments!$J$6,Adjustments!$L$6,IF(AW96&gt;Adjustments!$J$7,Adjustments!$L$7,IF(AW96&gt;Adjustments!$J$8,Adjustments!$L$8,IF(AW96&lt;Adjustments!$J$10,Adjustments!$L$10,IF(AW96&lt;Adjustments!$J$9,Adjustments!$L$9,0)))))</f>
        <v>-0.3</v>
      </c>
      <c r="BA96" s="169">
        <f>INDEX(Adjustments!$C$4:$C$2520,MATCH(AR96,Adjustments!$B$4:$B$2520,0))</f>
        <v>0</v>
      </c>
      <c r="BB96" s="153" t="str">
        <f>INDEX(AG$6:AG$182,MATCH($AR96,$AF$6:$AF$182,0))</f>
        <v>9</v>
      </c>
      <c r="BC96" s="153">
        <f>INDEX(AH$6:AH$182,MATCH($AR96,$AF$6:$AF$182,0))</f>
        <v>83</v>
      </c>
      <c r="BD96" s="153">
        <f>INDEX(AI$6:AI$182,MATCH($AR96,$AF$6:$AF$182,0))</f>
        <v>-3</v>
      </c>
      <c r="BE96" s="153">
        <f>BC96-AO96</f>
        <v>-8</v>
      </c>
      <c r="BF96" s="153"/>
      <c r="BG96" s="153"/>
      <c r="BH96" s="195" t="str">
        <f>INDEX($AE$6:$AE$182,MATCH(AR96,$AF$6:$AF$182,0))</f>
        <v>WR</v>
      </c>
      <c r="BI96" s="195">
        <f>SUMIF($BH$6:BH96,BH96,$BK$6:BK96)</f>
        <v>37</v>
      </c>
      <c r="BJ96" s="194">
        <v>1</v>
      </c>
      <c r="BK96" s="194">
        <f t="shared" si="12"/>
        <v>1</v>
      </c>
      <c r="BL96" s="194" t="str">
        <f>IF('Real Time Draft Tool'!B96="y","y","")</f>
        <v/>
      </c>
      <c r="BM96" s="194" t="str">
        <f t="shared" si="13"/>
        <v>WR 37</v>
      </c>
    </row>
    <row r="97" spans="31:65" x14ac:dyDescent="0.25">
      <c r="AE97" s="195" t="s">
        <v>259</v>
      </c>
      <c r="AF97" s="195" t="str">
        <f t="shared" si="9"/>
        <v>Lance Dunbar</v>
      </c>
      <c r="AG97" s="195" t="str">
        <f t="shared" si="9"/>
        <v>11</v>
      </c>
      <c r="AH97" s="195">
        <f t="shared" si="10"/>
        <v>162</v>
      </c>
      <c r="AI97" s="195">
        <f t="shared" si="8"/>
        <v>-38</v>
      </c>
      <c r="AJ97" s="195">
        <f t="shared" si="11"/>
        <v>-3.3573535566666668</v>
      </c>
      <c r="AK97" s="195">
        <f t="shared" si="11"/>
        <v>1.2112937413920735</v>
      </c>
      <c r="AL97" s="195">
        <f t="shared" si="11"/>
        <v>0</v>
      </c>
      <c r="AM97" s="195" t="str">
        <f t="shared" si="11"/>
        <v>9</v>
      </c>
      <c r="AN97" s="153"/>
      <c r="AO97" s="153">
        <v>92</v>
      </c>
      <c r="AP97" s="153">
        <v>93</v>
      </c>
      <c r="AQ97" s="153">
        <f>AP97-AO97</f>
        <v>1</v>
      </c>
      <c r="AR97" s="86" t="s">
        <v>154</v>
      </c>
      <c r="AS97" s="153" t="str">
        <f>BH97&amp;" "&amp;BI97</f>
        <v>WR 38</v>
      </c>
      <c r="AT97" s="153">
        <f>IF(AU97&gt;8,1,IF(AU97&gt;6.4,2,IF(AU97&gt;6,3,IF(AU97&gt;5,4,IF(AU97&gt;3.5,5,IF(AU97&gt;2.5,6,IF(AU97&gt;1.5,7,IF(AU97&gt;0.5,8,IF(AU97&gt;-0.5,9,10)))))))))</f>
        <v>8</v>
      </c>
      <c r="AU97" s="169">
        <f>SUM(AV97,AZ97,BA97)</f>
        <v>0.8980732066666669</v>
      </c>
      <c r="AV97" s="169">
        <f>INDEX(AJ$6:AJ$182,MATCH($AR97,$AF$6:$AF$182,0))</f>
        <v>0.8980732066666669</v>
      </c>
      <c r="AW97" s="169">
        <f>INDEX(AK$6:AK$182,MATCH($AR97,$AF$6:$AF$182,0))</f>
        <v>0.91400511992911093</v>
      </c>
      <c r="AX97" s="168">
        <f>SUMIFS(AV98:AV$183,AV98:AV$183,"&gt;"&amp;0,$BH98:$BH$183,"="&amp;$BH97,$BK98:$BK$183,"="&amp;1)/SUMIFS(AV$6:AV$183,AV$6:AV$183,"&gt;"&amp;0,$BH$6:$BH$183,"="&amp;$BH97)</f>
        <v>1.1815518476229794E-2</v>
      </c>
      <c r="AY97" s="168">
        <f>SUMIFS(AU98:AU$183,AU98:AU$183,"&gt;"&amp;0,BH98:BH$183,"="&amp;BH97,BK98:BK$183,"="&amp;1)/SUMIFS(AU$6:AU$183,AU$6:AU$183,"&gt;"&amp;0,BH$6:BH$183,"="&amp;BH97)</f>
        <v>2.1263679960759514E-2</v>
      </c>
      <c r="AZ97" s="169">
        <f>IF(AW97&gt;Adjustments!$J$6,Adjustments!$L$6,IF(AW97&gt;Adjustments!$J$7,Adjustments!$L$7,IF(AW97&gt;Adjustments!$J$8,Adjustments!$L$8,IF(AW97&lt;Adjustments!$J$10,Adjustments!$L$10,IF(AW97&lt;Adjustments!$J$9,Adjustments!$L$9,0)))))</f>
        <v>0</v>
      </c>
      <c r="BA97" s="169">
        <f>INDEX(Adjustments!$C$4:$C$2520,MATCH(AR97,Adjustments!$B$4:$B$2520,0))</f>
        <v>0</v>
      </c>
      <c r="BB97" s="153" t="str">
        <f>INDEX(AG$6:AG$182,MATCH($AR97,$AF$6:$AF$182,0))</f>
        <v>11</v>
      </c>
      <c r="BC97" s="153">
        <f>INDEX(AH$6:AH$182,MATCH($AR97,$AF$6:$AF$182,0))</f>
        <v>91</v>
      </c>
      <c r="BD97" s="153">
        <f>INDEX(AI$6:AI$182,MATCH($AR97,$AF$6:$AF$182,0))</f>
        <v>-2</v>
      </c>
      <c r="BE97" s="153">
        <f>BC97-AO97</f>
        <v>-1</v>
      </c>
      <c r="BF97" s="153"/>
      <c r="BG97" s="153"/>
      <c r="BH97" s="195" t="str">
        <f>INDEX($AE$6:$AE$182,MATCH(AR97,$AF$6:$AF$182,0))</f>
        <v>WR</v>
      </c>
      <c r="BI97" s="195">
        <f>SUMIF($BH$6:BH97,BH97,$BK$6:BK97)</f>
        <v>38</v>
      </c>
      <c r="BJ97" s="194">
        <v>1</v>
      </c>
      <c r="BK97" s="194">
        <f t="shared" si="12"/>
        <v>1</v>
      </c>
      <c r="BL97" s="194" t="str">
        <f>IF('Real Time Draft Tool'!B97="y","y","")</f>
        <v/>
      </c>
      <c r="BM97" s="194" t="str">
        <f t="shared" si="13"/>
        <v>WR 38</v>
      </c>
    </row>
    <row r="98" spans="31:65" x14ac:dyDescent="0.25">
      <c r="AE98" s="195" t="s">
        <v>260</v>
      </c>
      <c r="AF98" s="195" t="str">
        <f>V6</f>
        <v>Calvin Johnson</v>
      </c>
      <c r="AG98" s="195" t="str">
        <f t="shared" ref="AG98:AM113" si="14">W6</f>
        <v>9</v>
      </c>
      <c r="AH98" s="195">
        <f>IF(X6="N/A",200,X6)</f>
        <v>6</v>
      </c>
      <c r="AI98" s="195">
        <f t="shared" ref="AI98:AI157" si="15">IF(Y6="N/A",0,Y6)</f>
        <v>2</v>
      </c>
      <c r="AJ98" s="195">
        <f t="shared" si="14"/>
        <v>8.544854186666667</v>
      </c>
      <c r="AK98" s="195">
        <f t="shared" si="14"/>
        <v>0.87719651225789963</v>
      </c>
      <c r="AL98" s="195">
        <f t="shared" si="14"/>
        <v>0.9360136811476264</v>
      </c>
      <c r="AM98" s="195" t="str">
        <f t="shared" si="14"/>
        <v>1</v>
      </c>
      <c r="AN98" s="153"/>
      <c r="AO98" s="153">
        <v>93</v>
      </c>
      <c r="AP98" s="153">
        <v>90</v>
      </c>
      <c r="AQ98" s="153">
        <f>AP98-AO98</f>
        <v>-3</v>
      </c>
      <c r="AR98" s="86" t="s">
        <v>131</v>
      </c>
      <c r="AS98" s="153" t="str">
        <f>BH98&amp;" "&amp;BI98</f>
        <v>RB 32</v>
      </c>
      <c r="AT98" s="153">
        <f>IF(AU98&gt;8,1,IF(AU98&gt;6.4,2,IF(AU98&gt;6,3,IF(AU98&gt;5,4,IF(AU98&gt;3.5,5,IF(AU98&gt;2.5,6,IF(AU98&gt;1.5,7,IF(AU98&gt;0.5,8,IF(AU98&gt;-0.5,9,10)))))))))</f>
        <v>8</v>
      </c>
      <c r="AU98" s="169">
        <f>SUM(AV98,AZ98,BA98)</f>
        <v>0.88084724500000011</v>
      </c>
      <c r="AV98" s="169">
        <f>INDEX(AJ$6:AJ$182,MATCH($AR98,$AF$6:$AF$182,0))</f>
        <v>1.0308472450000001</v>
      </c>
      <c r="AW98" s="169">
        <f>INDEX(AK$6:AK$182,MATCH($AR98,$AF$6:$AF$182,0))</f>
        <v>1.0515483057481168</v>
      </c>
      <c r="AX98" s="168">
        <f>SUMIFS(AV99:AV$183,AV99:AV$183,"&gt;"&amp;0,$BH99:$BH$183,"="&amp;$BH98,$BK99:$BK$183,"="&amp;1)/SUMIFS(AV$6:AV$183,AV$6:AV$183,"&gt;"&amp;0,$BH$6:$BH$183,"="&amp;$BH98)</f>
        <v>2.6769983307631681E-2</v>
      </c>
      <c r="AY98" s="168">
        <f>SUMIFS(AU99:AU$183,AU99:AU$183,"&gt;"&amp;0,BH99:BH$183,"="&amp;BH98,BK99:BK$183,"="&amp;1)/SUMIFS(AU$6:AU$183,AU$6:AU$183,"&gt;"&amp;0,BH$6:BH$183,"="&amp;BH98)</f>
        <v>1.7496927954778016E-2</v>
      </c>
      <c r="AZ98" s="169">
        <f>IF(AW98&gt;Adjustments!$J$6,Adjustments!$L$6,IF(AW98&gt;Adjustments!$J$7,Adjustments!$L$7,IF(AW98&gt;Adjustments!$J$8,Adjustments!$L$8,IF(AW98&lt;Adjustments!$J$10,Adjustments!$L$10,IF(AW98&lt;Adjustments!$J$9,Adjustments!$L$9,0)))))</f>
        <v>-0.15</v>
      </c>
      <c r="BA98" s="169">
        <f>INDEX(Adjustments!$C$4:$C$2520,MATCH(AR98,Adjustments!$B$4:$B$2520,0))</f>
        <v>0</v>
      </c>
      <c r="BB98" s="153" t="str">
        <f>INDEX(AG$6:AG$182,MATCH($AR98,$AF$6:$AF$182,0))</f>
        <v>10</v>
      </c>
      <c r="BC98" s="153">
        <f>INDEX(AH$6:AH$182,MATCH($AR98,$AF$6:$AF$182,0))</f>
        <v>93</v>
      </c>
      <c r="BD98" s="153">
        <f>INDEX(AI$6:AI$182,MATCH($AR98,$AF$6:$AF$182,0))</f>
        <v>3</v>
      </c>
      <c r="BE98" s="153">
        <f>BC98-AO98</f>
        <v>0</v>
      </c>
      <c r="BF98" s="153"/>
      <c r="BG98" s="153"/>
      <c r="BH98" s="195" t="str">
        <f>INDEX($AE$6:$AE$182,MATCH(AR98,$AF$6:$AF$182,0))</f>
        <v>RB</v>
      </c>
      <c r="BI98" s="195">
        <f>SUMIF($BH$6:BH98,BH98,$BK$6:BK98)</f>
        <v>32</v>
      </c>
      <c r="BJ98" s="194">
        <v>1</v>
      </c>
      <c r="BK98" s="194">
        <f t="shared" si="12"/>
        <v>1</v>
      </c>
      <c r="BL98" s="194" t="str">
        <f>IF('Real Time Draft Tool'!B98="y","y","")</f>
        <v/>
      </c>
      <c r="BM98" s="194" t="str">
        <f t="shared" si="13"/>
        <v>RB 32</v>
      </c>
    </row>
    <row r="99" spans="31:65" x14ac:dyDescent="0.25">
      <c r="AE99" s="195" t="s">
        <v>260</v>
      </c>
      <c r="AF99" s="195" t="str">
        <f t="shared" ref="AF99:AG157" si="16">V7</f>
        <v>Demaryius Thomas</v>
      </c>
      <c r="AG99" s="195" t="str">
        <f t="shared" si="14"/>
        <v>4</v>
      </c>
      <c r="AH99" s="195">
        <f t="shared" ref="AH99:AH157" si="17">IF(X7="N/A",200,X7)</f>
        <v>10</v>
      </c>
      <c r="AI99" s="195">
        <f t="shared" si="15"/>
        <v>4</v>
      </c>
      <c r="AJ99" s="195">
        <f t="shared" si="14"/>
        <v>7.7523021233333331</v>
      </c>
      <c r="AK99" s="195">
        <f t="shared" si="14"/>
        <v>0.71296522980838184</v>
      </c>
      <c r="AL99" s="195">
        <f t="shared" si="14"/>
        <v>0.87796221945298936</v>
      </c>
      <c r="AM99" s="195" t="str">
        <f t="shared" si="14"/>
        <v>1</v>
      </c>
      <c r="AN99" s="153"/>
      <c r="AO99" s="153">
        <v>94</v>
      </c>
      <c r="AP99" s="153">
        <v>92</v>
      </c>
      <c r="AQ99" s="153">
        <f>AP99-AO99</f>
        <v>-2</v>
      </c>
      <c r="AR99" s="86" t="s">
        <v>150</v>
      </c>
      <c r="AS99" s="153" t="str">
        <f>BH99&amp;" "&amp;BI99</f>
        <v>RB 33</v>
      </c>
      <c r="AT99" s="153">
        <f>IF(AU99&gt;8,1,IF(AU99&gt;6.4,2,IF(AU99&gt;6,3,IF(AU99&gt;5,4,IF(AU99&gt;3.5,5,IF(AU99&gt;2.5,6,IF(AU99&gt;1.5,7,IF(AU99&gt;0.5,8,IF(AU99&gt;-0.5,9,10)))))))))</f>
        <v>8</v>
      </c>
      <c r="AU99" s="169">
        <f>SUM(AV99,AZ99,BA99)</f>
        <v>0.85104196666666676</v>
      </c>
      <c r="AV99" s="169">
        <f>INDEX(AJ$6:AJ$182,MATCH($AR99,$AF$6:$AF$182,0))</f>
        <v>1.0010419666666668</v>
      </c>
      <c r="AW99" s="169">
        <f>INDEX(AK$6:AK$182,MATCH($AR99,$AF$6:$AF$182,0))</f>
        <v>1.0282647332970356</v>
      </c>
      <c r="AX99" s="168">
        <f>SUMIFS(AV100:AV$183,AV100:AV$183,"&gt;"&amp;0,$BH100:$BH$183,"="&amp;$BH99,$BK100:$BK$183,"="&amp;1)/SUMIFS(AV$6:AV$183,AV$6:AV$183,"&gt;"&amp;0,$BH$6:$BH$183,"="&amp;$BH99)</f>
        <v>2.020290852341242E-2</v>
      </c>
      <c r="AY99" s="168">
        <f>SUMIFS(AU100:AU$183,AU100:AU$183,"&gt;"&amp;0,BH100:BH$183,"="&amp;BH99,BK100:BK$183,"="&amp;1)/SUMIFS(AU$6:AU$183,AU$6:AU$183,"&gt;"&amp;0,BH$6:BH$183,"="&amp;BH99)</f>
        <v>1.1612798963457549E-2</v>
      </c>
      <c r="AZ99" s="169">
        <f>IF(AW99&gt;Adjustments!$J$6,Adjustments!$L$6,IF(AW99&gt;Adjustments!$J$7,Adjustments!$L$7,IF(AW99&gt;Adjustments!$J$8,Adjustments!$L$8,IF(AW99&lt;Adjustments!$J$10,Adjustments!$L$10,IF(AW99&lt;Adjustments!$J$9,Adjustments!$L$9,0)))))</f>
        <v>-0.15</v>
      </c>
      <c r="BA99" s="169">
        <f>INDEX(Adjustments!$C$4:$C$2520,MATCH(AR99,Adjustments!$B$4:$B$2520,0))</f>
        <v>0</v>
      </c>
      <c r="BB99" s="153" t="str">
        <f>INDEX(AG$6:AG$182,MATCH($AR99,$AF$6:$AF$182,0))</f>
        <v>10</v>
      </c>
      <c r="BC99" s="153">
        <f>INDEX(AH$6:AH$182,MATCH($AR99,$AF$6:$AF$182,0))</f>
        <v>76</v>
      </c>
      <c r="BD99" s="153">
        <f>INDEX(AI$6:AI$182,MATCH($AR99,$AF$6:$AF$182,0))</f>
        <v>-16</v>
      </c>
      <c r="BE99" s="153">
        <f>BC99-AO99</f>
        <v>-18</v>
      </c>
      <c r="BF99" s="153"/>
      <c r="BG99" s="153"/>
      <c r="BH99" s="195" t="str">
        <f>INDEX($AE$6:$AE$182,MATCH(AR99,$AF$6:$AF$182,0))</f>
        <v>RB</v>
      </c>
      <c r="BI99" s="195">
        <f>SUMIF($BH$6:BH99,BH99,$BK$6:BK99)</f>
        <v>33</v>
      </c>
      <c r="BJ99" s="194">
        <v>1</v>
      </c>
      <c r="BK99" s="194">
        <f t="shared" si="12"/>
        <v>1</v>
      </c>
      <c r="BL99" s="194" t="str">
        <f>IF('Real Time Draft Tool'!B99="y","y","")</f>
        <v/>
      </c>
      <c r="BM99" s="194" t="str">
        <f t="shared" si="13"/>
        <v>RB 33</v>
      </c>
    </row>
    <row r="100" spans="31:65" x14ac:dyDescent="0.25">
      <c r="AE100" s="195" t="s">
        <v>260</v>
      </c>
      <c r="AF100" s="195" t="str">
        <f t="shared" si="16"/>
        <v>Dez Bryant</v>
      </c>
      <c r="AG100" s="195" t="str">
        <f t="shared" si="14"/>
        <v>11</v>
      </c>
      <c r="AH100" s="195">
        <f t="shared" si="17"/>
        <v>12</v>
      </c>
      <c r="AI100" s="195">
        <f t="shared" si="15"/>
        <v>3</v>
      </c>
      <c r="AJ100" s="195">
        <f t="shared" si="14"/>
        <v>7.0164688000000011</v>
      </c>
      <c r="AK100" s="195">
        <f t="shared" si="14"/>
        <v>0.52771277517451254</v>
      </c>
      <c r="AL100" s="195">
        <f t="shared" si="14"/>
        <v>0.82542088872377894</v>
      </c>
      <c r="AM100" s="195" t="str">
        <f t="shared" si="14"/>
        <v>2</v>
      </c>
      <c r="AN100" s="153"/>
      <c r="AO100" s="153">
        <v>95</v>
      </c>
      <c r="AP100" s="153">
        <v>97</v>
      </c>
      <c r="AQ100" s="153">
        <f>AP100-AO100</f>
        <v>2</v>
      </c>
      <c r="AR100" s="86" t="s">
        <v>72</v>
      </c>
      <c r="AS100" s="153" t="str">
        <f>BH100&amp;" "&amp;BI100</f>
        <v>QB 14</v>
      </c>
      <c r="AT100" s="153">
        <f>IF(AU100&gt;8,1,IF(AU100&gt;6.4,2,IF(AU100&gt;6,3,IF(AU100&gt;5,4,IF(AU100&gt;3.5,5,IF(AU100&gt;2.5,6,IF(AU100&gt;1.5,7,IF(AU100&gt;0.5,8,IF(AU100&gt;-0.5,9,10)))))))))</f>
        <v>8</v>
      </c>
      <c r="AU100" s="169">
        <f>SUM(AV100,AZ100,BA100)</f>
        <v>0.84331058666666747</v>
      </c>
      <c r="AV100" s="169">
        <f>INDEX(AJ$6:AJ$182,MATCH($AR100,$AF$6:$AF$182,0))</f>
        <v>0.54331058666666743</v>
      </c>
      <c r="AW100" s="169">
        <f>INDEX(AK$6:AK$182,MATCH($AR100,$AF$6:$AF$182,0))</f>
        <v>0.51785885729106784</v>
      </c>
      <c r="AX100" s="168">
        <f>SUMIFS(AV101:AV$183,AV101:AV$183,"&gt;"&amp;0,$BH101:$BH$183,"="&amp;$BH100,$BK101:$BK$183,"="&amp;1)/SUMIFS(AV$6:AV$183,AV$6:AV$183,"&gt;"&amp;0,$BH$6:$BH$183,"="&amp;$BH100)</f>
        <v>1.5524073815987464E-2</v>
      </c>
      <c r="AY100" s="168">
        <f>SUMIFS(AU101:AU$183,AU101:AU$183,"&gt;"&amp;0,BH101:BH$183,"="&amp;BH100,BK101:BK$183,"="&amp;1)/SUMIFS(AU$6:AU$183,AU$6:AU$183,"&gt;"&amp;0,BH$6:BH$183,"="&amp;BH100)</f>
        <v>3.165333981698918E-2</v>
      </c>
      <c r="AZ100" s="169">
        <f>IF(AW100&gt;Adjustments!$J$6,Adjustments!$L$6,IF(AW100&gt;Adjustments!$J$7,Adjustments!$L$7,IF(AW100&gt;Adjustments!$J$8,Adjustments!$L$8,IF(AW100&lt;Adjustments!$J$10,Adjustments!$L$10,IF(AW100&lt;Adjustments!$J$9,Adjustments!$L$9,0)))))</f>
        <v>0.3</v>
      </c>
      <c r="BA100" s="169">
        <f>INDEX(Adjustments!$C$4:$C$2520,MATCH(AR100,Adjustments!$B$4:$B$2520,0))</f>
        <v>0</v>
      </c>
      <c r="BB100" s="153" t="str">
        <f>INDEX(AG$6:AG$182,MATCH($AR100,$AF$6:$AF$182,0))</f>
        <v>9</v>
      </c>
      <c r="BC100" s="153">
        <f>INDEX(AH$6:AH$182,MATCH($AR100,$AF$6:$AF$182,0))</f>
        <v>106</v>
      </c>
      <c r="BD100" s="153">
        <f>INDEX(AI$6:AI$182,MATCH($AR100,$AF$6:$AF$182,0))</f>
        <v>9</v>
      </c>
      <c r="BE100" s="153">
        <f>BC100-AO100</f>
        <v>11</v>
      </c>
      <c r="BF100" s="153"/>
      <c r="BG100" s="153"/>
      <c r="BH100" s="195" t="str">
        <f>INDEX($AE$6:$AE$182,MATCH(AR100,$AF$6:$AF$182,0))</f>
        <v>QB</v>
      </c>
      <c r="BI100" s="195">
        <f>SUMIF($BH$6:BH100,BH100,$BK$6:BK100)</f>
        <v>14</v>
      </c>
      <c r="BJ100" s="194">
        <v>1</v>
      </c>
      <c r="BK100" s="194">
        <f t="shared" si="12"/>
        <v>1</v>
      </c>
      <c r="BL100" s="194" t="str">
        <f>IF('Real Time Draft Tool'!B100="y","y","")</f>
        <v/>
      </c>
      <c r="BM100" s="194" t="str">
        <f t="shared" si="13"/>
        <v>QB 14</v>
      </c>
    </row>
    <row r="101" spans="31:65" x14ac:dyDescent="0.25">
      <c r="AE101" s="195" t="s">
        <v>260</v>
      </c>
      <c r="AF101" s="195" t="str">
        <f t="shared" si="16"/>
        <v>A.J. Green</v>
      </c>
      <c r="AG101" s="195" t="str">
        <f t="shared" si="14"/>
        <v>4</v>
      </c>
      <c r="AH101" s="195">
        <f t="shared" si="17"/>
        <v>13</v>
      </c>
      <c r="AI101" s="195">
        <f t="shared" si="15"/>
        <v>2</v>
      </c>
      <c r="AJ101" s="195">
        <f t="shared" si="14"/>
        <v>6.6903409390909099</v>
      </c>
      <c r="AK101" s="195">
        <f t="shared" si="14"/>
        <v>0.40140732543028035</v>
      </c>
      <c r="AL101" s="195">
        <f t="shared" si="14"/>
        <v>0.77532169695199327</v>
      </c>
      <c r="AM101" s="195" t="str">
        <f t="shared" si="14"/>
        <v>2</v>
      </c>
      <c r="AN101" s="153"/>
      <c r="AO101" s="153">
        <v>96</v>
      </c>
      <c r="AP101" s="153">
        <v>100</v>
      </c>
      <c r="AQ101" s="153">
        <f>AP101-AO101</f>
        <v>4</v>
      </c>
      <c r="AR101" s="86" t="s">
        <v>76</v>
      </c>
      <c r="AS101" s="153" t="str">
        <f>BH101&amp;" "&amp;BI101</f>
        <v>QB 15</v>
      </c>
      <c r="AT101" s="153">
        <f>IF(AU101&gt;8,1,IF(AU101&gt;6.4,2,IF(AU101&gt;6,3,IF(AU101&gt;5,4,IF(AU101&gt;3.5,5,IF(AU101&gt;2.5,6,IF(AU101&gt;1.5,7,IF(AU101&gt;0.5,8,IF(AU101&gt;-0.5,9,10)))))))))</f>
        <v>8</v>
      </c>
      <c r="AU101" s="169">
        <f>SUM(AV101,AZ101,BA101)</f>
        <v>0.7153876500000006</v>
      </c>
      <c r="AV101" s="169">
        <f>INDEX(AJ$6:AJ$182,MATCH($AR101,$AF$6:$AF$182,0))</f>
        <v>0.41538765000000061</v>
      </c>
      <c r="AW101" s="169">
        <f>INDEX(AK$6:AK$182,MATCH($AR101,$AF$6:$AF$182,0))</f>
        <v>0.58917752345768115</v>
      </c>
      <c r="AX101" s="168">
        <f>SUMIFS(AV102:AV$183,AV102:AV$183,"&gt;"&amp;0,$BH102:$BH$183,"="&amp;$BH101,$BK102:$BK$183,"="&amp;1)/SUMIFS(AV$6:AV$183,AV$6:AV$183,"&gt;"&amp;0,$BH$6:$BH$183,"="&amp;$BH101)</f>
        <v>4.6438112506091995E-3</v>
      </c>
      <c r="AY101" s="168">
        <f>SUMIFS(AU102:AU$183,AU102:AU$183,"&gt;"&amp;0,BH102:BH$183,"="&amp;BH101,BK102:BK$183,"="&amp;1)/SUMIFS(AU$6:AU$183,AU$6:AU$183,"&gt;"&amp;0,BH$6:BH$183,"="&amp;BH101)</f>
        <v>1.3535495086715426E-2</v>
      </c>
      <c r="AZ101" s="169">
        <f>IF(AW101&gt;Adjustments!$J$6,Adjustments!$L$6,IF(AW101&gt;Adjustments!$J$7,Adjustments!$L$7,IF(AW101&gt;Adjustments!$J$8,Adjustments!$L$8,IF(AW101&lt;Adjustments!$J$10,Adjustments!$L$10,IF(AW101&lt;Adjustments!$J$9,Adjustments!$L$9,0)))))</f>
        <v>0.3</v>
      </c>
      <c r="BA101" s="169">
        <f>INDEX(Adjustments!$C$4:$C$2520,MATCH(AR101,Adjustments!$B$4:$B$2520,0))</f>
        <v>0</v>
      </c>
      <c r="BB101" s="153" t="str">
        <f>INDEX(AG$6:AG$182,MATCH($AR101,$AF$6:$AF$182,0))</f>
        <v>10</v>
      </c>
      <c r="BC101" s="153">
        <f>INDEX(AH$6:AH$182,MATCH($AR101,$AF$6:$AF$182,0))</f>
        <v>111</v>
      </c>
      <c r="BD101" s="153">
        <f>INDEX(AI$6:AI$182,MATCH($AR101,$AF$6:$AF$182,0))</f>
        <v>11</v>
      </c>
      <c r="BE101" s="153">
        <f>BC101-AO101</f>
        <v>15</v>
      </c>
      <c r="BF101" s="153"/>
      <c r="BG101" s="153"/>
      <c r="BH101" s="195" t="str">
        <f>INDEX($AE$6:$AE$182,MATCH(AR101,$AF$6:$AF$182,0))</f>
        <v>QB</v>
      </c>
      <c r="BI101" s="195">
        <f>SUMIF($BH$6:BH101,BH101,$BK$6:BK101)</f>
        <v>15</v>
      </c>
      <c r="BJ101" s="194">
        <v>1</v>
      </c>
      <c r="BK101" s="194">
        <f t="shared" si="12"/>
        <v>1</v>
      </c>
      <c r="BL101" s="194" t="str">
        <f>IF('Real Time Draft Tool'!B101="y","y","")</f>
        <v/>
      </c>
      <c r="BM101" s="194" t="str">
        <f t="shared" si="13"/>
        <v>QB 15</v>
      </c>
    </row>
    <row r="102" spans="31:65" x14ac:dyDescent="0.25">
      <c r="AE102" s="195" t="s">
        <v>260</v>
      </c>
      <c r="AF102" s="195" t="str">
        <f t="shared" si="16"/>
        <v>Julio Jones</v>
      </c>
      <c r="AG102" s="195" t="str">
        <f t="shared" si="14"/>
        <v>9</v>
      </c>
      <c r="AH102" s="195">
        <f t="shared" si="17"/>
        <v>17</v>
      </c>
      <c r="AI102" s="195">
        <f t="shared" si="15"/>
        <v>3</v>
      </c>
      <c r="AJ102" s="195">
        <f t="shared" si="14"/>
        <v>6.5022292366666665</v>
      </c>
      <c r="AK102" s="195">
        <f t="shared" si="14"/>
        <v>0.79965260538513017</v>
      </c>
      <c r="AL102" s="195">
        <f t="shared" si="14"/>
        <v>0.72663113955924263</v>
      </c>
      <c r="AM102" s="195" t="str">
        <f t="shared" si="14"/>
        <v>2</v>
      </c>
      <c r="AN102" s="153"/>
      <c r="AO102" s="153">
        <v>97</v>
      </c>
      <c r="AP102" s="153">
        <v>87</v>
      </c>
      <c r="AQ102" s="153">
        <f>AP102-AO102</f>
        <v>-10</v>
      </c>
      <c r="AR102" s="86" t="s">
        <v>141</v>
      </c>
      <c r="AS102" s="153" t="str">
        <f>BH102&amp;" "&amp;BI102</f>
        <v>RB 34</v>
      </c>
      <c r="AT102" s="153">
        <f>IF(AU102&gt;8,1,IF(AU102&gt;6.4,2,IF(AU102&gt;6,3,IF(AU102&gt;5,4,IF(AU102&gt;3.5,5,IF(AU102&gt;2.5,6,IF(AU102&gt;1.5,7,IF(AU102&gt;0.5,8,IF(AU102&gt;-0.5,9,10)))))))))</f>
        <v>8</v>
      </c>
      <c r="AU102" s="169">
        <f>SUM(AV102,AZ102,BA102)</f>
        <v>0.69491700666666656</v>
      </c>
      <c r="AV102" s="169">
        <f>INDEX(AJ$6:AJ$182,MATCH($AR102,$AF$6:$AF$182,0))</f>
        <v>1.1949170066666666</v>
      </c>
      <c r="AW102" s="169">
        <f>INDEX(AK$6:AK$182,MATCH($AR102,$AF$6:$AF$182,0))</f>
        <v>1.7246192344363667</v>
      </c>
      <c r="AX102" s="168">
        <f>SUMIFS(AV103:AV$183,AV103:AV$183,"&gt;"&amp;0,$BH103:$BH$183,"="&amp;$BH102,$BK103:$BK$183,"="&amp;1)/SUMIFS(AV$6:AV$183,AV$6:AV$183,"&gt;"&amp;0,$BH$6:$BH$183,"="&amp;$BH102)</f>
        <v>1.2363967095366968E-2</v>
      </c>
      <c r="AY102" s="168">
        <f>SUMIFS(AU103:AU$183,AU103:AU$183,"&gt;"&amp;0,BH103:BH$183,"="&amp;BH102,BK103:BK$183,"="&amp;1)/SUMIFS(AU$6:AU$183,AU$6:AU$183,"&gt;"&amp;0,BH$6:BH$183,"="&amp;BH102)</f>
        <v>6.8081225013735926E-3</v>
      </c>
      <c r="AZ102" s="169">
        <f>IF(AW102&gt;Adjustments!$J$6,Adjustments!$L$6,IF(AW102&gt;Adjustments!$J$7,Adjustments!$L$7,IF(AW102&gt;Adjustments!$J$8,Adjustments!$L$8,IF(AW102&lt;Adjustments!$J$10,Adjustments!$L$10,IF(AW102&lt;Adjustments!$J$9,Adjustments!$L$9,0)))))</f>
        <v>-0.5</v>
      </c>
      <c r="BA102" s="169">
        <f>INDEX(Adjustments!$C$4:$C$2520,MATCH(AR102,Adjustments!$B$4:$B$2520,0))</f>
        <v>0</v>
      </c>
      <c r="BB102" s="153" t="str">
        <f>INDEX(AG$6:AG$182,MATCH($AR102,$AF$6:$AF$182,0))</f>
        <v>9</v>
      </c>
      <c r="BC102" s="153">
        <f>INDEX(AH$6:AH$182,MATCH($AR102,$AF$6:$AF$182,0))</f>
        <v>79</v>
      </c>
      <c r="BD102" s="153">
        <f>INDEX(AI$6:AI$182,MATCH($AR102,$AF$6:$AF$182,0))</f>
        <v>-8</v>
      </c>
      <c r="BE102" s="153">
        <f>BC102-AO102</f>
        <v>-18</v>
      </c>
      <c r="BF102" s="153"/>
      <c r="BG102" s="153"/>
      <c r="BH102" s="195" t="str">
        <f>INDEX($AE$6:$AE$182,MATCH(AR102,$AF$6:$AF$182,0))</f>
        <v>RB</v>
      </c>
      <c r="BI102" s="195">
        <f>SUMIF($BH$6:BH102,BH102,$BK$6:BK102)</f>
        <v>34</v>
      </c>
      <c r="BJ102" s="194">
        <v>1</v>
      </c>
      <c r="BK102" s="194">
        <f t="shared" si="12"/>
        <v>1</v>
      </c>
      <c r="BL102" s="194" t="str">
        <f>IF('Real Time Draft Tool'!B102="y","y","")</f>
        <v/>
      </c>
      <c r="BM102" s="194" t="str">
        <f t="shared" si="13"/>
        <v>RB 34</v>
      </c>
    </row>
    <row r="103" spans="31:65" x14ac:dyDescent="0.25">
      <c r="AE103" s="195" t="s">
        <v>260</v>
      </c>
      <c r="AF103" s="195" t="str">
        <f t="shared" si="16"/>
        <v>Brandon Marshall</v>
      </c>
      <c r="AG103" s="195" t="str">
        <f t="shared" si="14"/>
        <v>9</v>
      </c>
      <c r="AH103" s="195">
        <f t="shared" si="17"/>
        <v>15</v>
      </c>
      <c r="AI103" s="195">
        <f t="shared" si="15"/>
        <v>0</v>
      </c>
      <c r="AJ103" s="195">
        <f t="shared" si="14"/>
        <v>6.4974375599999998</v>
      </c>
      <c r="AK103" s="195">
        <f t="shared" si="14"/>
        <v>0.67476167957194266</v>
      </c>
      <c r="AL103" s="195">
        <f t="shared" si="14"/>
        <v>0.67797646361564634</v>
      </c>
      <c r="AM103" s="195" t="str">
        <f t="shared" si="14"/>
        <v>2-</v>
      </c>
      <c r="AN103" s="153"/>
      <c r="AO103" s="153">
        <v>98</v>
      </c>
      <c r="AP103" s="153">
        <v>101</v>
      </c>
      <c r="AQ103" s="153">
        <f>AP103-AO103</f>
        <v>3</v>
      </c>
      <c r="AR103" s="86" t="s">
        <v>168</v>
      </c>
      <c r="AS103" s="153" t="str">
        <f>BH103&amp;" "&amp;BI103</f>
        <v>WR 39</v>
      </c>
      <c r="AT103" s="153">
        <f>IF(AU103&gt;8,1,IF(AU103&gt;6.4,2,IF(AU103&gt;6,3,IF(AU103&gt;5,4,IF(AU103&gt;3.5,5,IF(AU103&gt;2.5,6,IF(AU103&gt;1.5,7,IF(AU103&gt;0.5,8,IF(AU103&gt;-0.5,9,10)))))))))</f>
        <v>8</v>
      </c>
      <c r="AU103" s="169">
        <f>SUM(AV103,AZ103,BA103)</f>
        <v>0.61501603499999957</v>
      </c>
      <c r="AV103" s="169">
        <f>INDEX(AJ$6:AJ$182,MATCH($AR103,$AF$6:$AF$182,0))</f>
        <v>0.41501603499999962</v>
      </c>
      <c r="AW103" s="169">
        <f>INDEX(AK$6:AK$182,MATCH($AR103,$AF$6:$AF$182,0))</f>
        <v>0.74266408699458841</v>
      </c>
      <c r="AX103" s="168">
        <f>SUMIFS(AV104:AV$183,AV104:AV$183,"&gt;"&amp;0,$BH104:$BH$183,"="&amp;$BH103,$BK104:$BK$183,"="&amp;1)/SUMIFS(AV$6:AV$183,AV$6:AV$183,"&gt;"&amp;0,$BH$6:$BH$183,"="&amp;$BH103)</f>
        <v>8.7077593776843099E-3</v>
      </c>
      <c r="AY103" s="168">
        <f>SUMIFS(AU104:AU$183,AU104:AU$183,"&gt;"&amp;0,BH104:BH$183,"="&amp;BH103,BK104:BK$183,"="&amp;1)/SUMIFS(AU$6:AU$183,AU$6:AU$183,"&gt;"&amp;0,BH$6:BH$183,"="&amp;BH103)</f>
        <v>1.6719513934598543E-2</v>
      </c>
      <c r="AZ103" s="169">
        <f>IF(AW103&gt;Adjustments!$J$6,Adjustments!$L$6,IF(AW103&gt;Adjustments!$J$7,Adjustments!$L$7,IF(AW103&gt;Adjustments!$J$8,Adjustments!$L$8,IF(AW103&lt;Adjustments!$J$10,Adjustments!$L$10,IF(AW103&lt;Adjustments!$J$9,Adjustments!$L$9,0)))))</f>
        <v>0.2</v>
      </c>
      <c r="BA103" s="169">
        <f>INDEX(Adjustments!$C$4:$C$2520,MATCH(AR103,Adjustments!$B$4:$B$2520,0))</f>
        <v>0</v>
      </c>
      <c r="BB103" s="153" t="str">
        <f>INDEX(AG$6:AG$182,MATCH($AR103,$AF$6:$AF$182,0))</f>
        <v>8</v>
      </c>
      <c r="BC103" s="153">
        <f>INDEX(AH$6:AH$182,MATCH($AR103,$AF$6:$AF$182,0))</f>
        <v>116</v>
      </c>
      <c r="BD103" s="153">
        <f>INDEX(AI$6:AI$182,MATCH($AR103,$AF$6:$AF$182,0))</f>
        <v>15</v>
      </c>
      <c r="BE103" s="153">
        <f>BC103-AO103</f>
        <v>18</v>
      </c>
      <c r="BF103" s="153"/>
      <c r="BG103" s="153"/>
      <c r="BH103" s="195" t="str">
        <f>INDEX($AE$6:$AE$182,MATCH(AR103,$AF$6:$AF$182,0))</f>
        <v>WR</v>
      </c>
      <c r="BI103" s="195">
        <f>SUMIF($BH$6:BH103,BH103,$BK$6:BK103)</f>
        <v>39</v>
      </c>
      <c r="BJ103" s="194">
        <v>1</v>
      </c>
      <c r="BK103" s="194">
        <f t="shared" si="12"/>
        <v>1</v>
      </c>
      <c r="BL103" s="194" t="str">
        <f>IF('Real Time Draft Tool'!B103="y","y","")</f>
        <v/>
      </c>
      <c r="BM103" s="194" t="str">
        <f t="shared" si="13"/>
        <v>WR 39</v>
      </c>
    </row>
    <row r="104" spans="31:65" x14ac:dyDescent="0.25">
      <c r="AE104" s="195" t="s">
        <v>260</v>
      </c>
      <c r="AF104" s="195" t="str">
        <f t="shared" si="16"/>
        <v>Antonio Brown</v>
      </c>
      <c r="AG104" s="195" t="str">
        <f t="shared" si="14"/>
        <v>12</v>
      </c>
      <c r="AH104" s="195">
        <f t="shared" si="17"/>
        <v>23</v>
      </c>
      <c r="AI104" s="195">
        <f t="shared" si="15"/>
        <v>5</v>
      </c>
      <c r="AJ104" s="195">
        <f t="shared" si="14"/>
        <v>5.9340844550000007</v>
      </c>
      <c r="AK104" s="195">
        <f t="shared" si="14"/>
        <v>0.97080920334189669</v>
      </c>
      <c r="AL104" s="195">
        <f t="shared" si="14"/>
        <v>0.63354033729449444</v>
      </c>
      <c r="AM104" s="195" t="str">
        <f t="shared" si="14"/>
        <v>3</v>
      </c>
      <c r="AN104" s="153"/>
      <c r="AO104" s="153">
        <v>99</v>
      </c>
      <c r="AP104" s="153">
        <v>105</v>
      </c>
      <c r="AQ104" s="153">
        <f>AP104-AO104</f>
        <v>6</v>
      </c>
      <c r="AR104" s="86" t="s">
        <v>187</v>
      </c>
      <c r="AS104" s="153" t="str">
        <f>BH104&amp;" "&amp;BI104</f>
        <v>TE 11</v>
      </c>
      <c r="AT104" s="153">
        <f>IF(AU104&gt;8,1,IF(AU104&gt;6.4,2,IF(AU104&gt;6,3,IF(AU104&gt;5,4,IF(AU104&gt;3.5,5,IF(AU104&gt;2.5,6,IF(AU104&gt;1.5,7,IF(AU104&gt;0.5,8,IF(AU104&gt;-0.5,9,10)))))))))</f>
        <v>8</v>
      </c>
      <c r="AU104" s="169">
        <f>SUM(AV104,AZ104,BA104)</f>
        <v>0.59423970333333309</v>
      </c>
      <c r="AV104" s="169">
        <f>INDEX(AJ$6:AJ$182,MATCH($AR104,$AF$6:$AF$182,0))</f>
        <v>0.2942397033333331</v>
      </c>
      <c r="AW104" s="169">
        <f>INDEX(AK$6:AK$182,MATCH($AR104,$AF$6:$AF$182,0))</f>
        <v>0.49766989007162327</v>
      </c>
      <c r="AX104" s="168">
        <f>SUMIFS(AV105:AV$183,AV105:AV$183,"&gt;"&amp;0,$BH105:$BH$183,"="&amp;$BH104,$BK105:$BK$183,"="&amp;1)/SUMIFS(AV$6:AV$183,AV$6:AV$183,"&gt;"&amp;0,$BH$6:$BH$183,"="&amp;$BH104)</f>
        <v>1.8850015378486556E-2</v>
      </c>
      <c r="AY104" s="168">
        <f>SUMIFS(AU105:AU$183,AU105:AU$183,"&gt;"&amp;0,BH105:BH$183,"="&amp;BH104,BK105:BK$183,"="&amp;1)/SUMIFS(AU$6:AU$183,AU$6:AU$183,"&gt;"&amp;0,BH$6:BH$183,"="&amp;BH104)</f>
        <v>3.0175034589250697E-2</v>
      </c>
      <c r="AZ104" s="169">
        <f>IF(AW104&gt;Adjustments!$J$6,Adjustments!$L$6,IF(AW104&gt;Adjustments!$J$7,Adjustments!$L$7,IF(AW104&gt;Adjustments!$J$8,Adjustments!$L$8,IF(AW104&lt;Adjustments!$J$10,Adjustments!$L$10,IF(AW104&lt;Adjustments!$J$9,Adjustments!$L$9,0)))))</f>
        <v>0.3</v>
      </c>
      <c r="BA104" s="169">
        <f>INDEX(Adjustments!$C$4:$C$2520,MATCH(AR104,Adjustments!$B$4:$B$2520,0))</f>
        <v>0</v>
      </c>
      <c r="BB104" s="153" t="str">
        <f>INDEX(AG$6:AG$182,MATCH($AR104,$AF$6:$AF$182,0))</f>
        <v>7</v>
      </c>
      <c r="BC104" s="153">
        <f>INDEX(AH$6:AH$182,MATCH($AR104,$AF$6:$AF$182,0))</f>
        <v>119</v>
      </c>
      <c r="BD104" s="153">
        <f>INDEX(AI$6:AI$182,MATCH($AR104,$AF$6:$AF$182,0))</f>
        <v>14</v>
      </c>
      <c r="BE104" s="153">
        <f>BC104-AO104</f>
        <v>20</v>
      </c>
      <c r="BF104" s="153"/>
      <c r="BG104" s="153"/>
      <c r="BH104" s="195" t="str">
        <f>INDEX($AE$6:$AE$182,MATCH(AR104,$AF$6:$AF$182,0))</f>
        <v>TE</v>
      </c>
      <c r="BI104" s="195">
        <f>SUMIF($BH$6:BH104,BH104,$BK$6:BK104)</f>
        <v>11</v>
      </c>
      <c r="BJ104" s="194">
        <v>1</v>
      </c>
      <c r="BK104" s="194">
        <f t="shared" si="12"/>
        <v>1</v>
      </c>
      <c r="BL104" s="194" t="str">
        <f>IF('Real Time Draft Tool'!B104="y","y","")</f>
        <v/>
      </c>
      <c r="BM104" s="194" t="str">
        <f t="shared" si="13"/>
        <v>TE 11</v>
      </c>
    </row>
    <row r="105" spans="31:65" x14ac:dyDescent="0.25">
      <c r="AE105" s="195" t="s">
        <v>260</v>
      </c>
      <c r="AF105" s="195" t="str">
        <f t="shared" si="16"/>
        <v>Jordy Nelson</v>
      </c>
      <c r="AG105" s="195" t="str">
        <f t="shared" si="14"/>
        <v>9</v>
      </c>
      <c r="AH105" s="195">
        <f t="shared" si="17"/>
        <v>23</v>
      </c>
      <c r="AI105" s="195">
        <f t="shared" si="15"/>
        <v>2</v>
      </c>
      <c r="AJ105" s="195">
        <f t="shared" si="14"/>
        <v>5.4371146833333333</v>
      </c>
      <c r="AK105" s="195">
        <f t="shared" si="14"/>
        <v>0.49915589959203871</v>
      </c>
      <c r="AL105" s="195">
        <f t="shared" si="14"/>
        <v>0.59282566315674834</v>
      </c>
      <c r="AM105" s="195" t="str">
        <f t="shared" si="14"/>
        <v>3-</v>
      </c>
      <c r="AN105" s="153"/>
      <c r="AO105" s="153">
        <v>100</v>
      </c>
      <c r="AP105" s="153">
        <v>103</v>
      </c>
      <c r="AQ105" s="153">
        <f>AP105-AO105</f>
        <v>3</v>
      </c>
      <c r="AR105" s="86" t="s">
        <v>161</v>
      </c>
      <c r="AS105" s="153" t="str">
        <f>BH105&amp;" "&amp;BI105</f>
        <v>WR 40</v>
      </c>
      <c r="AT105" s="153">
        <f>IF(AU105&gt;8,1,IF(AU105&gt;6.4,2,IF(AU105&gt;6,3,IF(AU105&gt;5,4,IF(AU105&gt;3.5,5,IF(AU105&gt;2.5,6,IF(AU105&gt;1.5,7,IF(AU105&gt;0.5,8,IF(AU105&gt;-0.5,9,10)))))))))</f>
        <v>8</v>
      </c>
      <c r="AU105" s="169">
        <f>SUM(AV105,AZ105,BA105)</f>
        <v>0.57707339666666657</v>
      </c>
      <c r="AV105" s="169">
        <f>INDEX(AJ$6:AJ$182,MATCH($AR105,$AF$6:$AF$182,0))</f>
        <v>0.37707339666666662</v>
      </c>
      <c r="AW105" s="169">
        <f>INDEX(AK$6:AK$182,MATCH($AR105,$AF$6:$AF$182,0))</f>
        <v>0.71546750541312698</v>
      </c>
      <c r="AX105" s="168">
        <f>SUMIFS(AV106:AV$183,AV106:AV$183,"&gt;"&amp;0,$BH106:$BH$183,"="&amp;$BH105,$BK106:$BK$183,"="&amp;1)/SUMIFS(AV$6:AV$183,AV$6:AV$183,"&gt;"&amp;0,$BH$6:$BH$183,"="&amp;$BH105)</f>
        <v>5.8841256370981551E-3</v>
      </c>
      <c r="AY105" s="168">
        <f>SUMIFS(AU106:AU$183,AU106:AU$183,"&gt;"&amp;0,BH106:BH$183,"="&amp;BH105,BK106:BK$183,"="&amp;1)/SUMIFS(AU$6:AU$183,AU$6:AU$183,"&gt;"&amp;0,BH$6:BH$183,"="&amp;BH105)</f>
        <v>1.2455694498193141E-2</v>
      </c>
      <c r="AZ105" s="169">
        <f>IF(AW105&gt;Adjustments!$J$6,Adjustments!$L$6,IF(AW105&gt;Adjustments!$J$7,Adjustments!$L$7,IF(AW105&gt;Adjustments!$J$8,Adjustments!$L$8,IF(AW105&lt;Adjustments!$J$10,Adjustments!$L$10,IF(AW105&lt;Adjustments!$J$9,Adjustments!$L$9,0)))))</f>
        <v>0.2</v>
      </c>
      <c r="BA105" s="169">
        <f>INDEX(Adjustments!$C$4:$C$2520,MATCH(AR105,Adjustments!$B$4:$B$2520,0))</f>
        <v>0</v>
      </c>
      <c r="BB105" s="153" t="str">
        <f>INDEX(AG$6:AG$182,MATCH($AR105,$AF$6:$AF$182,0))</f>
        <v>8</v>
      </c>
      <c r="BC105" s="153">
        <f>INDEX(AH$6:AH$182,MATCH($AR105,$AF$6:$AF$182,0))</f>
        <v>118</v>
      </c>
      <c r="BD105" s="153">
        <f>INDEX(AI$6:AI$182,MATCH($AR105,$AF$6:$AF$182,0))</f>
        <v>15</v>
      </c>
      <c r="BE105" s="153">
        <f>BC105-AO105</f>
        <v>18</v>
      </c>
      <c r="BF105" s="153"/>
      <c r="BG105" s="153"/>
      <c r="BH105" s="195" t="str">
        <f>INDEX($AE$6:$AE$182,MATCH(AR105,$AF$6:$AF$182,0))</f>
        <v>WR</v>
      </c>
      <c r="BI105" s="195">
        <f>SUMIF($BH$6:BH105,BH105,$BK$6:BK105)</f>
        <v>40</v>
      </c>
      <c r="BJ105" s="194">
        <v>1</v>
      </c>
      <c r="BK105" s="194">
        <f t="shared" si="12"/>
        <v>1</v>
      </c>
      <c r="BL105" s="194" t="str">
        <f>IF('Real Time Draft Tool'!B105="y","y","")</f>
        <v/>
      </c>
      <c r="BM105" s="194" t="str">
        <f t="shared" si="13"/>
        <v>WR 40</v>
      </c>
    </row>
    <row r="106" spans="31:65" x14ac:dyDescent="0.25">
      <c r="AE106" s="195" t="s">
        <v>260</v>
      </c>
      <c r="AF106" s="195" t="str">
        <f t="shared" si="16"/>
        <v>Alshon Jeffery</v>
      </c>
      <c r="AG106" s="195" t="str">
        <f t="shared" si="14"/>
        <v>9</v>
      </c>
      <c r="AH106" s="195">
        <f t="shared" si="17"/>
        <v>24</v>
      </c>
      <c r="AI106" s="195">
        <f t="shared" si="15"/>
        <v>2</v>
      </c>
      <c r="AJ106" s="195">
        <f t="shared" si="14"/>
        <v>5.3406313400000007</v>
      </c>
      <c r="AK106" s="195">
        <f t="shared" si="14"/>
        <v>0.66924630089691151</v>
      </c>
      <c r="AL106" s="195">
        <f t="shared" si="14"/>
        <v>0.55283348396573906</v>
      </c>
      <c r="AM106" s="195" t="str">
        <f t="shared" si="14"/>
        <v>3</v>
      </c>
      <c r="AN106" s="153"/>
      <c r="AO106" s="153">
        <v>101</v>
      </c>
      <c r="AP106" s="153">
        <v>94</v>
      </c>
      <c r="AQ106" s="153">
        <f>AP106-AO106</f>
        <v>-7</v>
      </c>
      <c r="AR106" s="86" t="s">
        <v>143</v>
      </c>
      <c r="AS106" s="153" t="str">
        <f>BH106&amp;" "&amp;BI106</f>
        <v>RB 35</v>
      </c>
      <c r="AT106" s="153">
        <f>IF(AU106&gt;8,1,IF(AU106&gt;6.4,2,IF(AU106&gt;6,3,IF(AU106&gt;5,4,IF(AU106&gt;3.5,5,IF(AU106&gt;2.5,6,IF(AU106&gt;1.5,7,IF(AU106&gt;0.5,8,IF(AU106&gt;-0.5,9,10)))))))))</f>
        <v>8</v>
      </c>
      <c r="AU106" s="169">
        <f>SUM(AV106,AZ106,BA106)</f>
        <v>0.56701076666666661</v>
      </c>
      <c r="AV106" s="169">
        <f>INDEX(AJ$6:AJ$182,MATCH($AR106,$AF$6:$AF$182,0))</f>
        <v>0.86701076666666665</v>
      </c>
      <c r="AW106" s="169">
        <f>INDEX(AK$6:AK$182,MATCH($AR106,$AF$6:$AF$182,0))</f>
        <v>1.4781760225273619</v>
      </c>
      <c r="AX106" s="168">
        <f>SUMIFS(AV107:AV$183,AV107:AV$183,"&gt;"&amp;0,$BH107:$BH$183,"="&amp;$BH106,$BK107:$BK$183,"="&amp;1)/SUMIFS(AV$6:AV$183,AV$6:AV$183,"&gt;"&amp;0,$BH$6:$BH$183,"="&amp;$BH106)</f>
        <v>6.6761690479158666E-3</v>
      </c>
      <c r="AY106" s="176">
        <f>SUMIFS(AU107:AU$183,AU107:AU$183,"&gt;"&amp;0,BH107:BH$183,"="&amp;BH106,BK107:BK$183,"="&amp;1)/SUMIFS(AU$6:AU$183,AU$6:AU$183,"&gt;"&amp;0,BH$6:BH$183,"="&amp;BH106)</f>
        <v>2.8877935150112151E-3</v>
      </c>
      <c r="AZ106" s="169">
        <f>IF(AW106&gt;Adjustments!$J$6,Adjustments!$L$6,IF(AW106&gt;Adjustments!$J$7,Adjustments!$L$7,IF(AW106&gt;Adjustments!$J$8,Adjustments!$L$8,IF(AW106&lt;Adjustments!$J$10,Adjustments!$L$10,IF(AW106&lt;Adjustments!$J$9,Adjustments!$L$9,0)))))</f>
        <v>-0.3</v>
      </c>
      <c r="BA106" s="169">
        <f>INDEX(Adjustments!$C$4:$C$2520,MATCH(AR106,Adjustments!$B$4:$B$2520,0))</f>
        <v>0</v>
      </c>
      <c r="BB106" s="153" t="str">
        <f>INDEX(AG$6:AG$182,MATCH($AR106,$AF$6:$AF$182,0))</f>
        <v>5</v>
      </c>
      <c r="BC106" s="153">
        <f>INDEX(AH$6:AH$182,MATCH($AR106,$AF$6:$AF$182,0))</f>
        <v>95</v>
      </c>
      <c r="BD106" s="153">
        <f>INDEX(AI$6:AI$182,MATCH($AR106,$AF$6:$AF$182,0))</f>
        <v>1</v>
      </c>
      <c r="BE106" s="153">
        <f>BC106-AO106</f>
        <v>-6</v>
      </c>
      <c r="BF106" s="153"/>
      <c r="BG106" s="153"/>
      <c r="BH106" s="195" t="str">
        <f>INDEX($AE$6:$AE$182,MATCH(AR106,$AF$6:$AF$182,0))</f>
        <v>RB</v>
      </c>
      <c r="BI106" s="195">
        <f>SUMIF($BH$6:BH106,BH106,$BK$6:BK106)</f>
        <v>35</v>
      </c>
      <c r="BJ106" s="194">
        <v>1</v>
      </c>
      <c r="BK106" s="194">
        <f t="shared" si="12"/>
        <v>1</v>
      </c>
      <c r="BL106" s="194" t="str">
        <f>IF('Real Time Draft Tool'!B106="y","y","")</f>
        <v/>
      </c>
      <c r="BM106" s="194" t="str">
        <f t="shared" si="13"/>
        <v>RB 35</v>
      </c>
    </row>
    <row r="107" spans="31:65" x14ac:dyDescent="0.25">
      <c r="AE107" s="195" t="s">
        <v>260</v>
      </c>
      <c r="AF107" s="195" t="str">
        <f t="shared" si="16"/>
        <v>Randall Cobb</v>
      </c>
      <c r="AG107" s="195" t="str">
        <f t="shared" si="14"/>
        <v>9</v>
      </c>
      <c r="AH107" s="195">
        <f t="shared" si="17"/>
        <v>27</v>
      </c>
      <c r="AI107" s="195">
        <f t="shared" si="15"/>
        <v>1</v>
      </c>
      <c r="AJ107" s="195">
        <f t="shared" si="14"/>
        <v>4.7457032349999997</v>
      </c>
      <c r="AK107" s="195">
        <f t="shared" si="14"/>
        <v>0.95640204269767548</v>
      </c>
      <c r="AL107" s="195">
        <f t="shared" si="14"/>
        <v>0.51729629705302616</v>
      </c>
      <c r="AM107" s="195" t="str">
        <f t="shared" si="14"/>
        <v>4</v>
      </c>
      <c r="AN107" s="153"/>
      <c r="AO107" s="153">
        <v>102</v>
      </c>
      <c r="AP107" s="153">
        <v>104</v>
      </c>
      <c r="AQ107" s="153">
        <f>AP107-AO107</f>
        <v>2</v>
      </c>
      <c r="AR107" s="153" t="s">
        <v>158</v>
      </c>
      <c r="AS107" s="153" t="str">
        <f>BH107&amp;" "&amp;BI107</f>
        <v>WR 41</v>
      </c>
      <c r="AT107" s="153">
        <f>IF(AU107&gt;8,1,IF(AU107&gt;6.4,2,IF(AU107&gt;6,3,IF(AU107&gt;5,4,IF(AU107&gt;3.5,5,IF(AU107&gt;2.5,6,IF(AU107&gt;1.5,7,IF(AU107&gt;0.5,8,IF(AU107&gt;-0.5,9,10)))))))))</f>
        <v>8</v>
      </c>
      <c r="AU107" s="169">
        <f>SUM(AV107,AZ107,BA107)</f>
        <v>0.51845367499999995</v>
      </c>
      <c r="AV107" s="169">
        <f>INDEX(AJ$6:AJ$182,MATCH($AR107,$AF$6:$AF$182,0))</f>
        <v>0.31845367499999999</v>
      </c>
      <c r="AW107" s="169">
        <f>INDEX(AK$6:AK$182,MATCH($AR107,$AF$6:$AF$182,0))</f>
        <v>0.75251108471383155</v>
      </c>
      <c r="AX107" s="168">
        <f>SUMIFS(AV108:AV$183,AV108:AV$183,"&gt;"&amp;0,$BH108:$BH$183,"="&amp;$BH107,$BK108:$BK$183,"="&amp;1)/SUMIFS(AV$6:AV$183,AV$6:AV$183,"&gt;"&amp;0,$BH$6:$BH$183,"="&amp;$BH107)</f>
        <v>3.499453184751831E-3</v>
      </c>
      <c r="AY107" s="168">
        <f>SUMIFS(AU108:AU$183,AU108:AU$183,"&gt;"&amp;0,BH108:BH$183,"="&amp;BH107,BK108:BK$183,"="&amp;1)/SUMIFS(AU$6:AU$183,AU$6:AU$183,"&gt;"&amp;0,BH$6:BH$183,"="&amp;BH107)</f>
        <v>8.6249983179328919E-3</v>
      </c>
      <c r="AZ107" s="169">
        <f>IF(AW107&gt;Adjustments!$J$6,Adjustments!$L$6,IF(AW107&gt;Adjustments!$J$7,Adjustments!$L$7,IF(AW107&gt;Adjustments!$J$8,Adjustments!$L$8,IF(AW107&lt;Adjustments!$J$10,Adjustments!$L$10,IF(AW107&lt;Adjustments!$J$9,Adjustments!$L$9,0)))))</f>
        <v>0.2</v>
      </c>
      <c r="BA107" s="169">
        <f>INDEX(Adjustments!$C$4:$C$2520,MATCH(AR107,Adjustments!$B$4:$B$2520,0))</f>
        <v>0</v>
      </c>
      <c r="BB107" s="153" t="str">
        <f>INDEX(AG$6:AG$182,MATCH($AR107,$AF$6:$AF$182,0))</f>
        <v>5</v>
      </c>
      <c r="BC107" s="153">
        <f>INDEX(AH$6:AH$182,MATCH($AR107,$AF$6:$AF$182,0))</f>
        <v>159</v>
      </c>
      <c r="BD107" s="153">
        <f>INDEX(AI$6:AI$182,MATCH($AR107,$AF$6:$AF$182,0))</f>
        <v>55</v>
      </c>
      <c r="BE107" s="153">
        <f>BC107-AO107</f>
        <v>57</v>
      </c>
      <c r="BF107" s="153"/>
      <c r="BG107" s="153"/>
      <c r="BH107" s="195" t="str">
        <f>INDEX($AE$6:$AE$182,MATCH(AR107,$AF$6:$AF$182,0))</f>
        <v>WR</v>
      </c>
      <c r="BI107" s="195">
        <f>SUMIF($BH$6:BH107,BH107,$BK$6:BK107)</f>
        <v>41</v>
      </c>
      <c r="BJ107" s="194">
        <v>1</v>
      </c>
      <c r="BK107" s="194">
        <f t="shared" si="12"/>
        <v>1</v>
      </c>
      <c r="BL107" s="194" t="str">
        <f>IF('Real Time Draft Tool'!B107="y","y","")</f>
        <v/>
      </c>
      <c r="BM107" s="194" t="str">
        <f t="shared" si="13"/>
        <v>WR 41</v>
      </c>
    </row>
    <row r="108" spans="31:65" x14ac:dyDescent="0.25">
      <c r="AE108" s="195" t="s">
        <v>260</v>
      </c>
      <c r="AF108" s="195" t="str">
        <f t="shared" si="16"/>
        <v>Andre Johnson</v>
      </c>
      <c r="AG108" s="195" t="str">
        <f t="shared" si="14"/>
        <v>10</v>
      </c>
      <c r="AH108" s="195">
        <f t="shared" si="17"/>
        <v>38</v>
      </c>
      <c r="AI108" s="195">
        <f t="shared" si="15"/>
        <v>9</v>
      </c>
      <c r="AJ108" s="195">
        <f t="shared" si="14"/>
        <v>4.3628251200000001</v>
      </c>
      <c r="AK108" s="195">
        <f t="shared" si="14"/>
        <v>1.1807147610856152</v>
      </c>
      <c r="AL108" s="195">
        <f t="shared" si="14"/>
        <v>0.48462621127659877</v>
      </c>
      <c r="AM108" s="195" t="str">
        <f t="shared" si="14"/>
        <v>4</v>
      </c>
      <c r="AN108" s="153"/>
      <c r="AO108" s="153">
        <v>103</v>
      </c>
      <c r="AP108" s="153">
        <v>107</v>
      </c>
      <c r="AQ108" s="153">
        <f>AP108-AO108</f>
        <v>4</v>
      </c>
      <c r="AR108" s="86" t="s">
        <v>79</v>
      </c>
      <c r="AS108" s="153" t="str">
        <f>BH108&amp;" "&amp;BI108</f>
        <v>QB 16</v>
      </c>
      <c r="AT108" s="153">
        <f>IF(AU108&gt;8,1,IF(AU108&gt;6.4,2,IF(AU108&gt;6,3,IF(AU108&gt;5,4,IF(AU108&gt;3.5,5,IF(AU108&gt;2.5,6,IF(AU108&gt;1.5,7,IF(AU108&gt;0.5,8,IF(AU108&gt;-0.5,9,10)))))))))</f>
        <v>9</v>
      </c>
      <c r="AU108" s="169">
        <f>SUM(AV108,AZ108,BA108)</f>
        <v>0.47729184666666691</v>
      </c>
      <c r="AV108" s="169">
        <f>INDEX(AJ$6:AJ$182,MATCH($AR108,$AF$6:$AF$182,0))</f>
        <v>0.17729184666666692</v>
      </c>
      <c r="AW108" s="169">
        <f>INDEX(AK$6:AK$182,MATCH($AR108,$AF$6:$AF$182,0))</f>
        <v>0.3425940619565358</v>
      </c>
      <c r="AX108" s="168">
        <f>SUMIFS(AV109:AV$183,AV109:AV$183,"&gt;"&amp;0,$BH109:$BH$183,"="&amp;$BH108,$BK109:$BK$183,"="&amp;1)/SUMIFS(AV$6:AV$183,AV$6:AV$183,"&gt;"&amp;0,$BH$6:$BH$183,"="&amp;$BH108)</f>
        <v>0</v>
      </c>
      <c r="AY108" s="168">
        <f>SUMIFS(AU109:AU$183,AU109:AU$183,"&gt;"&amp;0,BH109:BH$183,"="&amp;BH108,BK109:BK$183,"="&amp;1)/SUMIFS(AU$6:AU$183,AU$6:AU$183,"&gt;"&amp;0,BH$6:BH$183,"="&amp;BH108)</f>
        <v>1.4476437393622897E-3</v>
      </c>
      <c r="AZ108" s="169">
        <f>IF(AW108&gt;Adjustments!$J$6,Adjustments!$L$6,IF(AW108&gt;Adjustments!$J$7,Adjustments!$L$7,IF(AW108&gt;Adjustments!$J$8,Adjustments!$L$8,IF(AW108&lt;Adjustments!$J$10,Adjustments!$L$10,IF(AW108&lt;Adjustments!$J$9,Adjustments!$L$9,0)))))</f>
        <v>0.3</v>
      </c>
      <c r="BA108" s="169">
        <f>INDEX(Adjustments!$C$4:$C$2520,MATCH(AR108,Adjustments!$B$4:$B$2520,0))</f>
        <v>0</v>
      </c>
      <c r="BB108" s="153" t="str">
        <f>INDEX(AG$6:AG$182,MATCH($AR108,$AF$6:$AF$182,0))</f>
        <v>12</v>
      </c>
      <c r="BC108" s="153">
        <f>INDEX(AH$6:AH$182,MATCH($AR108,$AF$6:$AF$182,0))</f>
        <v>129</v>
      </c>
      <c r="BD108" s="153">
        <f>INDEX(AI$6:AI$182,MATCH($AR108,$AF$6:$AF$182,0))</f>
        <v>22</v>
      </c>
      <c r="BE108" s="153">
        <f>BC108-AO108</f>
        <v>26</v>
      </c>
      <c r="BF108" s="153"/>
      <c r="BG108" s="153"/>
      <c r="BH108" s="195" t="str">
        <f>INDEX($AE$6:$AE$182,MATCH(AR108,$AF$6:$AF$182,0))</f>
        <v>QB</v>
      </c>
      <c r="BI108" s="195">
        <f>SUMIF($BH$6:BH108,BH108,$BK$6:BK108)</f>
        <v>16</v>
      </c>
      <c r="BJ108" s="194">
        <v>1</v>
      </c>
      <c r="BK108" s="194">
        <f t="shared" si="12"/>
        <v>1</v>
      </c>
      <c r="BL108" s="194" t="str">
        <f>IF('Real Time Draft Tool'!B108="y","y","")</f>
        <v/>
      </c>
      <c r="BM108" s="194" t="str">
        <f t="shared" si="13"/>
        <v>QB 16</v>
      </c>
    </row>
    <row r="109" spans="31:65" x14ac:dyDescent="0.25">
      <c r="AE109" s="195" t="s">
        <v>260</v>
      </c>
      <c r="AF109" s="195" t="str">
        <f t="shared" si="16"/>
        <v>Vincent Jackson</v>
      </c>
      <c r="AG109" s="195" t="str">
        <f t="shared" si="14"/>
        <v>7</v>
      </c>
      <c r="AH109" s="195">
        <f t="shared" si="17"/>
        <v>37</v>
      </c>
      <c r="AI109" s="195">
        <f t="shared" si="15"/>
        <v>5</v>
      </c>
      <c r="AJ109" s="195">
        <f t="shared" si="14"/>
        <v>4.1941334633333334</v>
      </c>
      <c r="AK109" s="195">
        <f t="shared" si="14"/>
        <v>0.74437947138824323</v>
      </c>
      <c r="AL109" s="195">
        <f t="shared" si="14"/>
        <v>0.45321933700681727</v>
      </c>
      <c r="AM109" s="195" t="str">
        <f t="shared" si="14"/>
        <v>4</v>
      </c>
      <c r="AN109" s="153"/>
      <c r="AO109" s="153">
        <v>104</v>
      </c>
      <c r="AP109" s="153">
        <v>108</v>
      </c>
      <c r="AQ109" s="153">
        <f>AP109-AO109</f>
        <v>4</v>
      </c>
      <c r="AR109" s="153" t="s">
        <v>189</v>
      </c>
      <c r="AS109" s="153" t="str">
        <f>BH109&amp;" "&amp;BI109</f>
        <v>WR 42</v>
      </c>
      <c r="AT109" s="153">
        <f>IF(AU109&gt;8,1,IF(AU109&gt;6.4,2,IF(AU109&gt;6,3,IF(AU109&gt;5,4,IF(AU109&gt;3.5,5,IF(AU109&gt;2.5,6,IF(AU109&gt;1.5,7,IF(AU109&gt;0.5,8,IF(AU109&gt;-0.5,9,10)))))))))</f>
        <v>9</v>
      </c>
      <c r="AU109" s="169">
        <f>SUM(AV109,AZ109,BA109)</f>
        <v>0.43329201666666672</v>
      </c>
      <c r="AV109" s="169">
        <f>INDEX(AJ$6:AJ$182,MATCH($AR109,$AF$6:$AF$182,0))</f>
        <v>0.13329201666666673</v>
      </c>
      <c r="AW109" s="169">
        <f>INDEX(AK$6:AK$182,MATCH($AR109,$AF$6:$AF$182,0))</f>
        <v>0.57026884442711967</v>
      </c>
      <c r="AX109" s="168">
        <f>SUMIFS(AV110:AV$183,AV110:AV$183,"&gt;"&amp;0,$BH110:$BH$183,"="&amp;$BH109,$BK110:$BK$183,"="&amp;1)/SUMIFS(AV$6:AV$183,AV$6:AV$183,"&gt;"&amp;0,$BH$6:$BH$183,"="&amp;$BH109)</f>
        <v>2.5013243352019323E-3</v>
      </c>
      <c r="AY109" s="168">
        <f>SUMIFS(AU110:AU$183,AU110:AU$183,"&gt;"&amp;0,BH110:BH$183,"="&amp;BH109,BK110:BK$183,"="&amp;1)/SUMIFS(AU$6:AU$183,AU$6:AU$183,"&gt;"&amp;0,BH$6:BH$183,"="&amp;BH109)</f>
        <v>5.4235356738841986E-3</v>
      </c>
      <c r="AZ109" s="169">
        <f>IF(AW109&gt;Adjustments!$J$6,Adjustments!$L$6,IF(AW109&gt;Adjustments!$J$7,Adjustments!$L$7,IF(AW109&gt;Adjustments!$J$8,Adjustments!$L$8,IF(AW109&lt;Adjustments!$J$10,Adjustments!$L$10,IF(AW109&lt;Adjustments!$J$9,Adjustments!$L$9,0)))))</f>
        <v>0.3</v>
      </c>
      <c r="BA109" s="169">
        <f>INDEX(Adjustments!$C$4:$C$2520,MATCH(AR109,Adjustments!$B$4:$B$2520,0))</f>
        <v>0</v>
      </c>
      <c r="BB109" s="153" t="str">
        <f>INDEX(AG$6:AG$182,MATCH($AR109,$AF$6:$AF$182,0))</f>
        <v>7</v>
      </c>
      <c r="BC109" s="153">
        <f>INDEX(AH$6:AH$182,MATCH($AR109,$AF$6:$AF$182,0))</f>
        <v>108</v>
      </c>
      <c r="BD109" s="153">
        <f>INDEX(AI$6:AI$182,MATCH($AR109,$AF$6:$AF$182,0))</f>
        <v>0</v>
      </c>
      <c r="BE109" s="153">
        <f>BC109-AO109</f>
        <v>4</v>
      </c>
      <c r="BF109" s="153"/>
      <c r="BG109" s="153"/>
      <c r="BH109" s="195" t="str">
        <f>INDEX($AE$6:$AE$182,MATCH(AR109,$AF$6:$AF$182,0))</f>
        <v>WR</v>
      </c>
      <c r="BI109" s="195">
        <f>SUMIF($BH$6:BH109,BH109,$BK$6:BK109)</f>
        <v>42</v>
      </c>
      <c r="BJ109" s="194">
        <v>1</v>
      </c>
      <c r="BK109" s="194">
        <f t="shared" si="12"/>
        <v>1</v>
      </c>
      <c r="BL109" s="194" t="str">
        <f>IF('Real Time Draft Tool'!B109="y","y","")</f>
        <v/>
      </c>
      <c r="BM109" s="194" t="str">
        <f t="shared" si="13"/>
        <v>WR 42</v>
      </c>
    </row>
    <row r="110" spans="31:65" x14ac:dyDescent="0.25">
      <c r="AE110" s="195" t="s">
        <v>260</v>
      </c>
      <c r="AF110" s="195" t="str">
        <f t="shared" si="16"/>
        <v>Pierre Garcon</v>
      </c>
      <c r="AG110" s="195" t="str">
        <f t="shared" si="14"/>
        <v>10</v>
      </c>
      <c r="AH110" s="195">
        <f t="shared" si="17"/>
        <v>35</v>
      </c>
      <c r="AI110" s="195">
        <f t="shared" si="15"/>
        <v>2</v>
      </c>
      <c r="AJ110" s="195">
        <f t="shared" si="14"/>
        <v>4.0516605566666675</v>
      </c>
      <c r="AK110" s="195">
        <f t="shared" si="14"/>
        <v>0.61661957730861672</v>
      </c>
      <c r="AL110" s="195">
        <f t="shared" si="14"/>
        <v>0.42287934072402616</v>
      </c>
      <c r="AM110" s="195" t="str">
        <f t="shared" si="14"/>
        <v>4</v>
      </c>
      <c r="AN110" s="153"/>
      <c r="AO110" s="153">
        <v>105</v>
      </c>
      <c r="AP110" s="153">
        <v>112</v>
      </c>
      <c r="AQ110" s="153">
        <f>AP110-AO110</f>
        <v>7</v>
      </c>
      <c r="AR110" s="86" t="s">
        <v>184</v>
      </c>
      <c r="AS110" s="153" t="str">
        <f>BH110&amp;" "&amp;BI110</f>
        <v>TE 12</v>
      </c>
      <c r="AT110" s="153">
        <f>IF(AU110&gt;8,1,IF(AU110&gt;6.4,2,IF(AU110&gt;6,3,IF(AU110&gt;5,4,IF(AU110&gt;3.5,5,IF(AU110&gt;2.5,6,IF(AU110&gt;1.5,7,IF(AU110&gt;0.5,8,IF(AU110&gt;-0.5,9,10)))))))))</f>
        <v>9</v>
      </c>
      <c r="AU110" s="169">
        <f>SUM(AV110,AZ110,BA110)</f>
        <v>0.321377253333333</v>
      </c>
      <c r="AV110" s="169">
        <f>INDEX(AJ$6:AJ$182,MATCH($AR110,$AF$6:$AF$182,0))</f>
        <v>2.137725333333303E-2</v>
      </c>
      <c r="AW110" s="169">
        <f>INDEX(AK$6:AK$182,MATCH($AR110,$AF$6:$AF$182,0))</f>
        <v>0.44731186439592241</v>
      </c>
      <c r="AX110" s="168">
        <f>SUMIFS(AV111:AV$183,AV111:AV$183,"&gt;"&amp;0,$BH111:$BH$183,"="&amp;$BH110,$BK111:$BK$183,"="&amp;1)/SUMIFS(AV$6:AV$183,AV$6:AV$183,"&gt;"&amp;0,$BH$6:$BH$183,"="&amp;$BH110)</f>
        <v>1.8113327743409496E-2</v>
      </c>
      <c r="AY110" s="168">
        <f>SUMIFS(AU111:AU$183,AU111:AU$183,"&gt;"&amp;0,BH111:BH$183,"="&amp;BH110,BK111:BK$183,"="&amp;1)/SUMIFS(AU$6:AU$183,AU$6:AU$183,"&gt;"&amp;0,BH$6:BH$183,"="&amp;BH110)</f>
        <v>1.9398130839242744E-2</v>
      </c>
      <c r="AZ110" s="169">
        <f>IF(AW110&gt;Adjustments!$J$6,Adjustments!$L$6,IF(AW110&gt;Adjustments!$J$7,Adjustments!$L$7,IF(AW110&gt;Adjustments!$J$8,Adjustments!$L$8,IF(AW110&lt;Adjustments!$J$10,Adjustments!$L$10,IF(AW110&lt;Adjustments!$J$9,Adjustments!$L$9,0)))))</f>
        <v>0.3</v>
      </c>
      <c r="BA110" s="169">
        <f>INDEX(Adjustments!$C$4:$C$2520,MATCH(AR110,Adjustments!$B$4:$B$2520,0))</f>
        <v>0</v>
      </c>
      <c r="BB110" s="153" t="str">
        <f>INDEX(AG$6:AG$182,MATCH($AR110,$AF$6:$AF$182,0))</f>
        <v>12</v>
      </c>
      <c r="BC110" s="153">
        <f>INDEX(AH$6:AH$182,MATCH($AR110,$AF$6:$AF$182,0))</f>
        <v>156</v>
      </c>
      <c r="BD110" s="153">
        <f>INDEX(AI$6:AI$182,MATCH($AR110,$AF$6:$AF$182,0))</f>
        <v>44</v>
      </c>
      <c r="BE110" s="153">
        <f>BC110-AO110</f>
        <v>51</v>
      </c>
      <c r="BF110" s="153"/>
      <c r="BG110" s="153"/>
      <c r="BH110" s="195" t="str">
        <f>INDEX($AE$6:$AE$182,MATCH(AR110,$AF$6:$AF$182,0))</f>
        <v>TE</v>
      </c>
      <c r="BI110" s="195">
        <f>SUMIF($BH$6:BH110,BH110,$BK$6:BK110)</f>
        <v>12</v>
      </c>
      <c r="BJ110" s="194">
        <v>1</v>
      </c>
      <c r="BK110" s="194">
        <f t="shared" si="12"/>
        <v>1</v>
      </c>
      <c r="BL110" s="194" t="str">
        <f>IF('Real Time Draft Tool'!B110="y","y","")</f>
        <v/>
      </c>
      <c r="BM110" s="194" t="str">
        <f t="shared" si="13"/>
        <v>TE 12</v>
      </c>
    </row>
    <row r="111" spans="31:65" x14ac:dyDescent="0.25">
      <c r="AE111" s="195" t="s">
        <v>260</v>
      </c>
      <c r="AF111" s="195" t="str">
        <f t="shared" si="16"/>
        <v>Larry Fitzgerald</v>
      </c>
      <c r="AG111" s="195" t="str">
        <f t="shared" si="14"/>
        <v>4</v>
      </c>
      <c r="AH111" s="195">
        <f t="shared" si="17"/>
        <v>40</v>
      </c>
      <c r="AI111" s="195">
        <f t="shared" si="15"/>
        <v>2</v>
      </c>
      <c r="AJ111" s="195">
        <f t="shared" si="14"/>
        <v>3.6642032750000002</v>
      </c>
      <c r="AK111" s="195">
        <f t="shared" si="14"/>
        <v>1.0685520514202678</v>
      </c>
      <c r="AL111" s="195">
        <f t="shared" si="14"/>
        <v>0.39544073569084609</v>
      </c>
      <c r="AM111" s="195" t="str">
        <f t="shared" si="14"/>
        <v>5</v>
      </c>
      <c r="AN111" s="153"/>
      <c r="AO111" s="153">
        <v>106</v>
      </c>
      <c r="AP111" s="153">
        <v>110</v>
      </c>
      <c r="AQ111" s="153">
        <f>AP111-AO111</f>
        <v>4</v>
      </c>
      <c r="AR111" s="86" t="s">
        <v>174</v>
      </c>
      <c r="AS111" s="153" t="str">
        <f>BH111&amp;" "&amp;BI111</f>
        <v>WR 43</v>
      </c>
      <c r="AT111" s="153">
        <f>IF(AU111&gt;8,1,IF(AU111&gt;6.4,2,IF(AU111&gt;6,3,IF(AU111&gt;5,4,IF(AU111&gt;3.5,5,IF(AU111&gt;2.5,6,IF(AU111&gt;1.5,7,IF(AU111&gt;0.5,8,IF(AU111&gt;-0.5,9,10)))))))))</f>
        <v>9</v>
      </c>
      <c r="AU111" s="169">
        <f>SUM(AV111,AZ111,BA111)</f>
        <v>0.29805146166666691</v>
      </c>
      <c r="AV111" s="169">
        <f>INDEX(AJ$6:AJ$182,MATCH($AR111,$AF$6:$AF$182,0))</f>
        <v>9.8051461666666895E-2</v>
      </c>
      <c r="AW111" s="169">
        <f>INDEX(AK$6:AK$182,MATCH($AR111,$AF$6:$AF$182,0))</f>
        <v>0.62781937862104309</v>
      </c>
      <c r="AX111" s="168">
        <f>SUMIFS(AV112:AV$183,AV112:AV$183,"&gt;"&amp;0,$BH112:$BH$183,"="&amp;$BH111,$BK112:$BK$183,"="&amp;1)/SUMIFS(AV$6:AV$183,AV$6:AV$183,"&gt;"&amp;0,$BH$6:$BH$183,"="&amp;$BH111)</f>
        <v>1.7670868686417113E-3</v>
      </c>
      <c r="AY111" s="168">
        <f>SUMIFS(AU112:AU$183,AU112:AU$183,"&gt;"&amp;0,BH112:BH$183,"="&amp;BH111,BK112:BK$183,"="&amp;1)/SUMIFS(AU$6:AU$183,AU$6:AU$183,"&gt;"&amp;0,BH$6:BH$183,"="&amp;BH111)</f>
        <v>3.2213242695046554E-3</v>
      </c>
      <c r="AZ111" s="169">
        <f>IF(AW111&gt;Adjustments!$J$6,Adjustments!$L$6,IF(AW111&gt;Adjustments!$J$7,Adjustments!$L$7,IF(AW111&gt;Adjustments!$J$8,Adjustments!$L$8,IF(AW111&lt;Adjustments!$J$10,Adjustments!$L$10,IF(AW111&lt;Adjustments!$J$9,Adjustments!$L$9,0)))))</f>
        <v>0.2</v>
      </c>
      <c r="BA111" s="169">
        <f>INDEX(Adjustments!$C$4:$C$2520,MATCH(AR111,Adjustments!$B$4:$B$2520,0))</f>
        <v>0</v>
      </c>
      <c r="BB111" s="153" t="str">
        <f>INDEX(AG$6:AG$182,MATCH($AR111,$AF$6:$AF$182,0))</f>
        <v>4</v>
      </c>
      <c r="BC111" s="153">
        <f>INDEX(AH$6:AH$182,MATCH($AR111,$AF$6:$AF$182,0))</f>
        <v>132</v>
      </c>
      <c r="BD111" s="153">
        <f>INDEX(AI$6:AI$182,MATCH($AR111,$AF$6:$AF$182,0))</f>
        <v>22</v>
      </c>
      <c r="BE111" s="153">
        <f>BC111-AO111</f>
        <v>26</v>
      </c>
      <c r="BF111" s="153"/>
      <c r="BG111" s="153"/>
      <c r="BH111" s="195" t="str">
        <f>INDEX($AE$6:$AE$182,MATCH(AR111,$AF$6:$AF$182,0))</f>
        <v>WR</v>
      </c>
      <c r="BI111" s="195">
        <f>SUMIF($BH$6:BH111,BH111,$BK$6:BK111)</f>
        <v>43</v>
      </c>
      <c r="BJ111" s="194">
        <v>1</v>
      </c>
      <c r="BK111" s="194">
        <f t="shared" si="12"/>
        <v>1</v>
      </c>
      <c r="BL111" s="194" t="str">
        <f>IF('Real Time Draft Tool'!B111="y","y","")</f>
        <v/>
      </c>
      <c r="BM111" s="194" t="str">
        <f t="shared" si="13"/>
        <v>WR 43</v>
      </c>
    </row>
    <row r="112" spans="31:65" x14ac:dyDescent="0.25">
      <c r="AE112" s="195" t="s">
        <v>260</v>
      </c>
      <c r="AF112" s="195" t="str">
        <f t="shared" si="16"/>
        <v>Keenan Allen</v>
      </c>
      <c r="AG112" s="195" t="str">
        <f t="shared" si="14"/>
        <v>10</v>
      </c>
      <c r="AH112" s="195">
        <f t="shared" si="17"/>
        <v>36</v>
      </c>
      <c r="AI112" s="195">
        <f t="shared" si="15"/>
        <v>-3</v>
      </c>
      <c r="AJ112" s="195">
        <f t="shared" si="14"/>
        <v>3.6199793266666664</v>
      </c>
      <c r="AK112" s="195">
        <f t="shared" si="14"/>
        <v>0.60607127598325594</v>
      </c>
      <c r="AL112" s="195">
        <f t="shared" si="14"/>
        <v>0.36833329226641337</v>
      </c>
      <c r="AM112" s="195" t="str">
        <f t="shared" si="14"/>
        <v>5</v>
      </c>
      <c r="AN112" s="153"/>
      <c r="AO112" s="153">
        <v>107</v>
      </c>
      <c r="AP112" s="153">
        <v>102</v>
      </c>
      <c r="AQ112" s="153">
        <f>AP112-AO112</f>
        <v>-5</v>
      </c>
      <c r="AR112" s="86" t="s">
        <v>179</v>
      </c>
      <c r="AS112" s="153" t="str">
        <f>BH112&amp;" "&amp;BI112</f>
        <v>TE 13</v>
      </c>
      <c r="AT112" s="153">
        <f>IF(AU112&gt;8,1,IF(AU112&gt;6.4,2,IF(AU112&gt;6,3,IF(AU112&gt;5,4,IF(AU112&gt;3.5,5,IF(AU112&gt;2.5,6,IF(AU112&gt;1.5,7,IF(AU112&gt;0.5,8,IF(AU112&gt;-0.5,9,10)))))))))</f>
        <v>9</v>
      </c>
      <c r="AU112" s="169">
        <f>SUM(AV112,AZ112,BA112)</f>
        <v>0.26110012999999954</v>
      </c>
      <c r="AV112" s="169">
        <f>INDEX(AJ$6:AJ$182,MATCH($AR112,$AF$6:$AF$182,0))</f>
        <v>0.41110012999999956</v>
      </c>
      <c r="AW112" s="169">
        <f>INDEX(AK$6:AK$182,MATCH($AR112,$AF$6:$AF$182,0))</f>
        <v>1.0069502208514223</v>
      </c>
      <c r="AX112" s="168">
        <f>SUMIFS(AV113:AV$183,AV113:AV$183,"&gt;"&amp;0,$BH113:$BH$183,"="&amp;$BH112,$BK113:$BK$183,"="&amp;1)/SUMIFS(AV$6:AV$183,AV$6:AV$183,"&gt;"&amp;0,$BH$6:$BH$183,"="&amp;$BH112)</f>
        <v>3.9462887030225534E-3</v>
      </c>
      <c r="AY112" s="168">
        <f>SUMIFS(AU113:AU$183,AU113:AU$183,"&gt;"&amp;0,BH113:BH$183,"="&amp;BH112,BK113:BK$183,"="&amp;1)/SUMIFS(AU$6:AU$183,AU$6:AU$183,"&gt;"&amp;0,BH$6:BH$183,"="&amp;BH112)</f>
        <v>1.0642529934265106E-2</v>
      </c>
      <c r="AZ112" s="169">
        <f>IF(AW112&gt;Adjustments!$J$6,Adjustments!$L$6,IF(AW112&gt;Adjustments!$J$7,Adjustments!$L$7,IF(AW112&gt;Adjustments!$J$8,Adjustments!$L$8,IF(AW112&lt;Adjustments!$J$10,Adjustments!$L$10,IF(AW112&lt;Adjustments!$J$9,Adjustments!$L$9,0)))))</f>
        <v>-0.15</v>
      </c>
      <c r="BA112" s="169">
        <f>INDEX(Adjustments!$C$4:$C$2520,MATCH(AR112,Adjustments!$B$4:$B$2520,0))</f>
        <v>0</v>
      </c>
      <c r="BB112" s="153" t="str">
        <f>INDEX(AG$6:AG$182,MATCH($AR112,$AF$6:$AF$182,0))</f>
        <v>9</v>
      </c>
      <c r="BC112" s="153">
        <f>INDEX(AH$6:AH$182,MATCH($AR112,$AF$6:$AF$182,0))</f>
        <v>128</v>
      </c>
      <c r="BD112" s="153">
        <f>INDEX(AI$6:AI$182,MATCH($AR112,$AF$6:$AF$182,0))</f>
        <v>26</v>
      </c>
      <c r="BE112" s="153">
        <f>BC112-AO112</f>
        <v>21</v>
      </c>
      <c r="BF112" s="153"/>
      <c r="BG112" s="153"/>
      <c r="BH112" s="195" t="str">
        <f>INDEX($AE$6:$AE$182,MATCH(AR112,$AF$6:$AF$182,0))</f>
        <v>TE</v>
      </c>
      <c r="BI112" s="195">
        <f>SUMIF($BH$6:BH112,BH112,$BK$6:BK112)</f>
        <v>13</v>
      </c>
      <c r="BJ112" s="194">
        <v>1</v>
      </c>
      <c r="BK112" s="194">
        <f t="shared" si="12"/>
        <v>1</v>
      </c>
      <c r="BL112" s="194" t="str">
        <f>IF('Real Time Draft Tool'!B112="y","y","")</f>
        <v/>
      </c>
      <c r="BM112" s="194" t="str">
        <f t="shared" si="13"/>
        <v>TE 13</v>
      </c>
    </row>
    <row r="113" spans="31:65" x14ac:dyDescent="0.25">
      <c r="AE113" s="195" t="s">
        <v>260</v>
      </c>
      <c r="AF113" s="195" t="str">
        <f t="shared" si="16"/>
        <v>Roddy White</v>
      </c>
      <c r="AG113" s="195" t="str">
        <f t="shared" si="14"/>
        <v>9</v>
      </c>
      <c r="AH113" s="195">
        <f t="shared" si="17"/>
        <v>46</v>
      </c>
      <c r="AI113" s="195">
        <f t="shared" si="15"/>
        <v>6</v>
      </c>
      <c r="AJ113" s="195">
        <f t="shared" si="14"/>
        <v>3.586401251666667</v>
      </c>
      <c r="AK113" s="195">
        <f t="shared" si="14"/>
        <v>0.86562133058720525</v>
      </c>
      <c r="AL113" s="195">
        <f t="shared" si="14"/>
        <v>0.34147729109792352</v>
      </c>
      <c r="AM113" s="195" t="str">
        <f t="shared" si="14"/>
        <v>5</v>
      </c>
      <c r="AN113" s="153"/>
      <c r="AO113" s="153">
        <v>108</v>
      </c>
      <c r="AP113" s="153">
        <v>111</v>
      </c>
      <c r="AQ113" s="153">
        <f>AP113-AO113</f>
        <v>3</v>
      </c>
      <c r="AR113" s="86" t="s">
        <v>186</v>
      </c>
      <c r="AS113" s="153" t="str">
        <f>BH113&amp;" "&amp;BI113</f>
        <v>WR 44</v>
      </c>
      <c r="AT113" s="153">
        <f>IF(AU113&gt;8,1,IF(AU113&gt;6.4,2,IF(AU113&gt;6,3,IF(AU113&gt;5,4,IF(AU113&gt;3.5,5,IF(AU113&gt;2.5,6,IF(AU113&gt;1.5,7,IF(AU113&gt;0.5,8,IF(AU113&gt;-0.5,9,10)))))))))</f>
        <v>9</v>
      </c>
      <c r="AU113" s="169">
        <f>SUM(AV113,AZ113,BA113)</f>
        <v>0.24730251333333317</v>
      </c>
      <c r="AV113" s="169">
        <f>INDEX(AJ$6:AJ$182,MATCH($AR113,$AF$6:$AF$182,0))</f>
        <v>4.7302513333333157E-2</v>
      </c>
      <c r="AW113" s="169">
        <f>INDEX(AK$6:AK$182,MATCH($AR113,$AF$6:$AF$182,0))</f>
        <v>0.75061422851694171</v>
      </c>
      <c r="AX113" s="168">
        <f>SUMIFS(AV114:AV$183,AV114:AV$183,"&gt;"&amp;0,$BH114:$BH$183,"="&amp;$BH113,$BK114:$BK$183,"="&amp;1)/SUMIFS(AV$6:AV$183,AV$6:AV$183,"&gt;"&amp;0,$BH$6:$BH$183,"="&amp;$BH113)</f>
        <v>1.4128720822281322E-3</v>
      </c>
      <c r="AY113" s="168">
        <f>SUMIFS(AU114:AU$183,AU114:AU$183,"&gt;"&amp;0,BH114:BH$183,"="&amp;BH113,BK114:BK$183,"="&amp;1)/SUMIFS(AU$6:AU$183,AU$6:AU$183,"&gt;"&amp;0,BH$6:BH$183,"="&amp;BH113)</f>
        <v>1.3940813761164287E-3</v>
      </c>
      <c r="AZ113" s="169">
        <f>IF(AW113&gt;Adjustments!$J$6,Adjustments!$L$6,IF(AW113&gt;Adjustments!$J$7,Adjustments!$L$7,IF(AW113&gt;Adjustments!$J$8,Adjustments!$L$8,IF(AW113&lt;Adjustments!$J$10,Adjustments!$L$10,IF(AW113&lt;Adjustments!$J$9,Adjustments!$L$9,0)))))</f>
        <v>0.2</v>
      </c>
      <c r="BA113" s="169">
        <f>INDEX(Adjustments!$C$4:$C$2520,MATCH(AR113,Adjustments!$B$4:$B$2520,0))</f>
        <v>0</v>
      </c>
      <c r="BB113" s="153" t="str">
        <f>INDEX(AG$6:AG$182,MATCH($AR113,$AF$6:$AF$182,0))</f>
        <v>7</v>
      </c>
      <c r="BC113" s="153">
        <f>INDEX(AH$6:AH$182,MATCH($AR113,$AF$6:$AF$182,0))</f>
        <v>117</v>
      </c>
      <c r="BD113" s="153">
        <f>INDEX(AI$6:AI$182,MATCH($AR113,$AF$6:$AF$182,0))</f>
        <v>6</v>
      </c>
      <c r="BE113" s="153">
        <f>BC113-AO113</f>
        <v>9</v>
      </c>
      <c r="BF113" s="153"/>
      <c r="BG113" s="153"/>
      <c r="BH113" s="195" t="str">
        <f>INDEX($AE$6:$AE$182,MATCH(AR113,$AF$6:$AF$182,0))</f>
        <v>WR</v>
      </c>
      <c r="BI113" s="195">
        <f>SUMIF($BH$6:BH113,BH113,$BK$6:BK113)</f>
        <v>44</v>
      </c>
      <c r="BJ113" s="194">
        <v>1</v>
      </c>
      <c r="BK113" s="194">
        <f t="shared" si="12"/>
        <v>1</v>
      </c>
      <c r="BL113" s="194" t="str">
        <f>IF('Real Time Draft Tool'!B113="y","y","")</f>
        <v/>
      </c>
      <c r="BM113" s="194" t="str">
        <f t="shared" si="13"/>
        <v>WR 44</v>
      </c>
    </row>
    <row r="114" spans="31:65" x14ac:dyDescent="0.25">
      <c r="AE114" s="195" t="s">
        <v>260</v>
      </c>
      <c r="AF114" s="195" t="str">
        <f t="shared" si="16"/>
        <v>Victor Cruz</v>
      </c>
      <c r="AG114" s="195" t="str">
        <f t="shared" si="16"/>
        <v>8</v>
      </c>
      <c r="AH114" s="195">
        <f t="shared" si="17"/>
        <v>40</v>
      </c>
      <c r="AI114" s="195">
        <f t="shared" si="15"/>
        <v>-1</v>
      </c>
      <c r="AJ114" s="195">
        <f t="shared" ref="AJ114:AM157" si="18">Z22</f>
        <v>3.5108907950000003</v>
      </c>
      <c r="AK114" s="195">
        <f t="shared" si="18"/>
        <v>1.0101765084448233</v>
      </c>
      <c r="AL114" s="195">
        <f t="shared" si="18"/>
        <v>0.31518673388569235</v>
      </c>
      <c r="AM114" s="195" t="str">
        <f t="shared" si="18"/>
        <v>5</v>
      </c>
      <c r="AN114" s="153"/>
      <c r="AO114" s="153">
        <v>109</v>
      </c>
      <c r="AP114" s="153">
        <v>98</v>
      </c>
      <c r="AQ114" s="153">
        <f>AP114-AO114</f>
        <v>-11</v>
      </c>
      <c r="AR114" s="86" t="s">
        <v>146</v>
      </c>
      <c r="AS114" s="153" t="str">
        <f>BH114&amp;" "&amp;BI114</f>
        <v>RB 36</v>
      </c>
      <c r="AT114" s="153">
        <f>IF(AU114&gt;8,1,IF(AU114&gt;6.4,2,IF(AU114&gt;6,3,IF(AU114&gt;5,4,IF(AU114&gt;3.5,5,IF(AU114&gt;2.5,6,IF(AU114&gt;1.5,7,IF(AU114&gt;0.5,8,IF(AU114&gt;-0.5,9,10)))))))))</f>
        <v>9</v>
      </c>
      <c r="AU114" s="169">
        <f>SUM(AV114,AZ114,BA114)</f>
        <v>0.22643786000000027</v>
      </c>
      <c r="AV114" s="169">
        <f>INDEX(AJ$6:AJ$182,MATCH($AR114,$AF$6:$AF$182,0))</f>
        <v>0.52643786000000026</v>
      </c>
      <c r="AW114" s="169">
        <f>INDEX(AK$6:AK$182,MATCH($AR114,$AF$6:$AF$182,0))</f>
        <v>1.2776321187908162</v>
      </c>
      <c r="AX114" s="168">
        <f>SUMIFS(AV115:AV$183,AV115:AV$183,"&gt;"&amp;0,$BH115:$BH$183,"="&amp;$BH114,$BK115:$BK$183,"="&amp;1)/SUMIFS(AV$6:AV$183,AV$6:AV$183,"&gt;"&amp;0,$BH$6:$BH$183,"="&amp;$BH114)</f>
        <v>3.2226107446848709E-3</v>
      </c>
      <c r="AY114" s="168">
        <f>SUMIFS(AU115:AU$183,AU115:AU$183,"&gt;"&amp;0,BH115:BH$183,"="&amp;BH114,BK115:BK$183,"="&amp;1)/SUMIFS(AU$6:AU$183,AU$6:AU$183,"&gt;"&amp;0,BH$6:BH$183,"="&amp;BH114)</f>
        <v>1.3221955434126736E-3</v>
      </c>
      <c r="AZ114" s="169">
        <f>IF(AW114&gt;Adjustments!$J$6,Adjustments!$L$6,IF(AW114&gt;Adjustments!$J$7,Adjustments!$L$7,IF(AW114&gt;Adjustments!$J$8,Adjustments!$L$8,IF(AW114&lt;Adjustments!$J$10,Adjustments!$L$10,IF(AW114&lt;Adjustments!$J$9,Adjustments!$L$9,0)))))</f>
        <v>-0.3</v>
      </c>
      <c r="BA114" s="169">
        <f>INDEX(Adjustments!$C$4:$C$2520,MATCH(AR114,Adjustments!$B$4:$B$2520,0))</f>
        <v>0</v>
      </c>
      <c r="BB114" s="153" t="str">
        <f>INDEX(AG$6:AG$182,MATCH($AR114,$AF$6:$AF$182,0))</f>
        <v>12</v>
      </c>
      <c r="BC114" s="153">
        <f>INDEX(AH$6:AH$182,MATCH($AR114,$AF$6:$AF$182,0))</f>
        <v>116</v>
      </c>
      <c r="BD114" s="153">
        <f>INDEX(AI$6:AI$182,MATCH($AR114,$AF$6:$AF$182,0))</f>
        <v>18</v>
      </c>
      <c r="BE114" s="153">
        <f>BC114-AO114</f>
        <v>7</v>
      </c>
      <c r="BF114" s="153"/>
      <c r="BG114" s="153"/>
      <c r="BH114" s="195" t="str">
        <f>INDEX($AE$6:$AE$182,MATCH(AR114,$AF$6:$AF$182,0))</f>
        <v>RB</v>
      </c>
      <c r="BI114" s="195">
        <f>SUMIF($BH$6:BH114,BH114,$BK$6:BK114)</f>
        <v>36</v>
      </c>
      <c r="BJ114" s="194">
        <v>1</v>
      </c>
      <c r="BK114" s="194">
        <f t="shared" si="12"/>
        <v>1</v>
      </c>
      <c r="BL114" s="194" t="str">
        <f>IF('Real Time Draft Tool'!B114="y","y","")</f>
        <v/>
      </c>
      <c r="BM114" s="194" t="str">
        <f t="shared" si="13"/>
        <v>RB 36</v>
      </c>
    </row>
    <row r="115" spans="31:65" x14ac:dyDescent="0.25">
      <c r="AE115" s="195" t="s">
        <v>260</v>
      </c>
      <c r="AF115" s="195" t="str">
        <f t="shared" si="16"/>
        <v>Michael Crabtree</v>
      </c>
      <c r="AG115" s="195" t="str">
        <f t="shared" si="16"/>
        <v>8</v>
      </c>
      <c r="AH115" s="195">
        <f t="shared" si="17"/>
        <v>46</v>
      </c>
      <c r="AI115" s="195">
        <f t="shared" si="15"/>
        <v>1</v>
      </c>
      <c r="AJ115" s="195">
        <f t="shared" si="18"/>
        <v>3.0965210933333336</v>
      </c>
      <c r="AK115" s="195">
        <f t="shared" si="18"/>
        <v>1.4709088387886291</v>
      </c>
      <c r="AL115" s="195">
        <f t="shared" si="18"/>
        <v>0.29199909584263528</v>
      </c>
      <c r="AM115" s="195" t="str">
        <f t="shared" si="18"/>
        <v>5</v>
      </c>
      <c r="AN115" s="153"/>
      <c r="AO115" s="153">
        <v>110</v>
      </c>
      <c r="AP115" s="153">
        <v>99</v>
      </c>
      <c r="AQ115" s="153">
        <f>AP115-AO115</f>
        <v>-11</v>
      </c>
      <c r="AR115" s="86" t="s">
        <v>139</v>
      </c>
      <c r="AS115" s="153" t="str">
        <f>BH115&amp;" "&amp;BI115</f>
        <v>RB 37</v>
      </c>
      <c r="AT115" s="153">
        <f>IF(AU115&gt;8,1,IF(AU115&gt;6.4,2,IF(AU115&gt;6,3,IF(AU115&gt;5,4,IF(AU115&gt;3.5,5,IF(AU115&gt;2.5,6,IF(AU115&gt;1.5,7,IF(AU115&gt;0.5,8,IF(AU115&gt;-0.5,9,10)))))))))</f>
        <v>9</v>
      </c>
      <c r="AU115" s="169">
        <f>SUM(AV115,AZ115,BA115)</f>
        <v>0.19123372333333327</v>
      </c>
      <c r="AV115" s="169">
        <f>INDEX(AJ$6:AJ$182,MATCH($AR115,$AF$6:$AF$182,0))</f>
        <v>0.49123372333333326</v>
      </c>
      <c r="AW115" s="169">
        <f>INDEX(AK$6:AK$182,MATCH($AR115,$AF$6:$AF$182,0))</f>
        <v>1.3201827881935229</v>
      </c>
      <c r="AX115" s="168">
        <f>SUMIFS(AV116:AV$183,AV116:AV$183,"&gt;"&amp;0,$BH116:$BH$183,"="&amp;$BH115,$BK116:$BK$183,"="&amp;1)/SUMIFS(AV$6:AV$183,AV$6:AV$183,"&gt;"&amp;0,$BH$6:$BH$183,"="&amp;$BH115)</f>
        <v>0</v>
      </c>
      <c r="AY115" s="168">
        <f>SUMIFS(AU116:AU$183,AU116:AU$183,"&gt;"&amp;0,BH116:BH$183,"="&amp;BH115,BK116:BK$183,"="&amp;1)/SUMIFS(AU$6:AU$183,AU$6:AU$183,"&gt;"&amp;0,BH$6:BH$183,"="&amp;BH115)</f>
        <v>0</v>
      </c>
      <c r="AZ115" s="169">
        <f>IF(AW115&gt;Adjustments!$J$6,Adjustments!$L$6,IF(AW115&gt;Adjustments!$J$7,Adjustments!$L$7,IF(AW115&gt;Adjustments!$J$8,Adjustments!$L$8,IF(AW115&lt;Adjustments!$J$10,Adjustments!$L$10,IF(AW115&lt;Adjustments!$J$9,Adjustments!$L$9,0)))))</f>
        <v>-0.3</v>
      </c>
      <c r="BA115" s="169">
        <f>INDEX(Adjustments!$C$4:$C$2520,MATCH(AR115,Adjustments!$B$4:$B$2520,0))</f>
        <v>0</v>
      </c>
      <c r="BB115" s="153" t="str">
        <f>INDEX(AG$6:AG$182,MATCH($AR115,$AF$6:$AF$182,0))</f>
        <v>7</v>
      </c>
      <c r="BC115" s="153">
        <f>INDEX(AH$6:AH$182,MATCH($AR115,$AF$6:$AF$182,0))</f>
        <v>86</v>
      </c>
      <c r="BD115" s="153">
        <f>INDEX(AI$6:AI$182,MATCH($AR115,$AF$6:$AF$182,0))</f>
        <v>-13</v>
      </c>
      <c r="BE115" s="153">
        <f>BC115-AO115</f>
        <v>-24</v>
      </c>
      <c r="BF115" s="153"/>
      <c r="BG115" s="153"/>
      <c r="BH115" s="195" t="str">
        <f>INDEX($AE$6:$AE$182,MATCH(AR115,$AF$6:$AF$182,0))</f>
        <v>RB</v>
      </c>
      <c r="BI115" s="195">
        <f>SUMIF($BH$6:BH115,BH115,$BK$6:BK115)</f>
        <v>37</v>
      </c>
      <c r="BJ115" s="194">
        <v>1</v>
      </c>
      <c r="BK115" s="194">
        <f t="shared" si="12"/>
        <v>1</v>
      </c>
      <c r="BL115" s="194" t="str">
        <f>IF('Real Time Draft Tool'!B115="y","y","")</f>
        <v/>
      </c>
      <c r="BM115" s="194" t="str">
        <f t="shared" si="13"/>
        <v>RB 37</v>
      </c>
    </row>
    <row r="116" spans="31:65" x14ac:dyDescent="0.25">
      <c r="AE116" s="195" t="s">
        <v>260</v>
      </c>
      <c r="AF116" s="195" t="str">
        <f t="shared" si="16"/>
        <v>Wes Welker</v>
      </c>
      <c r="AG116" s="195" t="str">
        <f t="shared" si="16"/>
        <v>4</v>
      </c>
      <c r="AH116" s="195">
        <f t="shared" si="17"/>
        <v>41</v>
      </c>
      <c r="AI116" s="195">
        <f t="shared" si="15"/>
        <v>-5</v>
      </c>
      <c r="AJ116" s="195">
        <f t="shared" si="18"/>
        <v>3.0918335133333334</v>
      </c>
      <c r="AK116" s="195">
        <f t="shared" si="18"/>
        <v>1.3120561125288195</v>
      </c>
      <c r="AL116" s="195">
        <f t="shared" si="18"/>
        <v>0.26884655974303734</v>
      </c>
      <c r="AM116" s="195" t="str">
        <f t="shared" si="18"/>
        <v>5</v>
      </c>
      <c r="AN116" s="153"/>
      <c r="AO116" s="153">
        <v>111</v>
      </c>
      <c r="AP116" s="153">
        <v>106</v>
      </c>
      <c r="AQ116" s="153">
        <f>AP116-AO116</f>
        <v>-5</v>
      </c>
      <c r="AR116" s="86" t="s">
        <v>165</v>
      </c>
      <c r="AS116" s="153" t="str">
        <f>BH116&amp;" "&amp;BI116</f>
        <v>WR 45</v>
      </c>
      <c r="AT116" s="153">
        <f>IF(AU116&gt;8,1,IF(AU116&gt;6.4,2,IF(AU116&gt;6,3,IF(AU116&gt;5,4,IF(AU116&gt;3.5,5,IF(AU116&gt;2.5,6,IF(AU116&gt;1.5,7,IF(AU116&gt;0.5,8,IF(AU116&gt;-0.5,9,10)))))))))</f>
        <v>9</v>
      </c>
      <c r="AU116" s="169">
        <f>SUM(AV116,AZ116,BA116)</f>
        <v>0.18867761333333311</v>
      </c>
      <c r="AV116" s="169">
        <f>INDEX(AJ$6:AJ$182,MATCH($AR116,$AF$6:$AF$182,0))</f>
        <v>0.18867761333333311</v>
      </c>
      <c r="AW116" s="169">
        <f>INDEX(AK$6:AK$182,MATCH($AR116,$AF$6:$AF$182,0))</f>
        <v>0.86755051670168226</v>
      </c>
      <c r="AX116" s="168">
        <f>SUMIFS(AV117:AV$183,AV117:AV$183,"&gt;"&amp;0,$BH117:$BH$183,"="&amp;$BH116,$BK117:$BK$183,"="&amp;1)/SUMIFS(AV$6:AV$183,AV$6:AV$183,"&gt;"&amp;0,$BH$6:$BH$183,"="&amp;$BH116)</f>
        <v>0</v>
      </c>
      <c r="AY116" s="168">
        <f>SUMIFS(AU117:AU$183,AU117:AU$183,"&gt;"&amp;0,BH117:BH$183,"="&amp;BH116,BK117:BK$183,"="&amp;1)/SUMIFS(AU$6:AU$183,AU$6:AU$183,"&gt;"&amp;0,BH$6:BH$183,"="&amp;BH116)</f>
        <v>0</v>
      </c>
      <c r="AZ116" s="169">
        <f>IF(AW116&gt;Adjustments!$J$6,Adjustments!$L$6,IF(AW116&gt;Adjustments!$J$7,Adjustments!$L$7,IF(AW116&gt;Adjustments!$J$8,Adjustments!$L$8,IF(AW116&lt;Adjustments!$J$10,Adjustments!$L$10,IF(AW116&lt;Adjustments!$J$9,Adjustments!$L$9,0)))))</f>
        <v>0</v>
      </c>
      <c r="BA116" s="169">
        <f>INDEX(Adjustments!$C$4:$C$2520,MATCH(AR116,Adjustments!$B$4:$B$2520,0))</f>
        <v>0</v>
      </c>
      <c r="BB116" s="153" t="str">
        <f>INDEX(AG$6:AG$182,MATCH($AR116,$AF$6:$AF$182,0))</f>
        <v>10</v>
      </c>
      <c r="BC116" s="153">
        <f>INDEX(AH$6:AH$182,MATCH($AR116,$AF$6:$AF$182,0))</f>
        <v>160</v>
      </c>
      <c r="BD116" s="153">
        <f>INDEX(AI$6:AI$182,MATCH($AR116,$AF$6:$AF$182,0))</f>
        <v>54</v>
      </c>
      <c r="BE116" s="153">
        <f>BC116-AO116</f>
        <v>49</v>
      </c>
      <c r="BF116" s="153"/>
      <c r="BG116" s="153"/>
      <c r="BH116" s="195" t="str">
        <f>INDEX($AE$6:$AE$182,MATCH(AR116,$AF$6:$AF$182,0))</f>
        <v>WR</v>
      </c>
      <c r="BI116" s="195">
        <f>SUMIF($BH$6:BH116,BH116,$BK$6:BK116)</f>
        <v>45</v>
      </c>
      <c r="BJ116" s="194">
        <v>1</v>
      </c>
      <c r="BK116" s="194">
        <f t="shared" si="12"/>
        <v>1</v>
      </c>
      <c r="BL116" s="194" t="str">
        <f>IF('Real Time Draft Tool'!B116="y","y","")</f>
        <v/>
      </c>
      <c r="BM116" s="194" t="str">
        <f t="shared" si="13"/>
        <v>WR 45</v>
      </c>
    </row>
    <row r="117" spans="31:65" x14ac:dyDescent="0.25">
      <c r="AE117" s="195" t="s">
        <v>260</v>
      </c>
      <c r="AF117" s="195" t="str">
        <f t="shared" si="16"/>
        <v>Michael Floyd</v>
      </c>
      <c r="AG117" s="195" t="str">
        <f t="shared" si="16"/>
        <v>4</v>
      </c>
      <c r="AH117" s="195">
        <f t="shared" si="17"/>
        <v>60</v>
      </c>
      <c r="AI117" s="195">
        <f t="shared" si="15"/>
        <v>8</v>
      </c>
      <c r="AJ117" s="195">
        <f t="shared" si="18"/>
        <v>2.7813283449999999</v>
      </c>
      <c r="AK117" s="195">
        <f t="shared" si="18"/>
        <v>0.70214494987043263</v>
      </c>
      <c r="AL117" s="195">
        <f t="shared" si="18"/>
        <v>0.24801917539819815</v>
      </c>
      <c r="AM117" s="195" t="str">
        <f t="shared" si="18"/>
        <v>5</v>
      </c>
      <c r="AN117" s="153"/>
      <c r="AO117" s="153">
        <v>112</v>
      </c>
      <c r="AP117" s="153">
        <v>113</v>
      </c>
      <c r="AQ117" s="153">
        <f>AP117-AO117</f>
        <v>1</v>
      </c>
      <c r="AR117" s="86" t="s">
        <v>193</v>
      </c>
      <c r="AS117" s="153" t="str">
        <f>BH117&amp;" "&amp;BI117</f>
        <v>TE 14</v>
      </c>
      <c r="AT117" s="153">
        <f>IF(AU117&gt;8,1,IF(AU117&gt;6.4,2,IF(AU117&gt;6,3,IF(AU117&gt;5,4,IF(AU117&gt;3.5,5,IF(AU117&gt;2.5,6,IF(AU117&gt;1.5,7,IF(AU117&gt;0.5,8,IF(AU117&gt;-0.5,9,10)))))))))</f>
        <v>9</v>
      </c>
      <c r="AU117" s="169">
        <f>SUM(AV117,AZ117,BA117)</f>
        <v>0.17276578499999964</v>
      </c>
      <c r="AV117" s="169">
        <f>INDEX(AJ$6:AJ$182,MATCH($AR117,$AF$6:$AF$182,0))</f>
        <v>-2.7234215000000367E-2</v>
      </c>
      <c r="AW117" s="169">
        <f>INDEX(AK$6:AK$182,MATCH($AR117,$AF$6:$AF$182,0))</f>
        <v>0.7280573525564491</v>
      </c>
      <c r="AX117" s="168">
        <f>SUMIFS(AV118:AV$183,AV118:AV$183,"&gt;"&amp;0,$BH118:$BH$183,"="&amp;$BH117,$BK118:$BK$183,"="&amp;1)/SUMIFS(AV$6:AV$183,AV$6:AV$183,"&gt;"&amp;0,$BH$6:$BH$183,"="&amp;$BH117)</f>
        <v>3.9462887030225534E-3</v>
      </c>
      <c r="AY117" s="168">
        <f>SUMIFS(AU118:AU$183,AU118:AU$183,"&gt;"&amp;0,BH118:BH$183,"="&amp;BH117,BK118:BK$183,"="&amp;1)/SUMIFS(AU$6:AU$183,AU$6:AU$183,"&gt;"&amp;0,BH$6:BH$183,"="&amp;BH117)</f>
        <v>4.8490886843692441E-3</v>
      </c>
      <c r="AZ117" s="169">
        <f>IF(AW117&gt;Adjustments!$J$6,Adjustments!$L$6,IF(AW117&gt;Adjustments!$J$7,Adjustments!$L$7,IF(AW117&gt;Adjustments!$J$8,Adjustments!$L$8,IF(AW117&lt;Adjustments!$J$10,Adjustments!$L$10,IF(AW117&lt;Adjustments!$J$9,Adjustments!$L$9,0)))))</f>
        <v>0.2</v>
      </c>
      <c r="BA117" s="169">
        <f>INDEX(Adjustments!$C$4:$C$2520,MATCH(AR117,Adjustments!$B$4:$B$2520,0))</f>
        <v>0</v>
      </c>
      <c r="BB117" s="153" t="str">
        <f>INDEX(AG$6:AG$182,MATCH($AR117,$AF$6:$AF$182,0))</f>
        <v>10</v>
      </c>
      <c r="BC117" s="153">
        <f>INDEX(AH$6:AH$182,MATCH($AR117,$AF$6:$AF$182,0))</f>
        <v>152</v>
      </c>
      <c r="BD117" s="153">
        <f>INDEX(AI$6:AI$182,MATCH($AR117,$AF$6:$AF$182,0))</f>
        <v>39</v>
      </c>
      <c r="BE117" s="153">
        <f>BC117-AO117</f>
        <v>40</v>
      </c>
      <c r="BF117" s="153"/>
      <c r="BG117" s="153"/>
      <c r="BH117" s="195" t="str">
        <f>INDEX($AE$6:$AE$182,MATCH(AR117,$AF$6:$AF$182,0))</f>
        <v>TE</v>
      </c>
      <c r="BI117" s="195">
        <f>SUMIF($BH$6:BH117,BH117,$BK$6:BK117)</f>
        <v>14</v>
      </c>
      <c r="BJ117" s="194">
        <v>1</v>
      </c>
      <c r="BK117" s="194">
        <f t="shared" si="12"/>
        <v>1</v>
      </c>
      <c r="BL117" s="194" t="str">
        <f>IF('Real Time Draft Tool'!B117="y","y","")</f>
        <v/>
      </c>
      <c r="BM117" s="194" t="str">
        <f t="shared" si="13"/>
        <v>TE 14</v>
      </c>
    </row>
    <row r="118" spans="31:65" x14ac:dyDescent="0.25">
      <c r="AE118" s="195" t="s">
        <v>260</v>
      </c>
      <c r="AF118" s="195" t="str">
        <f t="shared" si="16"/>
        <v>Cordarrelle Patterson</v>
      </c>
      <c r="AG118" s="195" t="str">
        <f t="shared" si="16"/>
        <v>10</v>
      </c>
      <c r="AH118" s="195">
        <f t="shared" si="17"/>
        <v>48</v>
      </c>
      <c r="AI118" s="195">
        <f t="shared" si="15"/>
        <v>-8</v>
      </c>
      <c r="AJ118" s="195">
        <f t="shared" si="18"/>
        <v>2.6094221050000002</v>
      </c>
      <c r="AK118" s="195">
        <f t="shared" si="18"/>
        <v>0.92841128012339835</v>
      </c>
      <c r="AL118" s="195">
        <f t="shared" si="18"/>
        <v>0.2284790742819619</v>
      </c>
      <c r="AM118" s="195" t="str">
        <f t="shared" si="18"/>
        <v>5-</v>
      </c>
      <c r="AN118" s="153"/>
      <c r="AO118" s="153">
        <v>113</v>
      </c>
      <c r="AP118" s="153">
        <v>115</v>
      </c>
      <c r="AQ118" s="153">
        <f>AP118-AO118</f>
        <v>2</v>
      </c>
      <c r="AR118" s="86" t="s">
        <v>196</v>
      </c>
      <c r="AS118" s="153" t="str">
        <f>BH118&amp;" "&amp;BI118</f>
        <v>TE 15</v>
      </c>
      <c r="AT118" s="153">
        <f>IF(AU118&gt;8,1,IF(AU118&gt;6.4,2,IF(AU118&gt;6,3,IF(AU118&gt;5,4,IF(AU118&gt;3.5,5,IF(AU118&gt;2.5,6,IF(AU118&gt;1.5,7,IF(AU118&gt;0.5,8,IF(AU118&gt;-0.5,9,10)))))))))</f>
        <v>9</v>
      </c>
      <c r="AU118" s="169">
        <f>SUM(AV118,AZ118,BA118)</f>
        <v>0.14460431666666626</v>
      </c>
      <c r="AV118" s="169">
        <f>INDEX(AJ$6:AJ$182,MATCH($AR118,$AF$6:$AF$182,0))</f>
        <v>-5.5395683333333758E-2</v>
      </c>
      <c r="AW118" s="169">
        <f>INDEX(AK$6:AK$182,MATCH($AR118,$AF$6:$AF$182,0))</f>
        <v>0.7414236570944055</v>
      </c>
      <c r="AX118" s="168">
        <f>SUMIFS(AV119:AV$183,AV119:AV$183,"&gt;"&amp;0,$BH119:$BH$183,"="&amp;$BH118,$BK119:$BK$183,"="&amp;1)/SUMIFS(AV$6:AV$183,AV$6:AV$183,"&gt;"&amp;0,$BH$6:$BH$183,"="&amp;$BH118)</f>
        <v>3.9462887030225534E-3</v>
      </c>
      <c r="AY118" s="168">
        <f>SUMIFS(AU119:AU$183,AU119:AU$183,"&gt;"&amp;0,BH119:BH$183,"="&amp;BH118,BK119:BK$183,"="&amp;1)/SUMIFS(AU$6:AU$183,AU$6:AU$183,"&gt;"&amp;0,BH$6:BH$183,"="&amp;BH118)</f>
        <v>0</v>
      </c>
      <c r="AZ118" s="169">
        <f>IF(AW118&gt;Adjustments!$J$6,Adjustments!$L$6,IF(AW118&gt;Adjustments!$J$7,Adjustments!$L$7,IF(AW118&gt;Adjustments!$J$8,Adjustments!$L$8,IF(AW118&lt;Adjustments!$J$10,Adjustments!$L$10,IF(AW118&lt;Adjustments!$J$9,Adjustments!$L$9,0)))))</f>
        <v>0.2</v>
      </c>
      <c r="BA118" s="169">
        <f>INDEX(Adjustments!$C$4:$C$2520,MATCH(AR118,Adjustments!$B$4:$B$2520,0))</f>
        <v>0</v>
      </c>
      <c r="BB118" s="153" t="str">
        <f>INDEX(AG$6:AG$182,MATCH($AR118,$AF$6:$AF$182,0))</f>
        <v>9</v>
      </c>
      <c r="BC118" s="153">
        <f>INDEX(AH$6:AH$182,MATCH($AR118,$AF$6:$AF$182,0))</f>
        <v>176</v>
      </c>
      <c r="BD118" s="153">
        <f>INDEX(AI$6:AI$182,MATCH($AR118,$AF$6:$AF$182,0))</f>
        <v>61</v>
      </c>
      <c r="BE118" s="153">
        <f>BC118-AO118</f>
        <v>63</v>
      </c>
      <c r="BF118" s="153"/>
      <c r="BG118" s="153"/>
      <c r="BH118" s="195" t="str">
        <f>INDEX($AE$6:$AE$182,MATCH(AR118,$AF$6:$AF$182,0))</f>
        <v>TE</v>
      </c>
      <c r="BI118" s="195">
        <f>SUMIF($BH$6:BH118,BH118,$BK$6:BK118)</f>
        <v>15</v>
      </c>
      <c r="BJ118" s="194">
        <v>1</v>
      </c>
      <c r="BK118" s="194">
        <f t="shared" si="12"/>
        <v>1</v>
      </c>
      <c r="BL118" s="194" t="str">
        <f>IF('Real Time Draft Tool'!B118="y","y","")</f>
        <v/>
      </c>
      <c r="BM118" s="194" t="str">
        <f t="shared" si="13"/>
        <v>TE 15</v>
      </c>
    </row>
    <row r="119" spans="31:65" x14ac:dyDescent="0.25">
      <c r="AE119" s="195" t="s">
        <v>260</v>
      </c>
      <c r="AF119" s="195" t="str">
        <f t="shared" si="16"/>
        <v>DeSean Jackson</v>
      </c>
      <c r="AG119" s="195" t="str">
        <f t="shared" si="16"/>
        <v>10</v>
      </c>
      <c r="AH119" s="195">
        <f t="shared" si="17"/>
        <v>50</v>
      </c>
      <c r="AI119" s="195">
        <f t="shared" si="15"/>
        <v>-7</v>
      </c>
      <c r="AJ119" s="195">
        <f t="shared" si="18"/>
        <v>2.5630626900000006</v>
      </c>
      <c r="AK119" s="195">
        <f t="shared" si="18"/>
        <v>0.95445045543233797</v>
      </c>
      <c r="AL119" s="195">
        <f t="shared" si="18"/>
        <v>0.20928612576133435</v>
      </c>
      <c r="AM119" s="195" t="str">
        <f t="shared" si="18"/>
        <v>6-</v>
      </c>
      <c r="AN119" s="153"/>
      <c r="AO119" s="153">
        <v>114</v>
      </c>
      <c r="AP119" s="153">
        <v>118</v>
      </c>
      <c r="AQ119" s="153">
        <f>AP119-AO119</f>
        <v>4</v>
      </c>
      <c r="AR119" s="86" t="s">
        <v>82</v>
      </c>
      <c r="AS119" s="153" t="str">
        <f>BH119&amp;" "&amp;BI119</f>
        <v>QB 17</v>
      </c>
      <c r="AT119" s="153">
        <f>IF(AU119&gt;8,1,IF(AU119&gt;6.4,2,IF(AU119&gt;6,3,IF(AU119&gt;5,4,IF(AU119&gt;3.5,5,IF(AU119&gt;2.5,6,IF(AU119&gt;1.5,7,IF(AU119&gt;0.5,8,IF(AU119&gt;-0.5,9,10)))))))))</f>
        <v>9</v>
      </c>
      <c r="AU119" s="169">
        <f>SUM(AV119,AZ119,BA119)</f>
        <v>5.71605766666681E-2</v>
      </c>
      <c r="AV119" s="169">
        <f>INDEX(AJ$6:AJ$182,MATCH($AR119,$AF$6:$AF$182,0))</f>
        <v>-0.24283942333333189</v>
      </c>
      <c r="AW119" s="169">
        <f>INDEX(AK$6:AK$182,MATCH($AR119,$AF$6:$AF$182,0))</f>
        <v>0.45181987780962118</v>
      </c>
      <c r="AX119" s="168">
        <f>SUMIFS(AV120:AV$183,AV120:AV$183,"&gt;"&amp;0,$BH120:$BH$183,"="&amp;$BH119,$BK120:$BK$183,"="&amp;1)/SUMIFS(AV$6:AV$183,AV$6:AV$183,"&gt;"&amp;0,$BH$6:$BH$183,"="&amp;$BH119)</f>
        <v>0</v>
      </c>
      <c r="AY119" s="168">
        <f>SUMIFS(AU120:AU$183,AU120:AU$183,"&gt;"&amp;0,BH120:BH$183,"="&amp;BH119,BK120:BK$183,"="&amp;1)/SUMIFS(AU$6:AU$183,AU$6:AU$183,"&gt;"&amp;0,BH$6:BH$183,"="&amp;BH119)</f>
        <v>0</v>
      </c>
      <c r="AZ119" s="169">
        <f>IF(AW119&gt;Adjustments!$J$6,Adjustments!$L$6,IF(AW119&gt;Adjustments!$J$7,Adjustments!$L$7,IF(AW119&gt;Adjustments!$J$8,Adjustments!$L$8,IF(AW119&lt;Adjustments!$J$10,Adjustments!$L$10,IF(AW119&lt;Adjustments!$J$9,Adjustments!$L$9,0)))))</f>
        <v>0.3</v>
      </c>
      <c r="BA119" s="169">
        <f>INDEX(Adjustments!$C$4:$C$2520,MATCH(AR119,Adjustments!$B$4:$B$2520,0))</f>
        <v>0</v>
      </c>
      <c r="BB119" s="153" t="str">
        <f>INDEX(AG$6:AG$182,MATCH($AR119,$AF$6:$AF$182,0))</f>
        <v>4</v>
      </c>
      <c r="BC119" s="153">
        <f>INDEX(AH$6:AH$182,MATCH($AR119,$AF$6:$AF$182,0))</f>
        <v>136</v>
      </c>
      <c r="BD119" s="153">
        <f>INDEX(AI$6:AI$182,MATCH($AR119,$AF$6:$AF$182,0))</f>
        <v>18</v>
      </c>
      <c r="BE119" s="153">
        <f>BC119-AO119</f>
        <v>22</v>
      </c>
      <c r="BF119" s="153"/>
      <c r="BG119" s="153"/>
      <c r="BH119" s="195" t="str">
        <f>INDEX($AE$6:$AE$182,MATCH(AR119,$AF$6:$AF$182,0))</f>
        <v>QB</v>
      </c>
      <c r="BI119" s="195">
        <f>SUMIF($BH$6:BH119,BH119,$BK$6:BK119)</f>
        <v>17</v>
      </c>
      <c r="BJ119" s="194">
        <v>1</v>
      </c>
      <c r="BK119" s="194">
        <f t="shared" si="12"/>
        <v>1</v>
      </c>
      <c r="BL119" s="194" t="str">
        <f>IF('Real Time Draft Tool'!B119="y","y","")</f>
        <v/>
      </c>
      <c r="BM119" s="194" t="str">
        <f t="shared" si="13"/>
        <v>QB 17</v>
      </c>
    </row>
    <row r="120" spans="31:65" x14ac:dyDescent="0.25">
      <c r="AE120" s="195" t="s">
        <v>260</v>
      </c>
      <c r="AF120" s="195" t="str">
        <f t="shared" si="16"/>
        <v>Percy Harvin</v>
      </c>
      <c r="AG120" s="195" t="str">
        <f t="shared" si="16"/>
        <v>4</v>
      </c>
      <c r="AH120" s="195">
        <f t="shared" si="17"/>
        <v>50</v>
      </c>
      <c r="AI120" s="195">
        <f t="shared" si="15"/>
        <v>-9</v>
      </c>
      <c r="AJ120" s="195">
        <f t="shared" si="18"/>
        <v>2.5195366583333336</v>
      </c>
      <c r="AK120" s="195">
        <f t="shared" si="18"/>
        <v>1.3043622316256431</v>
      </c>
      <c r="AL120" s="195">
        <f t="shared" si="18"/>
        <v>0.1904191126492884</v>
      </c>
      <c r="AM120" s="195" t="str">
        <f t="shared" si="18"/>
        <v>6</v>
      </c>
      <c r="AN120" s="153"/>
      <c r="AO120" s="153">
        <v>115</v>
      </c>
      <c r="AP120" s="153">
        <v>109</v>
      </c>
      <c r="AQ120" s="153">
        <f>AP120-AO120</f>
        <v>-6</v>
      </c>
      <c r="AR120" s="86" t="s">
        <v>190</v>
      </c>
      <c r="AS120" s="153" t="str">
        <f>BH120&amp;" "&amp;BI120</f>
        <v>TE 16</v>
      </c>
      <c r="AT120" s="153">
        <f>IF(AU120&gt;8,1,IF(AU120&gt;6.4,2,IF(AU120&gt;6,3,IF(AU120&gt;5,4,IF(AU120&gt;3.5,5,IF(AU120&gt;2.5,6,IF(AU120&gt;1.5,7,IF(AU120&gt;0.5,8,IF(AU120&gt;-0.5,9,10)))))))))</f>
        <v>9</v>
      </c>
      <c r="AU120" s="169">
        <f>SUM(AV120,AZ120,BA120)</f>
        <v>-3.5486318333333877E-2</v>
      </c>
      <c r="AV120" s="169">
        <f>INDEX(AJ$6:AJ$182,MATCH($AR120,$AF$6:$AF$182,0))</f>
        <v>0.11451368166666612</v>
      </c>
      <c r="AW120" s="169">
        <f>INDEX(AK$6:AK$182,MATCH($AR120,$AF$6:$AF$182,0))</f>
        <v>1.0455946214608194</v>
      </c>
      <c r="AX120" s="168">
        <f>SUMIFS(AV121:AV$183,AV121:AV$183,"&gt;"&amp;0,$BH121:$BH$183,"="&amp;$BH120,$BK121:$BK$183,"="&amp;1)/SUMIFS(AV$6:AV$183,AV$6:AV$183,"&gt;"&amp;0,$BH$6:$BH$183,"="&amp;$BH120)</f>
        <v>0</v>
      </c>
      <c r="AY120" s="168">
        <f>SUMIFS(AU121:AU$183,AU121:AU$183,"&gt;"&amp;0,BH121:BH$183,"="&amp;BH120,BK121:BK$183,"="&amp;1)/SUMIFS(AU$6:AU$183,AU$6:AU$183,"&gt;"&amp;0,BH$6:BH$183,"="&amp;BH120)</f>
        <v>0</v>
      </c>
      <c r="AZ120" s="169">
        <f>IF(AW120&gt;Adjustments!$J$6,Adjustments!$L$6,IF(AW120&gt;Adjustments!$J$7,Adjustments!$L$7,IF(AW120&gt;Adjustments!$J$8,Adjustments!$L$8,IF(AW120&lt;Adjustments!$J$10,Adjustments!$L$10,IF(AW120&lt;Adjustments!$J$9,Adjustments!$L$9,0)))))</f>
        <v>-0.15</v>
      </c>
      <c r="BA120" s="169">
        <f>INDEX(Adjustments!$C$4:$C$2520,MATCH(AR120,Adjustments!$B$4:$B$2520,0))</f>
        <v>0</v>
      </c>
      <c r="BB120" s="153" t="str">
        <f>INDEX(AG$6:AG$182,MATCH($AR120,$AF$6:$AF$182,0))</f>
        <v>5</v>
      </c>
      <c r="BC120" s="153">
        <f>INDEX(AH$6:AH$182,MATCH($AR120,$AF$6:$AF$182,0))</f>
        <v>142</v>
      </c>
      <c r="BD120" s="153">
        <f>INDEX(AI$6:AI$182,MATCH($AR120,$AF$6:$AF$182,0))</f>
        <v>33</v>
      </c>
      <c r="BE120" s="153">
        <f>BC120-AO120</f>
        <v>27</v>
      </c>
      <c r="BF120" s="153"/>
      <c r="BG120" s="153"/>
      <c r="BH120" s="195" t="str">
        <f>INDEX($AE$6:$AE$182,MATCH(AR120,$AF$6:$AF$182,0))</f>
        <v>TE</v>
      </c>
      <c r="BI120" s="195">
        <f>SUMIF($BH$6:BH120,BH120,$BK$6:BK120)</f>
        <v>16</v>
      </c>
      <c r="BJ120" s="194">
        <v>1</v>
      </c>
      <c r="BK120" s="194">
        <f t="shared" si="12"/>
        <v>1</v>
      </c>
      <c r="BL120" s="194" t="str">
        <f>IF('Real Time Draft Tool'!B120="y","y","")</f>
        <v/>
      </c>
      <c r="BM120" s="194" t="str">
        <f t="shared" si="13"/>
        <v>TE 16</v>
      </c>
    </row>
    <row r="121" spans="31:65" x14ac:dyDescent="0.25">
      <c r="AE121" s="195" t="s">
        <v>260</v>
      </c>
      <c r="AF121" s="195" t="str">
        <f t="shared" si="16"/>
        <v>Kendall Wright</v>
      </c>
      <c r="AG121" s="195" t="str">
        <f t="shared" si="16"/>
        <v>9</v>
      </c>
      <c r="AH121" s="195">
        <f t="shared" si="17"/>
        <v>75</v>
      </c>
      <c r="AI121" s="195">
        <f t="shared" si="15"/>
        <v>14</v>
      </c>
      <c r="AJ121" s="195">
        <f t="shared" si="18"/>
        <v>2.4407190200000004</v>
      </c>
      <c r="AK121" s="195">
        <f t="shared" si="18"/>
        <v>0.91212470820039571</v>
      </c>
      <c r="AL121" s="195">
        <f t="shared" si="18"/>
        <v>0.17214230861833565</v>
      </c>
      <c r="AM121" s="195" t="str">
        <f t="shared" si="18"/>
        <v>6-</v>
      </c>
      <c r="AN121" s="153"/>
      <c r="AO121" s="153">
        <v>116</v>
      </c>
      <c r="AP121" s="153">
        <v>120</v>
      </c>
      <c r="AQ121" s="153">
        <f>AP121-AO121</f>
        <v>4</v>
      </c>
      <c r="AR121" s="86" t="s">
        <v>195</v>
      </c>
      <c r="AS121" s="153" t="str">
        <f>BH121&amp;" "&amp;BI121</f>
        <v>WR 46</v>
      </c>
      <c r="AT121" s="153">
        <f>IF(AU121&gt;8,1,IF(AU121&gt;6.4,2,IF(AU121&gt;6,3,IF(AU121&gt;5,4,IF(AU121&gt;3.5,5,IF(AU121&gt;2.5,6,IF(AU121&gt;1.5,7,IF(AU121&gt;0.5,8,IF(AU121&gt;-0.5,9,10)))))))))</f>
        <v>9</v>
      </c>
      <c r="AU121" s="169">
        <f>SUM(AV121,AZ121,BA121)</f>
        <v>-0.14824940000000009</v>
      </c>
      <c r="AV121" s="169">
        <f>INDEX(AJ$6:AJ$182,MATCH($AR121,$AF$6:$AF$182,0))</f>
        <v>-0.44824940000000008</v>
      </c>
      <c r="AW121" s="169">
        <f>INDEX(AK$6:AK$182,MATCH($AR121,$AF$6:$AF$182,0))</f>
        <v>0.40765381926781474</v>
      </c>
      <c r="AX121" s="168">
        <f>SUMIFS(AV122:AV$183,AV122:AV$183,"&gt;"&amp;0,$BH122:$BH$183,"="&amp;$BH121,$BK122:$BK$183,"="&amp;1)/SUMIFS(AV$6:AV$183,AV$6:AV$183,"&gt;"&amp;0,$BH$6:$BH$183,"="&amp;$BH121)</f>
        <v>0</v>
      </c>
      <c r="AY121" s="168">
        <f>SUMIFS(AU122:AU$183,AU122:AU$183,"&gt;"&amp;0,BH122:BH$183,"="&amp;BH121,BK122:BK$183,"="&amp;1)/SUMIFS(AU$6:AU$183,AU$6:AU$183,"&gt;"&amp;0,BH$6:BH$183,"="&amp;BH121)</f>
        <v>0</v>
      </c>
      <c r="AZ121" s="169">
        <f>IF(AW121&gt;Adjustments!$J$6,Adjustments!$L$6,IF(AW121&gt;Adjustments!$J$7,Adjustments!$L$7,IF(AW121&gt;Adjustments!$J$8,Adjustments!$L$8,IF(AW121&lt;Adjustments!$J$10,Adjustments!$L$10,IF(AW121&lt;Adjustments!$J$9,Adjustments!$L$9,0)))))</f>
        <v>0.3</v>
      </c>
      <c r="BA121" s="169">
        <f>INDEX(Adjustments!$C$4:$C$2520,MATCH(AR121,Adjustments!$B$4:$B$2520,0))</f>
        <v>0</v>
      </c>
      <c r="BB121" s="153" t="str">
        <f>INDEX(AG$6:AG$182,MATCH($AR121,$AF$6:$AF$182,0))</f>
        <v>4</v>
      </c>
      <c r="BC121" s="153">
        <f>INDEX(AH$6:AH$182,MATCH($AR121,$AF$6:$AF$182,0))</f>
        <v>181</v>
      </c>
      <c r="BD121" s="153">
        <f>INDEX(AI$6:AI$182,MATCH($AR121,$AF$6:$AF$182,0))</f>
        <v>61</v>
      </c>
      <c r="BE121" s="153">
        <f>BC121-AO121</f>
        <v>65</v>
      </c>
      <c r="BF121" s="153"/>
      <c r="BG121" s="153"/>
      <c r="BH121" s="195" t="str">
        <f>INDEX($AE$6:$AE$182,MATCH(AR121,$AF$6:$AF$182,0))</f>
        <v>WR</v>
      </c>
      <c r="BI121" s="195">
        <f>SUMIF($BH$6:BH121,BH121,$BK$6:BK121)</f>
        <v>46</v>
      </c>
      <c r="BJ121" s="194">
        <v>1</v>
      </c>
      <c r="BK121" s="194">
        <f t="shared" si="12"/>
        <v>1</v>
      </c>
      <c r="BL121" s="194" t="str">
        <f>IF('Real Time Draft Tool'!B121="y","y","")</f>
        <v/>
      </c>
      <c r="BM121" s="194" t="str">
        <f t="shared" si="13"/>
        <v>WR 46</v>
      </c>
    </row>
    <row r="122" spans="31:65" x14ac:dyDescent="0.25">
      <c r="AE122" s="195" t="s">
        <v>260</v>
      </c>
      <c r="AF122" s="195" t="str">
        <f t="shared" si="16"/>
        <v>Julian Edelman</v>
      </c>
      <c r="AG122" s="195" t="str">
        <f t="shared" si="16"/>
        <v>10</v>
      </c>
      <c r="AH122" s="195">
        <f t="shared" si="17"/>
        <v>64</v>
      </c>
      <c r="AI122" s="195">
        <f t="shared" si="15"/>
        <v>-4</v>
      </c>
      <c r="AJ122" s="195">
        <f t="shared" si="18"/>
        <v>2.1856127999999999</v>
      </c>
      <c r="AK122" s="195">
        <f t="shared" si="18"/>
        <v>1.4573807925872597</v>
      </c>
      <c r="AL122" s="195">
        <f t="shared" si="18"/>
        <v>0.1557758131283542</v>
      </c>
      <c r="AM122" s="195" t="str">
        <f t="shared" si="18"/>
        <v>6-</v>
      </c>
      <c r="AN122" s="153"/>
      <c r="AO122" s="153">
        <v>117</v>
      </c>
      <c r="AP122" s="153">
        <v>114</v>
      </c>
      <c r="AQ122" s="153">
        <f>AP122-AO122</f>
        <v>-3</v>
      </c>
      <c r="AR122" s="86" t="s">
        <v>178</v>
      </c>
      <c r="AS122" s="153" t="str">
        <f>BH122&amp;" "&amp;BI122</f>
        <v>WR 47</v>
      </c>
      <c r="AT122" s="153">
        <f>IF(AU122&gt;8,1,IF(AU122&gt;6.4,2,IF(AU122&gt;6,3,IF(AU122&gt;5,4,IF(AU122&gt;3.5,5,IF(AU122&gt;2.5,6,IF(AU122&gt;1.5,7,IF(AU122&gt;0.5,8,IF(AU122&gt;-0.5,9,10)))))))))</f>
        <v>9</v>
      </c>
      <c r="AU122" s="169">
        <f>SUM(AV122,AZ122,BA122)</f>
        <v>-0.18639017500000027</v>
      </c>
      <c r="AV122" s="169">
        <f>INDEX(AJ$6:AJ$182,MATCH($AR122,$AF$6:$AF$182,0))</f>
        <v>-3.6390175000000267E-2</v>
      </c>
      <c r="AW122" s="169">
        <f>INDEX(AK$6:AK$182,MATCH($AR122,$AF$6:$AF$182,0))</f>
        <v>1.1357100033619965</v>
      </c>
      <c r="AX122" s="168">
        <f>SUMIFS(AV123:AV$183,AV123:AV$183,"&gt;"&amp;0,$BH123:$BH$183,"="&amp;$BH122,$BK123:$BK$183,"="&amp;1)/SUMIFS(AV$6:AV$183,AV$6:AV$183,"&gt;"&amp;0,$BH$6:$BH$183,"="&amp;$BH122)</f>
        <v>0</v>
      </c>
      <c r="AY122" s="168">
        <f>SUMIFS(AU123:AU$183,AU123:AU$183,"&gt;"&amp;0,BH123:BH$183,"="&amp;BH122,BK123:BK$183,"="&amp;1)/SUMIFS(AU$6:AU$183,AU$6:AU$183,"&gt;"&amp;0,BH$6:BH$183,"="&amp;BH122)</f>
        <v>0</v>
      </c>
      <c r="AZ122" s="169">
        <f>IF(AW122&gt;Adjustments!$J$6,Adjustments!$L$6,IF(AW122&gt;Adjustments!$J$7,Adjustments!$L$7,IF(AW122&gt;Adjustments!$J$8,Adjustments!$L$8,IF(AW122&lt;Adjustments!$J$10,Adjustments!$L$10,IF(AW122&lt;Adjustments!$J$9,Adjustments!$L$9,0)))))</f>
        <v>-0.15</v>
      </c>
      <c r="BA122" s="169">
        <f>INDEX(Adjustments!$C$4:$C$2520,MATCH(AR122,Adjustments!$B$4:$B$2520,0))</f>
        <v>0</v>
      </c>
      <c r="BB122" s="153" t="str">
        <f>INDEX(AG$6:AG$182,MATCH($AR122,$AF$6:$AF$182,0))</f>
        <v>10</v>
      </c>
      <c r="BC122" s="153">
        <f>INDEX(AH$6:AH$182,MATCH($AR122,$AF$6:$AF$182,0))</f>
        <v>124</v>
      </c>
      <c r="BD122" s="153">
        <f>INDEX(AI$6:AI$182,MATCH($AR122,$AF$6:$AF$182,0))</f>
        <v>10</v>
      </c>
      <c r="BE122" s="153">
        <f>BC122-AO122</f>
        <v>7</v>
      </c>
      <c r="BF122" s="153"/>
      <c r="BG122" s="153"/>
      <c r="BH122" s="195" t="str">
        <f>INDEX($AE$6:$AE$182,MATCH(AR122,$AF$6:$AF$182,0))</f>
        <v>WR</v>
      </c>
      <c r="BI122" s="195">
        <f>SUMIF($BH$6:BH122,BH122,$BK$6:BK122)</f>
        <v>47</v>
      </c>
      <c r="BJ122" s="194">
        <v>1</v>
      </c>
      <c r="BK122" s="194">
        <f t="shared" si="12"/>
        <v>1</v>
      </c>
      <c r="BL122" s="194" t="str">
        <f>IF('Real Time Draft Tool'!B122="y","y","")</f>
        <v/>
      </c>
      <c r="BM122" s="194" t="str">
        <f t="shared" si="13"/>
        <v>WR 47</v>
      </c>
    </row>
    <row r="123" spans="31:65" x14ac:dyDescent="0.25">
      <c r="AE123" s="195" t="s">
        <v>260</v>
      </c>
      <c r="AF123" s="195" t="str">
        <f t="shared" si="16"/>
        <v>Mike Wallace</v>
      </c>
      <c r="AG123" s="195" t="str">
        <f t="shared" si="16"/>
        <v>5</v>
      </c>
      <c r="AH123" s="195">
        <f t="shared" si="17"/>
        <v>77</v>
      </c>
      <c r="AI123" s="195">
        <f t="shared" si="15"/>
        <v>8</v>
      </c>
      <c r="AJ123" s="195">
        <f t="shared" si="18"/>
        <v>2.1721139016666666</v>
      </c>
      <c r="AK123" s="195">
        <f t="shared" si="18"/>
        <v>0.37046537783954053</v>
      </c>
      <c r="AL123" s="195">
        <f t="shared" si="18"/>
        <v>0.13951040126063755</v>
      </c>
      <c r="AM123" s="195" t="str">
        <f t="shared" si="18"/>
        <v>6</v>
      </c>
      <c r="AN123" s="153"/>
      <c r="AO123" s="153">
        <v>118</v>
      </c>
      <c r="AP123" s="153">
        <v>116</v>
      </c>
      <c r="AQ123" s="153">
        <f>AP123-AO123</f>
        <v>-2</v>
      </c>
      <c r="AR123" s="86" t="s">
        <v>182</v>
      </c>
      <c r="AS123" s="153" t="str">
        <f>BH123&amp;" "&amp;BI123</f>
        <v>WR 48</v>
      </c>
      <c r="AT123" s="153">
        <f>IF(AU123&gt;8,1,IF(AU123&gt;6.4,2,IF(AU123&gt;6,3,IF(AU123&gt;5,4,IF(AU123&gt;3.5,5,IF(AU123&gt;2.5,6,IF(AU123&gt;1.5,7,IF(AU123&gt;0.5,8,IF(AU123&gt;-0.5,9,10)))))))))</f>
        <v>9</v>
      </c>
      <c r="AU123" s="169">
        <f>SUM(AV123,AZ123,BA123)</f>
        <v>-0.22105683166666645</v>
      </c>
      <c r="AV123" s="169">
        <f>INDEX(AJ$6:AJ$182,MATCH($AR123,$AF$6:$AF$182,0))</f>
        <v>-7.1056831666666459E-2</v>
      </c>
      <c r="AW123" s="169">
        <f>INDEX(AK$6:AK$182,MATCH($AR123,$AF$6:$AF$182,0))</f>
        <v>1.0640842291728534</v>
      </c>
      <c r="AX123" s="168">
        <f>SUMIFS(AV124:AV$183,AV124:AV$183,"&gt;"&amp;0,$BH124:$BH$183,"="&amp;$BH123,$BK124:$BK$183,"="&amp;1)/SUMIFS(AV$6:AV$183,AV$6:AV$183,"&gt;"&amp;0,$BH$6:$BH$183,"="&amp;$BH123)</f>
        <v>0</v>
      </c>
      <c r="AY123" s="168">
        <f>SUMIFS(AU124:AU$183,AU124:AU$183,"&gt;"&amp;0,BH124:BH$183,"="&amp;BH123,BK124:BK$183,"="&amp;1)/SUMIFS(AU$6:AU$183,AU$6:AU$183,"&gt;"&amp;0,BH$6:BH$183,"="&amp;BH123)</f>
        <v>0</v>
      </c>
      <c r="AZ123" s="169">
        <f>IF(AW123&gt;Adjustments!$J$6,Adjustments!$L$6,IF(AW123&gt;Adjustments!$J$7,Adjustments!$L$7,IF(AW123&gt;Adjustments!$J$8,Adjustments!$L$8,IF(AW123&lt;Adjustments!$J$10,Adjustments!$L$10,IF(AW123&lt;Adjustments!$J$9,Adjustments!$L$9,0)))))</f>
        <v>-0.15</v>
      </c>
      <c r="BA123" s="169">
        <f>INDEX(Adjustments!$C$4:$C$2520,MATCH(AR123,Adjustments!$B$4:$B$2520,0))</f>
        <v>0</v>
      </c>
      <c r="BB123" s="153" t="str">
        <f>INDEX(AG$6:AG$182,MATCH($AR123,$AF$6:$AF$182,0))</f>
        <v>5</v>
      </c>
      <c r="BC123" s="153">
        <f>INDEX(AH$6:AH$182,MATCH($AR123,$AF$6:$AF$182,0))</f>
        <v>149</v>
      </c>
      <c r="BD123" s="153">
        <f>INDEX(AI$6:AI$182,MATCH($AR123,$AF$6:$AF$182,0))</f>
        <v>33</v>
      </c>
      <c r="BE123" s="153">
        <f>BC123-AO123</f>
        <v>31</v>
      </c>
      <c r="BF123" s="153"/>
      <c r="BG123" s="153"/>
      <c r="BH123" s="195" t="str">
        <f>INDEX($AE$6:$AE$182,MATCH(AR123,$AF$6:$AF$182,0))</f>
        <v>WR</v>
      </c>
      <c r="BI123" s="195">
        <f>SUMIF($BH$6:BH123,BH123,$BK$6:BK123)</f>
        <v>48</v>
      </c>
      <c r="BJ123" s="194">
        <v>1</v>
      </c>
      <c r="BK123" s="194">
        <f t="shared" si="12"/>
        <v>1</v>
      </c>
      <c r="BL123" s="194" t="str">
        <f>IF('Real Time Draft Tool'!B123="y","y","")</f>
        <v/>
      </c>
      <c r="BM123" s="194" t="str">
        <f t="shared" si="13"/>
        <v>WR 48</v>
      </c>
    </row>
    <row r="124" spans="31:65" x14ac:dyDescent="0.25">
      <c r="AE124" s="195" t="s">
        <v>260</v>
      </c>
      <c r="AF124" s="195" t="str">
        <f t="shared" si="16"/>
        <v>Marques Colston</v>
      </c>
      <c r="AG124" s="195" t="str">
        <f t="shared" si="16"/>
        <v>6</v>
      </c>
      <c r="AH124" s="195">
        <f t="shared" si="17"/>
        <v>79</v>
      </c>
      <c r="AI124" s="195">
        <f t="shared" si="15"/>
        <v>7</v>
      </c>
      <c r="AJ124" s="195">
        <f t="shared" si="18"/>
        <v>1.9634169766666665</v>
      </c>
      <c r="AK124" s="195">
        <f t="shared" si="18"/>
        <v>0.9677383270786416</v>
      </c>
      <c r="AL124" s="195">
        <f t="shared" si="18"/>
        <v>0.12480777182253765</v>
      </c>
      <c r="AM124" s="195" t="str">
        <f t="shared" si="18"/>
        <v>6</v>
      </c>
      <c r="AN124" s="153"/>
      <c r="AO124" s="153">
        <v>119</v>
      </c>
      <c r="AP124" s="153">
        <v>117</v>
      </c>
      <c r="AQ124" s="153">
        <f>AP124-AO124</f>
        <v>-2</v>
      </c>
      <c r="AR124" s="153" t="s">
        <v>171</v>
      </c>
      <c r="AS124" s="153" t="str">
        <f>BH124&amp;" "&amp;BI124</f>
        <v>WR 49</v>
      </c>
      <c r="AT124" s="153">
        <f>IF(AU124&gt;8,1,IF(AU124&gt;6.4,2,IF(AU124&gt;6,3,IF(AU124&gt;5,4,IF(AU124&gt;3.5,5,IF(AU124&gt;2.5,6,IF(AU124&gt;1.5,7,IF(AU124&gt;0.5,8,IF(AU124&gt;-0.5,9,10)))))))))</f>
        <v>9</v>
      </c>
      <c r="AU124" s="169">
        <f>SUM(AV124,AZ124,BA124)</f>
        <v>-0.31314015500000014</v>
      </c>
      <c r="AV124" s="169">
        <f>INDEX(AJ$6:AJ$182,MATCH($AR124,$AF$6:$AF$182,0))</f>
        <v>-0.16314015500000012</v>
      </c>
      <c r="AW124" s="169">
        <f>INDEX(AK$6:AK$182,MATCH($AR124,$AF$6:$AF$182,0))</f>
        <v>1.11729696591012</v>
      </c>
      <c r="AX124" s="168">
        <f>SUMIFS(AV125:AV$183,AV125:AV$183,"&gt;"&amp;0,$BH125:$BH$183,"="&amp;$BH124,$BK125:$BK$183,"="&amp;1)/SUMIFS(AV$6:AV$183,AV$6:AV$183,"&gt;"&amp;0,$BH$6:$BH$183,"="&amp;$BH124)</f>
        <v>0</v>
      </c>
      <c r="AY124" s="168">
        <f>SUMIFS(AU125:AU$183,AU125:AU$183,"&gt;"&amp;0,BH125:BH$183,"="&amp;BH124,BK125:BK$183,"="&amp;1)/SUMIFS(AU$6:AU$183,AU$6:AU$183,"&gt;"&amp;0,BH$6:BH$183,"="&amp;BH124)</f>
        <v>0</v>
      </c>
      <c r="AZ124" s="169">
        <f>IF(AW124&gt;Adjustments!$J$6,Adjustments!$L$6,IF(AW124&gt;Adjustments!$J$7,Adjustments!$L$7,IF(AW124&gt;Adjustments!$J$8,Adjustments!$L$8,IF(AW124&lt;Adjustments!$J$10,Adjustments!$L$10,IF(AW124&lt;Adjustments!$J$9,Adjustments!$L$9,0)))))</f>
        <v>-0.15</v>
      </c>
      <c r="BA124" s="169">
        <f>INDEX(Adjustments!$C$4:$C$2520,MATCH(AR124,Adjustments!$B$4:$B$2520,0))</f>
        <v>0</v>
      </c>
      <c r="BB124" s="153" t="str">
        <f>INDEX(AG$6:AG$182,MATCH($AR124,$AF$6:$AF$182,0))</f>
        <v>10</v>
      </c>
      <c r="BC124" s="153">
        <f>INDEX(AH$6:AH$182,MATCH($AR124,$AF$6:$AF$182,0))</f>
        <v>121</v>
      </c>
      <c r="BD124" s="153">
        <f>INDEX(AI$6:AI$182,MATCH($AR124,$AF$6:$AF$182,0))</f>
        <v>4</v>
      </c>
      <c r="BE124" s="153">
        <f>BC124-AO124</f>
        <v>2</v>
      </c>
      <c r="BF124" s="153"/>
      <c r="BG124" s="153"/>
      <c r="BH124" s="195" t="str">
        <f>INDEX($AE$6:$AE$182,MATCH(AR124,$AF$6:$AF$182,0))</f>
        <v>WR</v>
      </c>
      <c r="BI124" s="195">
        <f>SUMIF($BH$6:BH124,BH124,$BK$6:BK124)</f>
        <v>49</v>
      </c>
      <c r="BJ124" s="194">
        <v>1</v>
      </c>
      <c r="BK124" s="194">
        <f t="shared" si="12"/>
        <v>1</v>
      </c>
      <c r="BL124" s="194" t="str">
        <f>IF('Real Time Draft Tool'!B124="y","y","")</f>
        <v/>
      </c>
      <c r="BM124" s="194" t="str">
        <f t="shared" si="13"/>
        <v>WR 49</v>
      </c>
    </row>
    <row r="125" spans="31:65" x14ac:dyDescent="0.25">
      <c r="AE125" s="195" t="s">
        <v>260</v>
      </c>
      <c r="AF125" s="195" t="str">
        <f t="shared" si="16"/>
        <v>Torrey Smith</v>
      </c>
      <c r="AG125" s="195" t="str">
        <f t="shared" si="16"/>
        <v>11</v>
      </c>
      <c r="AH125" s="195">
        <f t="shared" si="17"/>
        <v>68</v>
      </c>
      <c r="AI125" s="195">
        <f t="shared" si="15"/>
        <v>-5</v>
      </c>
      <c r="AJ125" s="195">
        <f t="shared" si="18"/>
        <v>1.9595512816666667</v>
      </c>
      <c r="AK125" s="195">
        <f t="shared" si="18"/>
        <v>1.0550668378825032</v>
      </c>
      <c r="AL125" s="195">
        <f t="shared" si="18"/>
        <v>0.11013408981729647</v>
      </c>
      <c r="AM125" s="195" t="str">
        <f t="shared" si="18"/>
        <v>6</v>
      </c>
      <c r="AN125" s="153"/>
      <c r="AO125" s="153">
        <v>120</v>
      </c>
      <c r="AP125" s="153">
        <v>124</v>
      </c>
      <c r="AQ125" s="153">
        <f>AP125-AO125</f>
        <v>4</v>
      </c>
      <c r="AR125" s="86" t="s">
        <v>200</v>
      </c>
      <c r="AS125" s="153" t="str">
        <f>BH125&amp;" "&amp;BI125</f>
        <v>TE 17</v>
      </c>
      <c r="AT125" s="153">
        <f>IF(AU125&gt;8,1,IF(AU125&gt;6.4,2,IF(AU125&gt;6,3,IF(AU125&gt;5,4,IF(AU125&gt;3.5,5,IF(AU125&gt;2.5,6,IF(AU125&gt;1.5,7,IF(AU125&gt;0.5,8,IF(AU125&gt;-0.5,9,10)))))))))</f>
        <v>9</v>
      </c>
      <c r="AU125" s="169">
        <f>SUM(AV125,AZ125,BA125)</f>
        <v>-0.42899982000000031</v>
      </c>
      <c r="AV125" s="169">
        <f>INDEX(AJ$6:AJ$182,MATCH($AR125,$AF$6:$AF$182,0))</f>
        <v>-0.62899982000000032</v>
      </c>
      <c r="AW125" s="169">
        <f>INDEX(AK$6:AK$182,MATCH($AR125,$AF$6:$AF$182,0))</f>
        <v>0.77857913272132517</v>
      </c>
      <c r="AX125" s="168">
        <f>SUMIFS(AV126:AV$183,AV126:AV$183,"&gt;"&amp;0,$BH126:$BH$183,"="&amp;$BH125,$BK126:$BK$183,"="&amp;1)/SUMIFS(AV$6:AV$183,AV$6:AV$183,"&gt;"&amp;0,$BH$6:$BH$183,"="&amp;$BH125)</f>
        <v>0</v>
      </c>
      <c r="AY125" s="168">
        <f>SUMIFS(AU126:AU$183,AU126:AU$183,"&gt;"&amp;0,BH126:BH$183,"="&amp;BH125,BK126:BK$183,"="&amp;1)/SUMIFS(AU$6:AU$183,AU$6:AU$183,"&gt;"&amp;0,BH$6:BH$183,"="&amp;BH125)</f>
        <v>0</v>
      </c>
      <c r="AZ125" s="169">
        <f>IF(AW125&gt;Adjustments!$J$6,Adjustments!$L$6,IF(AW125&gt;Adjustments!$J$7,Adjustments!$L$7,IF(AW125&gt;Adjustments!$J$8,Adjustments!$L$8,IF(AW125&lt;Adjustments!$J$10,Adjustments!$L$10,IF(AW125&lt;Adjustments!$J$9,Adjustments!$L$9,0)))))</f>
        <v>0.2</v>
      </c>
      <c r="BA125" s="169">
        <f>INDEX(Adjustments!$C$4:$C$2520,MATCH(AR125,Adjustments!$B$4:$B$2520,0))</f>
        <v>0</v>
      </c>
      <c r="BB125" s="153" t="str">
        <f>INDEX(AG$6:AG$182,MATCH($AR125,$AF$6:$AF$182,0))</f>
        <v>10</v>
      </c>
      <c r="BC125" s="153">
        <f>INDEX(AH$6:AH$182,MATCH($AR125,$AF$6:$AF$182,0))</f>
        <v>148</v>
      </c>
      <c r="BD125" s="153">
        <f>INDEX(AI$6:AI$182,MATCH($AR125,$AF$6:$AF$182,0))</f>
        <v>24</v>
      </c>
      <c r="BE125" s="153">
        <f>BC125-AO125</f>
        <v>28</v>
      </c>
      <c r="BF125" s="153"/>
      <c r="BG125" s="153"/>
      <c r="BH125" s="195" t="str">
        <f>INDEX($AE$6:$AE$182,MATCH(AR125,$AF$6:$AF$182,0))</f>
        <v>TE</v>
      </c>
      <c r="BI125" s="195">
        <f>SUMIF($BH$6:BH125,BH125,$BK$6:BK125)</f>
        <v>17</v>
      </c>
      <c r="BJ125" s="194">
        <v>1</v>
      </c>
      <c r="BK125" s="194">
        <f t="shared" si="12"/>
        <v>1</v>
      </c>
      <c r="BL125" s="194" t="str">
        <f>IF('Real Time Draft Tool'!B125="y","y","")</f>
        <v/>
      </c>
      <c r="BM125" s="194" t="str">
        <f t="shared" si="13"/>
        <v>TE 17</v>
      </c>
    </row>
    <row r="126" spans="31:65" x14ac:dyDescent="0.25">
      <c r="AE126" s="195" t="s">
        <v>260</v>
      </c>
      <c r="AF126" s="195" t="str">
        <f t="shared" si="16"/>
        <v>Jeremy Maclin</v>
      </c>
      <c r="AG126" s="195" t="str">
        <f t="shared" si="16"/>
        <v>7</v>
      </c>
      <c r="AH126" s="195">
        <f t="shared" si="17"/>
        <v>69</v>
      </c>
      <c r="AI126" s="195">
        <f t="shared" si="15"/>
        <v>-5</v>
      </c>
      <c r="AJ126" s="195">
        <f t="shared" si="18"/>
        <v>1.9125128200000001</v>
      </c>
      <c r="AK126" s="195">
        <f t="shared" si="18"/>
        <v>1.4038875010168599</v>
      </c>
      <c r="AL126" s="195">
        <f t="shared" si="18"/>
        <v>9.5812645303857608E-2</v>
      </c>
      <c r="AM126" s="195" t="str">
        <f t="shared" si="18"/>
        <v>6</v>
      </c>
      <c r="AN126" s="153"/>
      <c r="AO126" s="153">
        <v>121</v>
      </c>
      <c r="AP126" s="153">
        <v>126</v>
      </c>
      <c r="AQ126" s="153">
        <f>AP126-AO126</f>
        <v>5</v>
      </c>
      <c r="AR126" s="86" t="s">
        <v>208</v>
      </c>
      <c r="AS126" s="153" t="str">
        <f>BH126&amp;" "&amp;BI126</f>
        <v>WR 50</v>
      </c>
      <c r="AT126" s="153">
        <f>IF(AU126&gt;8,1,IF(AU126&gt;6.4,2,IF(AU126&gt;6,3,IF(AU126&gt;5,4,IF(AU126&gt;3.5,5,IF(AU126&gt;2.5,6,IF(AU126&gt;1.5,7,IF(AU126&gt;0.5,8,IF(AU126&gt;-0.5,9,10)))))))))</f>
        <v>9</v>
      </c>
      <c r="AU126" s="169">
        <f>SUM(AV126,AZ126,BA126)</f>
        <v>-0.48071210000000025</v>
      </c>
      <c r="AV126" s="169">
        <f>INDEX(AJ$6:AJ$182,MATCH($AR126,$AF$6:$AF$182,0))</f>
        <v>-0.68071210000000026</v>
      </c>
      <c r="AW126" s="169">
        <f>INDEX(AK$6:AK$182,MATCH($AR126,$AF$6:$AF$182,0))</f>
        <v>0.74406912622569732</v>
      </c>
      <c r="AX126" s="168">
        <f>SUMIFS(AV127:AV$183,AV127:AV$183,"&gt;"&amp;0,$BH127:$BH$183,"="&amp;$BH126,$BK127:$BK$183,"="&amp;1)/SUMIFS(AV$6:AV$183,AV$6:AV$183,"&gt;"&amp;0,$BH$6:$BH$183,"="&amp;$BH126)</f>
        <v>0</v>
      </c>
      <c r="AY126" s="168">
        <f>SUMIFS(AU127:AU$183,AU127:AU$183,"&gt;"&amp;0,BH127:BH$183,"="&amp;BH126,BK127:BK$183,"="&amp;1)/SUMIFS(AU$6:AU$183,AU$6:AU$183,"&gt;"&amp;0,BH$6:BH$183,"="&amp;BH126)</f>
        <v>0</v>
      </c>
      <c r="AZ126" s="169">
        <f>IF(AW126&gt;Adjustments!$J$6,Adjustments!$L$6,IF(AW126&gt;Adjustments!$J$7,Adjustments!$L$7,IF(AW126&gt;Adjustments!$J$8,Adjustments!$L$8,IF(AW126&lt;Adjustments!$J$10,Adjustments!$L$10,IF(AW126&lt;Adjustments!$J$9,Adjustments!$L$9,0)))))</f>
        <v>0.2</v>
      </c>
      <c r="BA126" s="169">
        <f>INDEX(Adjustments!$C$4:$C$2520,MATCH(AR126,Adjustments!$B$4:$B$2520,0))</f>
        <v>0</v>
      </c>
      <c r="BB126" s="153" t="str">
        <f>INDEX(AG$6:AG$182,MATCH($AR126,$AF$6:$AF$182,0))</f>
        <v>6</v>
      </c>
      <c r="BC126" s="153">
        <f>INDEX(AH$6:AH$182,MATCH($AR126,$AF$6:$AF$182,0))</f>
        <v>142</v>
      </c>
      <c r="BD126" s="153">
        <f>INDEX(AI$6:AI$182,MATCH($AR126,$AF$6:$AF$182,0))</f>
        <v>16</v>
      </c>
      <c r="BE126" s="153">
        <f>BC126-AO126</f>
        <v>21</v>
      </c>
      <c r="BF126" s="153"/>
      <c r="BG126" s="153"/>
      <c r="BH126" s="195" t="str">
        <f>INDEX($AE$6:$AE$182,MATCH(AR126,$AF$6:$AF$182,0))</f>
        <v>WR</v>
      </c>
      <c r="BI126" s="195">
        <f>SUMIF($BH$6:BH126,BH126,$BK$6:BK126)</f>
        <v>50</v>
      </c>
      <c r="BJ126" s="194">
        <v>1</v>
      </c>
      <c r="BK126" s="194">
        <f t="shared" si="12"/>
        <v>1</v>
      </c>
      <c r="BL126" s="194" t="str">
        <f>IF('Real Time Draft Tool'!B126="y","y","")</f>
        <v/>
      </c>
      <c r="BM126" s="194" t="str">
        <f t="shared" si="13"/>
        <v>WR 50</v>
      </c>
    </row>
    <row r="127" spans="31:65" x14ac:dyDescent="0.25">
      <c r="AE127" s="195" t="s">
        <v>260</v>
      </c>
      <c r="AF127" s="195" t="str">
        <f t="shared" si="16"/>
        <v>T.Y. Hilton</v>
      </c>
      <c r="AG127" s="195" t="str">
        <f t="shared" si="16"/>
        <v>10</v>
      </c>
      <c r="AH127" s="195">
        <f t="shared" si="17"/>
        <v>63</v>
      </c>
      <c r="AI127" s="195">
        <f t="shared" si="15"/>
        <v>-12</v>
      </c>
      <c r="AJ127" s="195">
        <f t="shared" si="18"/>
        <v>1.8886366136363639</v>
      </c>
      <c r="AK127" s="195">
        <f t="shared" si="18"/>
        <v>0.97289363089983016</v>
      </c>
      <c r="AL127" s="195">
        <f t="shared" si="18"/>
        <v>8.1669992671473055E-2</v>
      </c>
      <c r="AM127" s="195" t="str">
        <f t="shared" si="18"/>
        <v>6</v>
      </c>
      <c r="AN127" s="153"/>
      <c r="AO127" s="153">
        <v>122</v>
      </c>
      <c r="AP127" s="153">
        <v>122</v>
      </c>
      <c r="AQ127" s="153">
        <f>AP127-AO127</f>
        <v>0</v>
      </c>
      <c r="AR127" s="86" t="s">
        <v>87</v>
      </c>
      <c r="AS127" s="153" t="str">
        <f>BH127&amp;" "&amp;BI127</f>
        <v>QB 18</v>
      </c>
      <c r="AT127" s="153">
        <f>IF(AU127&gt;8,1,IF(AU127&gt;6.4,2,IF(AU127&gt;6,3,IF(AU127&gt;5,4,IF(AU127&gt;3.5,5,IF(AU127&gt;2.5,6,IF(AU127&gt;1.5,7,IF(AU127&gt;0.5,8,IF(AU127&gt;-0.5,9,10)))))))))</f>
        <v>10</v>
      </c>
      <c r="AU127" s="169">
        <f>SUM(AV127,AZ127,BA127)</f>
        <v>-0.59750083166666634</v>
      </c>
      <c r="AV127" s="169">
        <f>INDEX(AJ$6:AJ$182,MATCH($AR127,$AF$6:$AF$182,0))</f>
        <v>-0.59750083166666634</v>
      </c>
      <c r="AW127" s="169">
        <f>INDEX(AK$6:AK$182,MATCH($AR127,$AF$6:$AF$182,0))</f>
        <v>0.87546707988796901</v>
      </c>
      <c r="AX127" s="168">
        <f>SUMIFS(AV128:AV$183,AV128:AV$183,"&gt;"&amp;0,$BH128:$BH$183,"="&amp;$BH127,$BK128:$BK$183,"="&amp;1)/SUMIFS(AV$6:AV$183,AV$6:AV$183,"&gt;"&amp;0,$BH$6:$BH$183,"="&amp;$BH127)</f>
        <v>0</v>
      </c>
      <c r="AY127" s="168">
        <f>SUMIFS(AU128:AU$183,AU128:AU$183,"&gt;"&amp;0,BH128:BH$183,"="&amp;BH127,BK128:BK$183,"="&amp;1)/SUMIFS(AU$6:AU$183,AU$6:AU$183,"&gt;"&amp;0,BH$6:BH$183,"="&amp;BH127)</f>
        <v>0</v>
      </c>
      <c r="AZ127" s="169">
        <f>IF(AW127&gt;Adjustments!$J$6,Adjustments!$L$6,IF(AW127&gt;Adjustments!$J$7,Adjustments!$L$7,IF(AW127&gt;Adjustments!$J$8,Adjustments!$L$8,IF(AW127&lt;Adjustments!$J$10,Adjustments!$L$10,IF(AW127&lt;Adjustments!$J$9,Adjustments!$L$9,0)))))</f>
        <v>0</v>
      </c>
      <c r="BA127" s="169">
        <f>INDEX(Adjustments!$C$4:$C$2520,MATCH(AR127,Adjustments!$B$4:$B$2520,0))</f>
        <v>0</v>
      </c>
      <c r="BB127" s="153" t="str">
        <f>INDEX(AG$6:AG$182,MATCH($AR127,$AF$6:$AF$182,0))</f>
        <v>6</v>
      </c>
      <c r="BC127" s="153">
        <f>INDEX(AH$6:AH$182,MATCH($AR127,$AF$6:$AF$182,0))</f>
        <v>170</v>
      </c>
      <c r="BD127" s="153">
        <f>INDEX(AI$6:AI$182,MATCH($AR127,$AF$6:$AF$182,0))</f>
        <v>48</v>
      </c>
      <c r="BE127" s="153">
        <f>BC127-AO127</f>
        <v>48</v>
      </c>
      <c r="BF127" s="153"/>
      <c r="BG127" s="153"/>
      <c r="BH127" s="195" t="str">
        <f>INDEX($AE$6:$AE$182,MATCH(AR127,$AF$6:$AF$182,0))</f>
        <v>QB</v>
      </c>
      <c r="BI127" s="195">
        <f>SUMIF($BH$6:BH127,BH127,$BK$6:BK127)</f>
        <v>18</v>
      </c>
      <c r="BJ127" s="194">
        <v>1</v>
      </c>
      <c r="BK127" s="194">
        <f t="shared" si="12"/>
        <v>1</v>
      </c>
      <c r="BL127" s="194" t="str">
        <f>IF('Real Time Draft Tool'!B127="y","y","")</f>
        <v/>
      </c>
      <c r="BM127" s="194" t="str">
        <f t="shared" si="13"/>
        <v>QB 18</v>
      </c>
    </row>
    <row r="128" spans="31:65" x14ac:dyDescent="0.25">
      <c r="AE128" s="195" t="s">
        <v>260</v>
      </c>
      <c r="AF128" s="195" t="str">
        <f t="shared" si="16"/>
        <v>Eric Decker</v>
      </c>
      <c r="AG128" s="195" t="str">
        <f t="shared" si="16"/>
        <v>11</v>
      </c>
      <c r="AH128" s="195">
        <f t="shared" si="17"/>
        <v>89</v>
      </c>
      <c r="AI128" s="195">
        <f t="shared" si="15"/>
        <v>12</v>
      </c>
      <c r="AJ128" s="195">
        <f t="shared" si="18"/>
        <v>1.657078405</v>
      </c>
      <c r="AK128" s="195">
        <f t="shared" si="18"/>
        <v>1.0524717548861318</v>
      </c>
      <c r="AL128" s="195">
        <f t="shared" si="18"/>
        <v>6.926131431729339E-2</v>
      </c>
      <c r="AM128" s="195" t="str">
        <f t="shared" si="18"/>
        <v>6</v>
      </c>
      <c r="AN128" s="153"/>
      <c r="AO128" s="153">
        <v>123</v>
      </c>
      <c r="AP128" s="153">
        <v>128</v>
      </c>
      <c r="AQ128" s="153">
        <f>AP128-AO128</f>
        <v>5</v>
      </c>
      <c r="AR128" s="86" t="s">
        <v>203</v>
      </c>
      <c r="AS128" s="153" t="str">
        <f>BH128&amp;" "&amp;BI128</f>
        <v>TE 18</v>
      </c>
      <c r="AT128" s="153">
        <f>IF(AU128&gt;8,1,IF(AU128&gt;6.4,2,IF(AU128&gt;6,3,IF(AU128&gt;5,4,IF(AU128&gt;3.5,5,IF(AU128&gt;2.5,6,IF(AU128&gt;1.5,7,IF(AU128&gt;0.5,8,IF(AU128&gt;-0.5,9,10)))))))))</f>
        <v>10</v>
      </c>
      <c r="AU128" s="169">
        <f>SUM(AV128,AZ128,BA128)</f>
        <v>-0.6499998100000004</v>
      </c>
      <c r="AV128" s="169">
        <f>INDEX(AJ$6:AJ$182,MATCH($AR128,$AF$6:$AF$182,0))</f>
        <v>-0.84999981000000047</v>
      </c>
      <c r="AW128" s="169">
        <f>INDEX(AK$6:AK$182,MATCH($AR128,$AF$6:$AF$182,0))</f>
        <v>0.65678819922130482</v>
      </c>
      <c r="AX128" s="168">
        <f>SUMIFS(AV129:AV$183,AV129:AV$183,"&gt;"&amp;0,$BH129:$BH$183,"="&amp;$BH128,$BK129:$BK$183,"="&amp;1)/SUMIFS(AV$6:AV$183,AV$6:AV$183,"&gt;"&amp;0,$BH$6:$BH$183,"="&amp;$BH128)</f>
        <v>0</v>
      </c>
      <c r="AY128" s="168">
        <f>SUMIFS(AU129:AU$183,AU129:AU$183,"&gt;"&amp;0,BH129:BH$183,"="&amp;BH128,BK129:BK$183,"="&amp;1)/SUMIFS(AU$6:AU$183,AU$6:AU$183,"&gt;"&amp;0,BH$6:BH$183,"="&amp;BH128)</f>
        <v>0</v>
      </c>
      <c r="AZ128" s="169">
        <f>IF(AW128&gt;Adjustments!$J$6,Adjustments!$L$6,IF(AW128&gt;Adjustments!$J$7,Adjustments!$L$7,IF(AW128&gt;Adjustments!$J$8,Adjustments!$L$8,IF(AW128&lt;Adjustments!$J$10,Adjustments!$L$10,IF(AW128&lt;Adjustments!$J$9,Adjustments!$L$9,0)))))</f>
        <v>0.2</v>
      </c>
      <c r="BA128" s="169">
        <f>INDEX(Adjustments!$C$4:$C$2520,MATCH(AR128,Adjustments!$B$4:$B$2520,0))</f>
        <v>0</v>
      </c>
      <c r="BB128" s="153" t="str">
        <f>INDEX(AG$6:AG$182,MATCH($AR128,$AF$6:$AF$182,0))</f>
        <v>4</v>
      </c>
      <c r="BC128" s="153">
        <f>INDEX(AH$6:AH$182,MATCH($AR128,$AF$6:$AF$182,0))</f>
        <v>200</v>
      </c>
      <c r="BD128" s="153">
        <f>INDEX(AI$6:AI$182,MATCH($AR128,$AF$6:$AF$182,0))</f>
        <v>0</v>
      </c>
      <c r="BE128" s="153">
        <f>BC128-AO128</f>
        <v>77</v>
      </c>
      <c r="BF128" s="153"/>
      <c r="BG128" s="153"/>
      <c r="BH128" s="195" t="str">
        <f>INDEX($AE$6:$AE$182,MATCH(AR128,$AF$6:$AF$182,0))</f>
        <v>TE</v>
      </c>
      <c r="BI128" s="195">
        <f>SUMIF($BH$6:BH128,BH128,$BK$6:BK128)</f>
        <v>18</v>
      </c>
      <c r="BJ128" s="194">
        <v>1</v>
      </c>
      <c r="BK128" s="194">
        <f t="shared" si="12"/>
        <v>1</v>
      </c>
      <c r="BL128" s="194" t="str">
        <f>IF('Real Time Draft Tool'!B128="y","y","")</f>
        <v/>
      </c>
      <c r="BM128" s="194" t="str">
        <f t="shared" si="13"/>
        <v>TE 18</v>
      </c>
    </row>
    <row r="129" spans="31:65" x14ac:dyDescent="0.25">
      <c r="AE129" s="195" t="s">
        <v>260</v>
      </c>
      <c r="AF129" s="195" t="str">
        <f t="shared" si="16"/>
        <v>Reggie Wayne</v>
      </c>
      <c r="AG129" s="195" t="str">
        <f t="shared" si="16"/>
        <v>10</v>
      </c>
      <c r="AH129" s="195">
        <f t="shared" si="17"/>
        <v>86</v>
      </c>
      <c r="AI129" s="195">
        <f t="shared" si="15"/>
        <v>6</v>
      </c>
      <c r="AJ129" s="195">
        <f t="shared" si="18"/>
        <v>1.4468388716666667</v>
      </c>
      <c r="AK129" s="195">
        <f t="shared" si="18"/>
        <v>1.1446917919776372</v>
      </c>
      <c r="AL129" s="195">
        <f t="shared" si="18"/>
        <v>5.8426969886357406E-2</v>
      </c>
      <c r="AM129" s="195" t="str">
        <f t="shared" si="18"/>
        <v>6</v>
      </c>
      <c r="AN129" s="153"/>
      <c r="AO129" s="153">
        <v>124</v>
      </c>
      <c r="AP129" s="153">
        <v>125</v>
      </c>
      <c r="AQ129" s="153">
        <f>AP129-AO129</f>
        <v>1</v>
      </c>
      <c r="AR129" s="153" t="s">
        <v>202</v>
      </c>
      <c r="AS129" s="153" t="str">
        <f>BH129&amp;" "&amp;BI129</f>
        <v>WR 51</v>
      </c>
      <c r="AT129" s="153">
        <f>IF(AU129&gt;8,1,IF(AU129&gt;6.4,2,IF(AU129&gt;6,3,IF(AU129&gt;5,4,IF(AU129&gt;3.5,5,IF(AU129&gt;2.5,6,IF(AU129&gt;1.5,7,IF(AU129&gt;0.5,8,IF(AU129&gt;-0.5,9,10)))))))))</f>
        <v>10</v>
      </c>
      <c r="AU129" s="169">
        <f>SUM(AV129,AZ129,BA129)</f>
        <v>-0.66876085363636373</v>
      </c>
      <c r="AV129" s="169">
        <f>INDEX(AJ$6:AJ$182,MATCH($AR129,$AF$6:$AF$182,0))</f>
        <v>-0.66876085363636373</v>
      </c>
      <c r="AW129" s="169">
        <f>INDEX(AK$6:AK$182,MATCH($AR129,$AF$6:$AF$182,0))</f>
        <v>0.83933334865859721</v>
      </c>
      <c r="AX129" s="168">
        <f>SUMIFS(AV130:AV$183,AV130:AV$183,"&gt;"&amp;0,$BH130:$BH$183,"="&amp;$BH129,$BK130:$BK$183,"="&amp;1)/SUMIFS(AV$6:AV$183,AV$6:AV$183,"&gt;"&amp;0,$BH$6:$BH$183,"="&amp;$BH129)</f>
        <v>0</v>
      </c>
      <c r="AY129" s="168">
        <f>SUMIFS(AU130:AU$183,AU130:AU$183,"&gt;"&amp;0,BH130:BH$183,"="&amp;BH129,BK130:BK$183,"="&amp;1)/SUMIFS(AU$6:AU$183,AU$6:AU$183,"&gt;"&amp;0,BH$6:BH$183,"="&amp;BH129)</f>
        <v>0</v>
      </c>
      <c r="AZ129" s="169">
        <f>IF(AW129&gt;Adjustments!$J$6,Adjustments!$L$6,IF(AW129&gt;Adjustments!$J$7,Adjustments!$L$7,IF(AW129&gt;Adjustments!$J$8,Adjustments!$L$8,IF(AW129&lt;Adjustments!$J$10,Adjustments!$L$10,IF(AW129&lt;Adjustments!$J$9,Adjustments!$L$9,0)))))</f>
        <v>0</v>
      </c>
      <c r="BA129" s="169">
        <f>INDEX(Adjustments!$C$4:$C$2520,MATCH(AR129,Adjustments!$B$4:$B$2520,0))</f>
        <v>0</v>
      </c>
      <c r="BB129" s="153" t="str">
        <f>INDEX(AG$6:AG$182,MATCH($AR129,$AF$6:$AF$182,0))</f>
        <v>11</v>
      </c>
      <c r="BC129" s="153">
        <f>INDEX(AH$6:AH$182,MATCH($AR129,$AF$6:$AF$182,0))</f>
        <v>146</v>
      </c>
      <c r="BD129" s="153">
        <f>INDEX(AI$6:AI$182,MATCH($AR129,$AF$6:$AF$182,0))</f>
        <v>21</v>
      </c>
      <c r="BE129" s="153">
        <f>BC129-AO129</f>
        <v>22</v>
      </c>
      <c r="BF129" s="153"/>
      <c r="BG129" s="153"/>
      <c r="BH129" s="195" t="str">
        <f>INDEX($AE$6:$AE$182,MATCH(AR129,$AF$6:$AF$182,0))</f>
        <v>WR</v>
      </c>
      <c r="BI129" s="195">
        <f>SUMIF($BH$6:BH129,BH129,$BK$6:BK129)</f>
        <v>51</v>
      </c>
      <c r="BJ129" s="194">
        <v>1</v>
      </c>
      <c r="BK129" s="194">
        <f t="shared" si="12"/>
        <v>1</v>
      </c>
      <c r="BL129" s="194" t="str">
        <f>IF('Real Time Draft Tool'!B129="y","y","")</f>
        <v/>
      </c>
      <c r="BM129" s="194" t="str">
        <f t="shared" si="13"/>
        <v>WR 51</v>
      </c>
    </row>
    <row r="130" spans="31:65" x14ac:dyDescent="0.25">
      <c r="AE130" s="195" t="s">
        <v>260</v>
      </c>
      <c r="AF130" s="195" t="str">
        <f t="shared" si="16"/>
        <v>Emmanuel Sanders</v>
      </c>
      <c r="AG130" s="195" t="str">
        <f t="shared" si="16"/>
        <v>4</v>
      </c>
      <c r="AH130" s="195">
        <f t="shared" si="17"/>
        <v>73</v>
      </c>
      <c r="AI130" s="195">
        <f t="shared" si="15"/>
        <v>-9</v>
      </c>
      <c r="AJ130" s="195">
        <f t="shared" si="18"/>
        <v>1.4198243283333336</v>
      </c>
      <c r="AK130" s="195">
        <f t="shared" si="18"/>
        <v>1.2538020324838959</v>
      </c>
      <c r="AL130" s="195">
        <f t="shared" si="18"/>
        <v>4.7794918103793979E-2</v>
      </c>
      <c r="AM130" s="195" t="str">
        <f t="shared" si="18"/>
        <v>6</v>
      </c>
      <c r="AN130" s="153"/>
      <c r="AO130" s="153">
        <v>125</v>
      </c>
      <c r="AP130" s="153">
        <v>131</v>
      </c>
      <c r="AQ130" s="153">
        <f>AP130-AO130</f>
        <v>6</v>
      </c>
      <c r="AR130" s="153" t="s">
        <v>214</v>
      </c>
      <c r="AS130" s="153" t="str">
        <f>BH130&amp;" "&amp;BI130</f>
        <v>WR 52</v>
      </c>
      <c r="AT130" s="153">
        <f>IF(AU130&gt;8,1,IF(AU130&gt;6.4,2,IF(AU130&gt;6,3,IF(AU130&gt;5,4,IF(AU130&gt;3.5,5,IF(AU130&gt;2.5,6,IF(AU130&gt;1.5,7,IF(AU130&gt;0.5,8,IF(AU130&gt;-0.5,9,10)))))))))</f>
        <v>10</v>
      </c>
      <c r="AU130" s="169">
        <f>SUM(AV130,AZ130,BA130)</f>
        <v>-0.71373889333333329</v>
      </c>
      <c r="AV130" s="169">
        <f>INDEX(AJ$6:AJ$182,MATCH($AR130,$AF$6:$AF$182,0))</f>
        <v>-0.91373889333333325</v>
      </c>
      <c r="AW130" s="169">
        <f>INDEX(AK$6:AK$182,MATCH($AR130,$AF$6:$AF$182,0))</f>
        <v>0.61687477654581391</v>
      </c>
      <c r="AX130" s="168">
        <f>SUMIFS(AV131:AV$183,AV131:AV$183,"&gt;"&amp;0,$BH131:$BH$183,"="&amp;$BH130,$BK131:$BK$183,"="&amp;1)/SUMIFS(AV$6:AV$183,AV$6:AV$183,"&gt;"&amp;0,$BH$6:$BH$183,"="&amp;$BH130)</f>
        <v>0</v>
      </c>
      <c r="AY130" s="168">
        <f>SUMIFS(AU131:AU$183,AU131:AU$183,"&gt;"&amp;0,BH131:BH$183,"="&amp;BH130,BK131:BK$183,"="&amp;1)/SUMIFS(AU$6:AU$183,AU$6:AU$183,"&gt;"&amp;0,BH$6:BH$183,"="&amp;BH130)</f>
        <v>0</v>
      </c>
      <c r="AZ130" s="169">
        <f>IF(AW130&gt;Adjustments!$J$6,Adjustments!$L$6,IF(AW130&gt;Adjustments!$J$7,Adjustments!$L$7,IF(AW130&gt;Adjustments!$J$8,Adjustments!$L$8,IF(AW130&lt;Adjustments!$J$10,Adjustments!$L$10,IF(AW130&lt;Adjustments!$J$9,Adjustments!$L$9,0)))))</f>
        <v>0.2</v>
      </c>
      <c r="BA130" s="169">
        <f>INDEX(Adjustments!$C$4:$C$2520,MATCH(AR130,Adjustments!$B$4:$B$2520,0))</f>
        <v>0</v>
      </c>
      <c r="BB130" s="153" t="str">
        <f>INDEX(AG$6:AG$182,MATCH($AR130,$AF$6:$AF$182,0))</f>
        <v>12</v>
      </c>
      <c r="BC130" s="153">
        <f>INDEX(AH$6:AH$182,MATCH($AR130,$AF$6:$AF$182,0))</f>
        <v>141</v>
      </c>
      <c r="BD130" s="153">
        <f>INDEX(AI$6:AI$182,MATCH($AR130,$AF$6:$AF$182,0))</f>
        <v>10</v>
      </c>
      <c r="BE130" s="153">
        <f>BC130-AO130</f>
        <v>16</v>
      </c>
      <c r="BF130" s="153"/>
      <c r="BG130" s="153"/>
      <c r="BH130" s="195" t="str">
        <f>INDEX($AE$6:$AE$182,MATCH(AR130,$AF$6:$AF$182,0))</f>
        <v>WR</v>
      </c>
      <c r="BI130" s="195">
        <f>SUMIF($BH$6:BH130,BH130,$BK$6:BK130)</f>
        <v>52</v>
      </c>
      <c r="BJ130" s="194">
        <v>1</v>
      </c>
      <c r="BK130" s="194">
        <f t="shared" si="12"/>
        <v>1</v>
      </c>
      <c r="BL130" s="194" t="str">
        <f>IF('Real Time Draft Tool'!B130="y","y","")</f>
        <v/>
      </c>
      <c r="BM130" s="194" t="str">
        <f t="shared" si="13"/>
        <v>WR 52</v>
      </c>
    </row>
    <row r="131" spans="31:65" x14ac:dyDescent="0.25">
      <c r="AE131" s="195" t="s">
        <v>260</v>
      </c>
      <c r="AF131" s="195" t="str">
        <f t="shared" si="16"/>
        <v>Golden Tate</v>
      </c>
      <c r="AG131" s="195" t="str">
        <f t="shared" si="16"/>
        <v>9</v>
      </c>
      <c r="AH131" s="195">
        <f t="shared" si="17"/>
        <v>83</v>
      </c>
      <c r="AI131" s="195">
        <f t="shared" si="15"/>
        <v>-3</v>
      </c>
      <c r="AJ131" s="195">
        <f t="shared" si="18"/>
        <v>1.2071514316666667</v>
      </c>
      <c r="AK131" s="195">
        <f t="shared" si="18"/>
        <v>1.3102783734033299</v>
      </c>
      <c r="AL131" s="195">
        <f t="shared" si="18"/>
        <v>3.8755421967013939E-2</v>
      </c>
      <c r="AM131" s="195" t="str">
        <f t="shared" si="18"/>
        <v>7</v>
      </c>
      <c r="AN131" s="153"/>
      <c r="AO131" s="153">
        <v>126</v>
      </c>
      <c r="AP131" s="153">
        <v>123</v>
      </c>
      <c r="AQ131" s="153">
        <f>AP131-AO131</f>
        <v>-3</v>
      </c>
      <c r="AR131" s="86" t="s">
        <v>198</v>
      </c>
      <c r="AS131" s="153" t="str">
        <f>BH131&amp;" "&amp;BI131</f>
        <v>WR 53</v>
      </c>
      <c r="AT131" s="153">
        <f>IF(AU131&gt;8,1,IF(AU131&gt;6.4,2,IF(AU131&gt;6,3,IF(AU131&gt;5,4,IF(AU131&gt;3.5,5,IF(AU131&gt;2.5,6,IF(AU131&gt;1.5,7,IF(AU131&gt;0.5,8,IF(AU131&gt;-0.5,9,10)))))))))</f>
        <v>10</v>
      </c>
      <c r="AU131" s="169">
        <f>SUM(AV131,AZ131,BA131)</f>
        <v>-0.7587652450000002</v>
      </c>
      <c r="AV131" s="169">
        <f>INDEX(AJ$6:AJ$182,MATCH($AR131,$AF$6:$AF$182,0))</f>
        <v>-0.60876524500000018</v>
      </c>
      <c r="AW131" s="169">
        <f>INDEX(AK$6:AK$182,MATCH($AR131,$AF$6:$AF$182,0))</f>
        <v>1.1803977577774587</v>
      </c>
      <c r="AX131" s="168">
        <f>SUMIFS(AV132:AV$183,AV132:AV$183,"&gt;"&amp;0,$BH132:$BH$183,"="&amp;$BH131,$BK132:$BK$183,"="&amp;1)/SUMIFS(AV$6:AV$183,AV$6:AV$183,"&gt;"&amp;0,$BH$6:$BH$183,"="&amp;$BH131)</f>
        <v>0</v>
      </c>
      <c r="AY131" s="168">
        <f>SUMIFS(AU132:AU$183,AU132:AU$183,"&gt;"&amp;0,BH132:BH$183,"="&amp;BH131,BK132:BK$183,"="&amp;1)/SUMIFS(AU$6:AU$183,AU$6:AU$183,"&gt;"&amp;0,BH$6:BH$183,"="&amp;BH131)</f>
        <v>0</v>
      </c>
      <c r="AZ131" s="169">
        <f>IF(AW131&gt;Adjustments!$J$6,Adjustments!$L$6,IF(AW131&gt;Adjustments!$J$7,Adjustments!$L$7,IF(AW131&gt;Adjustments!$J$8,Adjustments!$L$8,IF(AW131&lt;Adjustments!$J$10,Adjustments!$L$10,IF(AW131&lt;Adjustments!$J$9,Adjustments!$L$9,0)))))</f>
        <v>-0.15</v>
      </c>
      <c r="BA131" s="169">
        <f>INDEX(Adjustments!$C$4:$C$2520,MATCH(AR131,Adjustments!$B$4:$B$2520,0))</f>
        <v>0</v>
      </c>
      <c r="BB131" s="153" t="str">
        <f>INDEX(AG$6:AG$182,MATCH($AR131,$AF$6:$AF$182,0))</f>
        <v>4</v>
      </c>
      <c r="BC131" s="153">
        <f>INDEX(AH$6:AH$182,MATCH($AR131,$AF$6:$AF$182,0))</f>
        <v>122</v>
      </c>
      <c r="BD131" s="153">
        <f>INDEX(AI$6:AI$182,MATCH($AR131,$AF$6:$AF$182,0))</f>
        <v>-1</v>
      </c>
      <c r="BE131" s="153">
        <f>BC131-AO131</f>
        <v>-4</v>
      </c>
      <c r="BF131" s="153"/>
      <c r="BG131" s="153"/>
      <c r="BH131" s="195" t="str">
        <f>INDEX($AE$6:$AE$182,MATCH(AR131,$AF$6:$AF$182,0))</f>
        <v>WR</v>
      </c>
      <c r="BI131" s="195">
        <f>SUMIF($BH$6:BH131,BH131,$BK$6:BK131)</f>
        <v>53</v>
      </c>
      <c r="BJ131" s="194">
        <v>1</v>
      </c>
      <c r="BK131" s="194">
        <f t="shared" si="12"/>
        <v>1</v>
      </c>
      <c r="BL131" s="194" t="str">
        <f>IF('Real Time Draft Tool'!B131="y","y","")</f>
        <v/>
      </c>
      <c r="BM131" s="194" t="str">
        <f t="shared" si="13"/>
        <v>WR 53</v>
      </c>
    </row>
    <row r="132" spans="31:65" x14ac:dyDescent="0.25">
      <c r="AE132" s="195" t="s">
        <v>260</v>
      </c>
      <c r="AF132" s="195" t="str">
        <f t="shared" si="16"/>
        <v>Sammy Watkins</v>
      </c>
      <c r="AG132" s="195" t="str">
        <f t="shared" si="16"/>
        <v>9</v>
      </c>
      <c r="AH132" s="195">
        <f t="shared" si="17"/>
        <v>87</v>
      </c>
      <c r="AI132" s="195">
        <f t="shared" si="15"/>
        <v>-2</v>
      </c>
      <c r="AJ132" s="195">
        <f t="shared" si="18"/>
        <v>1.0849067399999999</v>
      </c>
      <c r="AK132" s="195">
        <f t="shared" si="18"/>
        <v>0.75834246042730025</v>
      </c>
      <c r="AL132" s="195">
        <f t="shared" si="18"/>
        <v>3.0631329141761175E-2</v>
      </c>
      <c r="AM132" s="195" t="str">
        <f t="shared" si="18"/>
        <v>7-</v>
      </c>
      <c r="AN132" s="153"/>
      <c r="AO132" s="153">
        <v>127</v>
      </c>
      <c r="AP132" s="153">
        <v>121</v>
      </c>
      <c r="AQ132" s="153">
        <f>AP132-AO132</f>
        <v>-6</v>
      </c>
      <c r="AR132" s="153" t="s">
        <v>192</v>
      </c>
      <c r="AS132" s="153" t="str">
        <f>BH132&amp;" "&amp;BI132</f>
        <v>WR 54</v>
      </c>
      <c r="AT132" s="153">
        <f>IF(AU132&gt;8,1,IF(AU132&gt;6.4,2,IF(AU132&gt;6,3,IF(AU132&gt;5,4,IF(AU132&gt;3.5,5,IF(AU132&gt;2.5,6,IF(AU132&gt;1.5,7,IF(AU132&gt;0.5,8,IF(AU132&gt;-0.5,9,10)))))))))</f>
        <v>10</v>
      </c>
      <c r="AU132" s="169">
        <f>SUM(AV132,AZ132,BA132)</f>
        <v>-0.77763489666666674</v>
      </c>
      <c r="AV132" s="169">
        <f>INDEX(AJ$6:AJ$182,MATCH($AR132,$AF$6:$AF$182,0))</f>
        <v>-0.47763489666666675</v>
      </c>
      <c r="AW132" s="169">
        <f>INDEX(AK$6:AK$182,MATCH($AR132,$AF$6:$AF$182,0))</f>
        <v>1.4704983669915488</v>
      </c>
      <c r="AX132" s="168">
        <f>SUMIFS(AV133:AV$183,AV133:AV$183,"&gt;"&amp;0,$BH133:$BH$183,"="&amp;$BH132,$BK133:$BK$183,"="&amp;1)/SUMIFS(AV$6:AV$183,AV$6:AV$183,"&gt;"&amp;0,$BH$6:$BH$183,"="&amp;$BH132)</f>
        <v>0</v>
      </c>
      <c r="AY132" s="168">
        <f>SUMIFS(AU133:AU$183,AU133:AU$183,"&gt;"&amp;0,BH133:BH$183,"="&amp;BH132,BK133:BK$183,"="&amp;1)/SUMIFS(AU$6:AU$183,AU$6:AU$183,"&gt;"&amp;0,BH$6:BH$183,"="&amp;BH132)</f>
        <v>0</v>
      </c>
      <c r="AZ132" s="169">
        <f>IF(AW132&gt;Adjustments!$J$6,Adjustments!$L$6,IF(AW132&gt;Adjustments!$J$7,Adjustments!$L$7,IF(AW132&gt;Adjustments!$J$8,Adjustments!$L$8,IF(AW132&lt;Adjustments!$J$10,Adjustments!$L$10,IF(AW132&lt;Adjustments!$J$9,Adjustments!$L$9,0)))))</f>
        <v>-0.3</v>
      </c>
      <c r="BA132" s="169">
        <f>INDEX(Adjustments!$C$4:$C$2520,MATCH(AR132,Adjustments!$B$4:$B$2520,0))</f>
        <v>0</v>
      </c>
      <c r="BB132" s="153" t="str">
        <f>INDEX(AG$6:AG$182,MATCH($AR132,$AF$6:$AF$182,0))</f>
        <v>6</v>
      </c>
      <c r="BC132" s="153">
        <f>INDEX(AH$6:AH$182,MATCH($AR132,$AF$6:$AF$182,0))</f>
        <v>108</v>
      </c>
      <c r="BD132" s="153">
        <f>INDEX(AI$6:AI$182,MATCH($AR132,$AF$6:$AF$182,0))</f>
        <v>-13</v>
      </c>
      <c r="BE132" s="153">
        <f>BC132-AO132</f>
        <v>-19</v>
      </c>
      <c r="BF132" s="153"/>
      <c r="BG132" s="153"/>
      <c r="BH132" s="195" t="str">
        <f>INDEX($AE$6:$AE$182,MATCH(AR132,$AF$6:$AF$182,0))</f>
        <v>WR</v>
      </c>
      <c r="BI132" s="195">
        <f>SUMIF($BH$6:BH132,BH132,$BK$6:BK132)</f>
        <v>54</v>
      </c>
      <c r="BJ132" s="194">
        <v>1</v>
      </c>
      <c r="BK132" s="194">
        <f t="shared" si="12"/>
        <v>1</v>
      </c>
      <c r="BL132" s="194" t="str">
        <f>IF('Real Time Draft Tool'!B132="y","y","")</f>
        <v/>
      </c>
      <c r="BM132" s="194" t="str">
        <f t="shared" si="13"/>
        <v>WR 54</v>
      </c>
    </row>
    <row r="133" spans="31:65" x14ac:dyDescent="0.25">
      <c r="AE133" s="195" t="s">
        <v>260</v>
      </c>
      <c r="AF133" s="195" t="str">
        <f t="shared" si="16"/>
        <v>Terrance Williams</v>
      </c>
      <c r="AG133" s="195" t="str">
        <f t="shared" si="16"/>
        <v>11</v>
      </c>
      <c r="AH133" s="195">
        <f t="shared" si="17"/>
        <v>91</v>
      </c>
      <c r="AI133" s="195">
        <f t="shared" si="15"/>
        <v>-2</v>
      </c>
      <c r="AJ133" s="195">
        <f t="shared" si="18"/>
        <v>0.8980732066666669</v>
      </c>
      <c r="AK133" s="195">
        <f t="shared" si="18"/>
        <v>0.91400511992911093</v>
      </c>
      <c r="AL133" s="195">
        <f t="shared" si="18"/>
        <v>2.390629939880607E-2</v>
      </c>
      <c r="AM133" s="195" t="str">
        <f t="shared" si="18"/>
        <v>7</v>
      </c>
      <c r="AN133" s="153"/>
      <c r="AO133" s="153">
        <v>128</v>
      </c>
      <c r="AP133" s="153">
        <v>127</v>
      </c>
      <c r="AQ133" s="153">
        <f>AP133-AO133</f>
        <v>-1</v>
      </c>
      <c r="AR133" s="86" t="s">
        <v>205</v>
      </c>
      <c r="AS133" s="153" t="str">
        <f>BH133&amp;" "&amp;BI133</f>
        <v>WR 55</v>
      </c>
      <c r="AT133" s="153">
        <f>IF(AU133&gt;8,1,IF(AU133&gt;6.4,2,IF(AU133&gt;6,3,IF(AU133&gt;5,4,IF(AU133&gt;3.5,5,IF(AU133&gt;2.5,6,IF(AU133&gt;1.5,7,IF(AU133&gt;0.5,8,IF(AU133&gt;-0.5,9,10)))))))))</f>
        <v>10</v>
      </c>
      <c r="AU133" s="169">
        <f>SUM(AV133,AZ133,BA133)</f>
        <v>-0.81038371500000028</v>
      </c>
      <c r="AV133" s="169">
        <f>INDEX(AJ$6:AJ$182,MATCH($AR133,$AF$6:$AF$182,0))</f>
        <v>-0.81038371500000028</v>
      </c>
      <c r="AW133" s="169">
        <f>INDEX(AK$6:AK$182,MATCH($AR133,$AF$6:$AF$182,0))</f>
        <v>0.82053378045118031</v>
      </c>
      <c r="AX133" s="168">
        <f>SUMIFS(AV134:AV$183,AV134:AV$183,"&gt;"&amp;0,$BH134:$BH$183,"="&amp;$BH133,$BK134:$BK$183,"="&amp;1)/SUMIFS(AV$6:AV$183,AV$6:AV$183,"&gt;"&amp;0,$BH$6:$BH$183,"="&amp;$BH133)</f>
        <v>0</v>
      </c>
      <c r="AY133" s="168">
        <f>SUMIFS(AU134:AU$183,AU134:AU$183,"&gt;"&amp;0,BH134:BH$183,"="&amp;BH133,BK134:BK$183,"="&amp;1)/SUMIFS(AU$6:AU$183,AU$6:AU$183,"&gt;"&amp;0,BH$6:BH$183,"="&amp;BH133)</f>
        <v>0</v>
      </c>
      <c r="AZ133" s="169">
        <f>IF(AW133&gt;Adjustments!$J$6,Adjustments!$L$6,IF(AW133&gt;Adjustments!$J$7,Adjustments!$L$7,IF(AW133&gt;Adjustments!$J$8,Adjustments!$L$8,IF(AW133&lt;Adjustments!$J$10,Adjustments!$L$10,IF(AW133&lt;Adjustments!$J$9,Adjustments!$L$9,0)))))</f>
        <v>0</v>
      </c>
      <c r="BA133" s="169">
        <f>INDEX(Adjustments!$C$4:$C$2520,MATCH(AR133,Adjustments!$B$4:$B$2520,0))</f>
        <v>0</v>
      </c>
      <c r="BB133" s="153" t="str">
        <f>INDEX(AG$6:AG$182,MATCH($AR133,$AF$6:$AF$182,0))</f>
        <v>9</v>
      </c>
      <c r="BC133" s="153">
        <f>INDEX(AH$6:AH$182,MATCH($AR133,$AF$6:$AF$182,0))</f>
        <v>150</v>
      </c>
      <c r="BD133" s="153">
        <f>INDEX(AI$6:AI$182,MATCH($AR133,$AF$6:$AF$182,0))</f>
        <v>23</v>
      </c>
      <c r="BE133" s="153">
        <f>BC133-AO133</f>
        <v>22</v>
      </c>
      <c r="BF133" s="153"/>
      <c r="BG133" s="153"/>
      <c r="BH133" s="195" t="str">
        <f>INDEX($AE$6:$AE$182,MATCH(AR133,$AF$6:$AF$182,0))</f>
        <v>WR</v>
      </c>
      <c r="BI133" s="195">
        <f>SUMIF($BH$6:BH133,BH133,$BK$6:BK133)</f>
        <v>55</v>
      </c>
      <c r="BJ133" s="194">
        <v>1</v>
      </c>
      <c r="BK133" s="194">
        <f t="shared" si="12"/>
        <v>1</v>
      </c>
      <c r="BL133" s="194" t="str">
        <f>IF('Real Time Draft Tool'!B133="y","y","")</f>
        <v/>
      </c>
      <c r="BM133" s="194" t="str">
        <f t="shared" si="13"/>
        <v>WR 55</v>
      </c>
    </row>
    <row r="134" spans="31:65" x14ac:dyDescent="0.25">
      <c r="AE134" s="195" t="s">
        <v>260</v>
      </c>
      <c r="AF134" s="195" t="str">
        <f t="shared" si="16"/>
        <v>Dwayne Bowe</v>
      </c>
      <c r="AG134" s="195" t="str">
        <f t="shared" si="16"/>
        <v>6</v>
      </c>
      <c r="AH134" s="195">
        <f t="shared" si="17"/>
        <v>107</v>
      </c>
      <c r="AI134" s="195">
        <f t="shared" si="15"/>
        <v>12</v>
      </c>
      <c r="AJ134" s="195">
        <f t="shared" si="18"/>
        <v>0.83307846499999982</v>
      </c>
      <c r="AK134" s="195">
        <f t="shared" si="18"/>
        <v>0.58177387628575328</v>
      </c>
      <c r="AL134" s="195">
        <f t="shared" si="18"/>
        <v>1.7667968922235308E-2</v>
      </c>
      <c r="AM134" s="195" t="str">
        <f t="shared" si="18"/>
        <v>7</v>
      </c>
      <c r="AN134" s="153"/>
      <c r="AO134" s="153">
        <v>129</v>
      </c>
      <c r="AP134" s="153">
        <v>130</v>
      </c>
      <c r="AQ134" s="153">
        <f>AP134-AO134</f>
        <v>1</v>
      </c>
      <c r="AR134" s="86" t="s">
        <v>206</v>
      </c>
      <c r="AS134" s="153" t="str">
        <f>BH134&amp;" "&amp;BI134</f>
        <v>TE 19</v>
      </c>
      <c r="AT134" s="153">
        <f>IF(AU134&gt;8,1,IF(AU134&gt;6.4,2,IF(AU134&gt;6,3,IF(AU134&gt;5,4,IF(AU134&gt;3.5,5,IF(AU134&gt;2.5,6,IF(AU134&gt;1.5,7,IF(AU134&gt;0.5,8,IF(AU134&gt;-0.5,9,10)))))))))</f>
        <v>10</v>
      </c>
      <c r="AU134" s="169">
        <f>SUM(AV134,AZ134,BA134)</f>
        <v>-0.87411959166666686</v>
      </c>
      <c r="AV134" s="169">
        <f>INDEX(AJ$6:AJ$182,MATCH($AR134,$AF$6:$AF$182,0))</f>
        <v>-0.87411959166666686</v>
      </c>
      <c r="AW134" s="169">
        <f>INDEX(AK$6:AK$182,MATCH($AR134,$AF$6:$AF$182,0))</f>
        <v>0.84843128574584026</v>
      </c>
      <c r="AX134" s="168">
        <f>SUMIFS(AV135:AV$183,AV135:AV$183,"&gt;"&amp;0,$BH135:$BH$183,"="&amp;$BH134,$BK135:$BK$183,"="&amp;1)/SUMIFS(AV$6:AV$183,AV$6:AV$183,"&gt;"&amp;0,$BH$6:$BH$183,"="&amp;$BH134)</f>
        <v>0</v>
      </c>
      <c r="AY134" s="168">
        <f>SUMIFS(AU135:AU$183,AU135:AU$183,"&gt;"&amp;0,BH135:BH$183,"="&amp;BH134,BK135:BK$183,"="&amp;1)/SUMIFS(AU$6:AU$183,AU$6:AU$183,"&gt;"&amp;0,BH$6:BH$183,"="&amp;BH134)</f>
        <v>0</v>
      </c>
      <c r="AZ134" s="169">
        <f>IF(AW134&gt;Adjustments!$J$6,Adjustments!$L$6,IF(AW134&gt;Adjustments!$J$7,Adjustments!$L$7,IF(AW134&gt;Adjustments!$J$8,Adjustments!$L$8,IF(AW134&lt;Adjustments!$J$10,Adjustments!$L$10,IF(AW134&lt;Adjustments!$J$9,Adjustments!$L$9,0)))))</f>
        <v>0</v>
      </c>
      <c r="BA134" s="169">
        <f>INDEX(Adjustments!$C$4:$C$2520,MATCH(AR134,Adjustments!$B$4:$B$2520,0))</f>
        <v>0</v>
      </c>
      <c r="BB134" s="153" t="str">
        <f>INDEX(AG$6:AG$182,MATCH($AR134,$AF$6:$AF$182,0))</f>
        <v>9</v>
      </c>
      <c r="BC134" s="153">
        <f>INDEX(AH$6:AH$182,MATCH($AR134,$AF$6:$AF$182,0))</f>
        <v>132</v>
      </c>
      <c r="BD134" s="153">
        <f>INDEX(AI$6:AI$182,MATCH($AR134,$AF$6:$AF$182,0))</f>
        <v>2</v>
      </c>
      <c r="BE134" s="153">
        <f>BC134-AO134</f>
        <v>3</v>
      </c>
      <c r="BF134" s="153"/>
      <c r="BG134" s="153"/>
      <c r="BH134" s="195" t="str">
        <f>INDEX($AE$6:$AE$182,MATCH(AR134,$AF$6:$AF$182,0))</f>
        <v>TE</v>
      </c>
      <c r="BI134" s="195">
        <f>SUMIF($BH$6:BH134,BH134,$BK$6:BK134)</f>
        <v>19</v>
      </c>
      <c r="BJ134" s="194">
        <v>1</v>
      </c>
      <c r="BK134" s="194">
        <f t="shared" si="12"/>
        <v>1</v>
      </c>
      <c r="BL134" s="194" t="str">
        <f>IF('Real Time Draft Tool'!B134="y","y","")</f>
        <v/>
      </c>
      <c r="BM134" s="194" t="str">
        <f t="shared" si="13"/>
        <v>TE 19</v>
      </c>
    </row>
    <row r="135" spans="31:65" x14ac:dyDescent="0.25">
      <c r="AE135" s="195" t="s">
        <v>260</v>
      </c>
      <c r="AF135" s="195" t="str">
        <f t="shared" si="16"/>
        <v>Cecil Shorts</v>
      </c>
      <c r="AG135" s="195" t="str">
        <f t="shared" si="16"/>
        <v>11</v>
      </c>
      <c r="AH135" s="195">
        <f t="shared" si="17"/>
        <v>115</v>
      </c>
      <c r="AI135" s="195">
        <f t="shared" si="15"/>
        <v>19</v>
      </c>
      <c r="AJ135" s="195">
        <f t="shared" si="18"/>
        <v>0.78154731499999974</v>
      </c>
      <c r="AK135" s="195">
        <f t="shared" si="18"/>
        <v>0.79834683110213689</v>
      </c>
      <c r="AL135" s="195">
        <f t="shared" si="18"/>
        <v>1.1815518476230054E-2</v>
      </c>
      <c r="AM135" s="195" t="str">
        <f t="shared" si="18"/>
        <v>7</v>
      </c>
      <c r="AN135" s="153"/>
      <c r="AO135" s="153">
        <v>130</v>
      </c>
      <c r="AP135" s="153">
        <v>119</v>
      </c>
      <c r="AQ135" s="153">
        <f>AP135-AO135</f>
        <v>-11</v>
      </c>
      <c r="AR135" s="86" t="s">
        <v>153</v>
      </c>
      <c r="AS135" s="153" t="str">
        <f>BH135&amp;" "&amp;BI135</f>
        <v>RB 38</v>
      </c>
      <c r="AT135" s="153">
        <f>IF(AU135&gt;8,1,IF(AU135&gt;6.4,2,IF(AU135&gt;6,3,IF(AU135&gt;5,4,IF(AU135&gt;3.5,5,IF(AU135&gt;2.5,6,IF(AU135&gt;1.5,7,IF(AU135&gt;0.5,8,IF(AU135&gt;-0.5,9,10)))))))))</f>
        <v>10</v>
      </c>
      <c r="AU135" s="169">
        <f>SUM(AV135,AZ135,BA135)</f>
        <v>-0.89360757454545459</v>
      </c>
      <c r="AV135" s="169">
        <f>INDEX(AJ$6:AJ$182,MATCH($AR135,$AF$6:$AF$182,0))</f>
        <v>-0.39360757454545464</v>
      </c>
      <c r="AW135" s="169">
        <f>INDEX(AK$6:AK$182,MATCH($AR135,$AF$6:$AF$182,0))</f>
        <v>1.6581151724385803</v>
      </c>
      <c r="AX135" s="168">
        <f>SUMIFS(AV136:AV$183,AV136:AV$183,"&gt;"&amp;0,$BH136:$BH$183,"="&amp;$BH135,$BK136:$BK$183,"="&amp;1)/SUMIFS(AV$6:AV$183,AV$6:AV$183,"&gt;"&amp;0,$BH$6:$BH$183,"="&amp;$BH135)</f>
        <v>0</v>
      </c>
      <c r="AY135" s="168">
        <f>SUMIFS(AU136:AU$183,AU136:AU$183,"&gt;"&amp;0,BH136:BH$183,"="&amp;BH135,BK136:BK$183,"="&amp;1)/SUMIFS(AU$6:AU$183,AU$6:AU$183,"&gt;"&amp;0,BH$6:BH$183,"="&amp;BH135)</f>
        <v>0</v>
      </c>
      <c r="AZ135" s="169">
        <f>IF(AW135&gt;Adjustments!$J$6,Adjustments!$L$6,IF(AW135&gt;Adjustments!$J$7,Adjustments!$L$7,IF(AW135&gt;Adjustments!$J$8,Adjustments!$L$8,IF(AW135&lt;Adjustments!$J$10,Adjustments!$L$10,IF(AW135&lt;Adjustments!$J$9,Adjustments!$L$9,0)))))</f>
        <v>-0.5</v>
      </c>
      <c r="BA135" s="169">
        <f>INDEX(Adjustments!$C$4:$C$2520,MATCH(AR135,Adjustments!$B$4:$B$2520,0))</f>
        <v>0</v>
      </c>
      <c r="BB135" s="153" t="str">
        <f>INDEX(AG$6:AG$182,MATCH($AR135,$AF$6:$AF$182,0))</f>
        <v>5</v>
      </c>
      <c r="BC135" s="153">
        <f>INDEX(AH$6:AH$182,MATCH($AR135,$AF$6:$AF$182,0))</f>
        <v>108</v>
      </c>
      <c r="BD135" s="153">
        <f>INDEX(AI$6:AI$182,MATCH($AR135,$AF$6:$AF$182,0))</f>
        <v>-11</v>
      </c>
      <c r="BE135" s="153">
        <f>BC135-AO135</f>
        <v>-22</v>
      </c>
      <c r="BF135" s="153"/>
      <c r="BG135" s="153"/>
      <c r="BH135" s="195" t="str">
        <f>INDEX($AE$6:$AE$182,MATCH(AR135,$AF$6:$AF$182,0))</f>
        <v>RB</v>
      </c>
      <c r="BI135" s="195">
        <f>SUMIF($BH$6:BH135,BH135,$BK$6:BK135)</f>
        <v>38</v>
      </c>
      <c r="BJ135" s="194">
        <v>1</v>
      </c>
      <c r="BK135" s="194">
        <f t="shared" ref="BK135:BK182" si="19">IF(BL135="y",0,1)</f>
        <v>1</v>
      </c>
      <c r="BL135" s="194" t="str">
        <f>IF('Real Time Draft Tool'!B135="y","y","")</f>
        <v/>
      </c>
      <c r="BM135" s="194" t="str">
        <f t="shared" ref="BM135:BM182" si="20">IF(BK135=1,BH135&amp;" "&amp;BI135)</f>
        <v>RB 38</v>
      </c>
    </row>
    <row r="136" spans="31:65" x14ac:dyDescent="0.25">
      <c r="AE136" s="195" t="s">
        <v>260</v>
      </c>
      <c r="AF136" s="195" t="str">
        <f t="shared" si="16"/>
        <v>Rueben Randle</v>
      </c>
      <c r="AG136" s="195" t="str">
        <f t="shared" si="16"/>
        <v>8</v>
      </c>
      <c r="AH136" s="195">
        <f t="shared" si="17"/>
        <v>116</v>
      </c>
      <c r="AI136" s="195">
        <f t="shared" si="15"/>
        <v>15</v>
      </c>
      <c r="AJ136" s="195">
        <f t="shared" si="18"/>
        <v>0.41501603499999962</v>
      </c>
      <c r="AK136" s="195">
        <f t="shared" si="18"/>
        <v>0.74266408699458841</v>
      </c>
      <c r="AL136" s="195">
        <f t="shared" si="18"/>
        <v>8.7077593776845076E-3</v>
      </c>
      <c r="AM136" s="195" t="str">
        <f t="shared" si="18"/>
        <v>7</v>
      </c>
      <c r="AN136" s="153"/>
      <c r="AO136" s="153">
        <v>131</v>
      </c>
      <c r="AP136" s="153">
        <v>135</v>
      </c>
      <c r="AQ136" s="153">
        <f>AP136-AO136</f>
        <v>4</v>
      </c>
      <c r="AR136" s="86" t="s">
        <v>209</v>
      </c>
      <c r="AS136" s="153" t="str">
        <f>BH136&amp;" "&amp;BI136</f>
        <v>TE 20</v>
      </c>
      <c r="AT136" s="153">
        <f>IF(AU136&gt;8,1,IF(AU136&gt;6.4,2,IF(AU136&gt;6,3,IF(AU136&gt;5,4,IF(AU136&gt;3.5,5,IF(AU136&gt;2.5,6,IF(AU136&gt;1.5,7,IF(AU136&gt;0.5,8,IF(AU136&gt;-0.5,9,10)))))))))</f>
        <v>10</v>
      </c>
      <c r="AU136" s="169">
        <f>SUM(AV136,AZ136,BA136)</f>
        <v>-0.99901020666666684</v>
      </c>
      <c r="AV136" s="169">
        <f>INDEX(AJ$6:AJ$182,MATCH($AR136,$AF$6:$AF$182,0))</f>
        <v>-1.1990102066666668</v>
      </c>
      <c r="AW136" s="169">
        <f>INDEX(AK$6:AK$182,MATCH($AR136,$AF$6:$AF$182,0))</f>
        <v>0.62076665498272998</v>
      </c>
      <c r="AX136" s="168">
        <f>SUMIFS(AV137:AV$183,AV137:AV$183,"&gt;"&amp;0,$BH137:$BH$183,"="&amp;$BH136,$BK137:$BK$183,"="&amp;1)/SUMIFS(AV$6:AV$183,AV$6:AV$183,"&gt;"&amp;0,$BH$6:$BH$183,"="&amp;$BH136)</f>
        <v>0</v>
      </c>
      <c r="AY136" s="168">
        <f>SUMIFS(AU137:AU$183,AU137:AU$183,"&gt;"&amp;0,BH137:BH$183,"="&amp;BH136,BK137:BK$183,"="&amp;1)/SUMIFS(AU$6:AU$183,AU$6:AU$183,"&gt;"&amp;0,BH$6:BH$183,"="&amp;BH136)</f>
        <v>0</v>
      </c>
      <c r="AZ136" s="169">
        <f>IF(AW136&gt;Adjustments!$J$6,Adjustments!$L$6,IF(AW136&gt;Adjustments!$J$7,Adjustments!$L$7,IF(AW136&gt;Adjustments!$J$8,Adjustments!$L$8,IF(AW136&lt;Adjustments!$J$10,Adjustments!$L$10,IF(AW136&lt;Adjustments!$J$9,Adjustments!$L$9,0)))))</f>
        <v>0.2</v>
      </c>
      <c r="BA136" s="169">
        <f>INDEX(Adjustments!$C$4:$C$2520,MATCH(AR136,Adjustments!$B$4:$B$2520,0))</f>
        <v>0</v>
      </c>
      <c r="BB136" s="153" t="str">
        <f>INDEX(AG$6:AG$182,MATCH($AR136,$AF$6:$AF$182,0))</f>
        <v>10</v>
      </c>
      <c r="BC136" s="153">
        <f>INDEX(AH$6:AH$182,MATCH($AR136,$AF$6:$AF$182,0))</f>
        <v>176</v>
      </c>
      <c r="BD136" s="153">
        <f>INDEX(AI$6:AI$182,MATCH($AR136,$AF$6:$AF$182,0))</f>
        <v>41</v>
      </c>
      <c r="BE136" s="153">
        <f>BC136-AO136</f>
        <v>45</v>
      </c>
      <c r="BF136" s="153"/>
      <c r="BG136" s="153"/>
      <c r="BH136" s="195" t="str">
        <f>INDEX($AE$6:$AE$182,MATCH(AR136,$AF$6:$AF$182,0))</f>
        <v>TE</v>
      </c>
      <c r="BI136" s="195">
        <f>SUMIF($BH$6:BH136,BH136,$BK$6:BK136)</f>
        <v>20</v>
      </c>
      <c r="BJ136" s="194">
        <v>1</v>
      </c>
      <c r="BK136" s="194">
        <f t="shared" si="19"/>
        <v>1</v>
      </c>
      <c r="BL136" s="194" t="str">
        <f>IF('Real Time Draft Tool'!B136="y","y","")</f>
        <v/>
      </c>
      <c r="BM136" s="194" t="str">
        <f t="shared" si="20"/>
        <v>TE 20</v>
      </c>
    </row>
    <row r="137" spans="31:65" x14ac:dyDescent="0.25">
      <c r="AE137" s="195" t="s">
        <v>260</v>
      </c>
      <c r="AF137" s="195" t="str">
        <f t="shared" si="16"/>
        <v>Anquan Boldin</v>
      </c>
      <c r="AG137" s="195" t="str">
        <f t="shared" si="16"/>
        <v>8</v>
      </c>
      <c r="AH137" s="195">
        <f t="shared" si="17"/>
        <v>118</v>
      </c>
      <c r="AI137" s="195">
        <f t="shared" si="15"/>
        <v>15</v>
      </c>
      <c r="AJ137" s="195">
        <f t="shared" si="18"/>
        <v>0.37707339666666662</v>
      </c>
      <c r="AK137" s="195">
        <f t="shared" si="18"/>
        <v>0.71546750541312698</v>
      </c>
      <c r="AL137" s="195">
        <f t="shared" si="18"/>
        <v>5.8841256370982973E-3</v>
      </c>
      <c r="AM137" s="195" t="str">
        <f t="shared" si="18"/>
        <v>7</v>
      </c>
      <c r="AN137" s="153"/>
      <c r="AO137" s="153">
        <v>132</v>
      </c>
      <c r="AP137" s="153">
        <v>129</v>
      </c>
      <c r="AQ137" s="153">
        <f>AP137-AO137</f>
        <v>-3</v>
      </c>
      <c r="AR137" s="86" t="s">
        <v>211</v>
      </c>
      <c r="AS137" s="153" t="str">
        <f>BH137&amp;" "&amp;BI137</f>
        <v>WR 56</v>
      </c>
      <c r="AT137" s="153">
        <f>IF(AU137&gt;8,1,IF(AU137&gt;6.4,2,IF(AU137&gt;6,3,IF(AU137&gt;5,4,IF(AU137&gt;3.5,5,IF(AU137&gt;2.5,6,IF(AU137&gt;1.5,7,IF(AU137&gt;0.5,8,IF(AU137&gt;-0.5,9,10)))))))))</f>
        <v>10</v>
      </c>
      <c r="AU137" s="169">
        <f>SUM(AV137,AZ137,BA137)</f>
        <v>-1.0202286666666667</v>
      </c>
      <c r="AV137" s="169">
        <f>INDEX(AJ$6:AJ$182,MATCH($AR137,$AF$6:$AF$182,0))</f>
        <v>-0.87022866666666676</v>
      </c>
      <c r="AW137" s="169">
        <f>INDEX(AK$6:AK$182,MATCH($AR137,$AF$6:$AF$182,0))</f>
        <v>1.1196209050912833</v>
      </c>
      <c r="AX137" s="168">
        <f>SUMIFS(AV138:AV$183,AV138:AV$183,"&gt;"&amp;0,$BH138:$BH$183,"="&amp;$BH137,$BK138:$BK$183,"="&amp;1)/SUMIFS(AV$6:AV$183,AV$6:AV$183,"&gt;"&amp;0,$BH$6:$BH$183,"="&amp;$BH137)</f>
        <v>0</v>
      </c>
      <c r="AY137" s="168">
        <f>SUMIFS(AU138:AU$183,AU138:AU$183,"&gt;"&amp;0,BH138:BH$183,"="&amp;BH137,BK138:BK$183,"="&amp;1)/SUMIFS(AU$6:AU$183,AU$6:AU$183,"&gt;"&amp;0,BH$6:BH$183,"="&amp;BH137)</f>
        <v>0</v>
      </c>
      <c r="AZ137" s="169">
        <f>IF(AW137&gt;Adjustments!$J$6,Adjustments!$L$6,IF(AW137&gt;Adjustments!$J$7,Adjustments!$L$7,IF(AW137&gt;Adjustments!$J$8,Adjustments!$L$8,IF(AW137&lt;Adjustments!$J$10,Adjustments!$L$10,IF(AW137&lt;Adjustments!$J$9,Adjustments!$L$9,0)))))</f>
        <v>-0.15</v>
      </c>
      <c r="BA137" s="169">
        <f>INDEX(Adjustments!$C$4:$C$2520,MATCH(AR137,Adjustments!$B$4:$B$2520,0))</f>
        <v>0</v>
      </c>
      <c r="BB137" s="153" t="str">
        <f>INDEX(AG$6:AG$182,MATCH($AR137,$AF$6:$AF$182,0))</f>
        <v>10</v>
      </c>
      <c r="BC137" s="153">
        <f>INDEX(AH$6:AH$182,MATCH($AR137,$AF$6:$AF$182,0))</f>
        <v>119</v>
      </c>
      <c r="BD137" s="153">
        <f>INDEX(AI$6:AI$182,MATCH($AR137,$AF$6:$AF$182,0))</f>
        <v>-10</v>
      </c>
      <c r="BE137" s="153">
        <f>BC137-AO137</f>
        <v>-13</v>
      </c>
      <c r="BF137" s="153"/>
      <c r="BG137" s="153"/>
      <c r="BH137" s="195" t="str">
        <f>INDEX($AE$6:$AE$182,MATCH(AR137,$AF$6:$AF$182,0))</f>
        <v>WR</v>
      </c>
      <c r="BI137" s="195">
        <f>SUMIF($BH$6:BH137,BH137,$BK$6:BK137)</f>
        <v>56</v>
      </c>
      <c r="BJ137" s="194">
        <v>1</v>
      </c>
      <c r="BK137" s="194">
        <f t="shared" si="19"/>
        <v>1</v>
      </c>
      <c r="BL137" s="194" t="str">
        <f>IF('Real Time Draft Tool'!B137="y","y","")</f>
        <v/>
      </c>
      <c r="BM137" s="194" t="str">
        <f t="shared" si="20"/>
        <v>WR 56</v>
      </c>
    </row>
    <row r="138" spans="31:65" x14ac:dyDescent="0.25">
      <c r="AE138" s="195" t="s">
        <v>260</v>
      </c>
      <c r="AF138" s="195" t="str">
        <f t="shared" si="16"/>
        <v>Brian Hartline</v>
      </c>
      <c r="AG138" s="195" t="str">
        <f t="shared" si="16"/>
        <v>5</v>
      </c>
      <c r="AH138" s="195">
        <f t="shared" si="17"/>
        <v>159</v>
      </c>
      <c r="AI138" s="195">
        <f t="shared" si="15"/>
        <v>55</v>
      </c>
      <c r="AJ138" s="195">
        <f t="shared" si="18"/>
        <v>0.31845367499999999</v>
      </c>
      <c r="AK138" s="195">
        <f t="shared" si="18"/>
        <v>0.75251108471383155</v>
      </c>
      <c r="AL138" s="195">
        <f t="shared" si="18"/>
        <v>3.4994531847519694E-3</v>
      </c>
      <c r="AM138" s="195" t="str">
        <f t="shared" si="18"/>
        <v>7-</v>
      </c>
      <c r="AN138" s="153"/>
      <c r="AO138" s="153">
        <v>133</v>
      </c>
      <c r="AP138" s="153">
        <v>133</v>
      </c>
      <c r="AQ138" s="153">
        <f>AP138-AO138</f>
        <v>0</v>
      </c>
      <c r="AR138" s="86" t="s">
        <v>90</v>
      </c>
      <c r="AS138" s="153" t="str">
        <f>BH138&amp;" "&amp;BI138</f>
        <v>QB 19</v>
      </c>
      <c r="AT138" s="153">
        <f>IF(AU138&gt;8,1,IF(AU138&gt;6.4,2,IF(AU138&gt;6,3,IF(AU138&gt;5,4,IF(AU138&gt;3.5,5,IF(AU138&gt;2.5,6,IF(AU138&gt;1.5,7,IF(AU138&gt;0.5,8,IF(AU138&gt;-0.5,9,10)))))))))</f>
        <v>10</v>
      </c>
      <c r="AU138" s="169">
        <f>SUM(AV138,AZ138,BA138)</f>
        <v>-1.0339643933333329</v>
      </c>
      <c r="AV138" s="169">
        <f>INDEX(AJ$6:AJ$182,MATCH($AR138,$AF$6:$AF$182,0))</f>
        <v>-1.0339643933333329</v>
      </c>
      <c r="AW138" s="169">
        <f>INDEX(AK$6:AK$182,MATCH($AR138,$AF$6:$AF$182,0))</f>
        <v>0.85890662938798512</v>
      </c>
      <c r="AX138" s="168">
        <f>SUMIFS(AV139:AV$183,AV139:AV$183,"&gt;"&amp;0,$BH139:$BH$183,"="&amp;$BH138,$BK139:$BK$183,"="&amp;1)/SUMIFS(AV$6:AV$183,AV$6:AV$183,"&gt;"&amp;0,$BH$6:$BH$183,"="&amp;$BH138)</f>
        <v>0</v>
      </c>
      <c r="AY138" s="168">
        <f>SUMIFS(AU139:AU$183,AU139:AU$183,"&gt;"&amp;0,BH139:BH$183,"="&amp;BH138,BK139:BK$183,"="&amp;1)/SUMIFS(AU$6:AU$183,AU$6:AU$183,"&gt;"&amp;0,BH$6:BH$183,"="&amp;BH138)</f>
        <v>0</v>
      </c>
      <c r="AZ138" s="169">
        <f>IF(AW138&gt;Adjustments!$J$6,Adjustments!$L$6,IF(AW138&gt;Adjustments!$J$7,Adjustments!$L$7,IF(AW138&gt;Adjustments!$J$8,Adjustments!$L$8,IF(AW138&lt;Adjustments!$J$10,Adjustments!$L$10,IF(AW138&lt;Adjustments!$J$9,Adjustments!$L$9,0)))))</f>
        <v>0</v>
      </c>
      <c r="BA138" s="169">
        <f>INDEX(Adjustments!$C$4:$C$2520,MATCH(AR138,Adjustments!$B$4:$B$2520,0))</f>
        <v>0</v>
      </c>
      <c r="BB138" s="153" t="str">
        <f>INDEX(AG$6:AG$182,MATCH($AR138,$AF$6:$AF$182,0))</f>
        <v>5</v>
      </c>
      <c r="BC138" s="153">
        <f>INDEX(AH$6:AH$182,MATCH($AR138,$AF$6:$AF$182,0))</f>
        <v>170</v>
      </c>
      <c r="BD138" s="153">
        <f>INDEX(AI$6:AI$182,MATCH($AR138,$AF$6:$AF$182,0))</f>
        <v>37</v>
      </c>
      <c r="BE138" s="153">
        <f>BC138-AO138</f>
        <v>37</v>
      </c>
      <c r="BF138" s="153"/>
      <c r="BG138" s="153"/>
      <c r="BH138" s="195" t="str">
        <f>INDEX($AE$6:$AE$182,MATCH(AR138,$AF$6:$AF$182,0))</f>
        <v>QB</v>
      </c>
      <c r="BI138" s="195">
        <f>SUMIF($BH$6:BH138,BH138,$BK$6:BK138)</f>
        <v>19</v>
      </c>
      <c r="BJ138" s="194">
        <v>1</v>
      </c>
      <c r="BK138" s="194">
        <f t="shared" si="19"/>
        <v>1</v>
      </c>
      <c r="BL138" s="194" t="str">
        <f>IF('Real Time Draft Tool'!B138="y","y","")</f>
        <v/>
      </c>
      <c r="BM138" s="194" t="str">
        <f t="shared" si="20"/>
        <v>QB 19</v>
      </c>
    </row>
    <row r="139" spans="31:65" x14ac:dyDescent="0.25">
      <c r="AE139" s="195" t="s">
        <v>260</v>
      </c>
      <c r="AF139" s="195" t="str">
        <f t="shared" si="16"/>
        <v>Greg Jennings</v>
      </c>
      <c r="AG139" s="195" t="str">
        <f t="shared" si="16"/>
        <v>10</v>
      </c>
      <c r="AH139" s="195">
        <f t="shared" si="17"/>
        <v>160</v>
      </c>
      <c r="AI139" s="195">
        <f t="shared" si="15"/>
        <v>54</v>
      </c>
      <c r="AJ139" s="195">
        <f t="shared" si="18"/>
        <v>0.18867761333333311</v>
      </c>
      <c r="AK139" s="195">
        <f t="shared" si="18"/>
        <v>0.86755051670168226</v>
      </c>
      <c r="AL139" s="195">
        <f t="shared" si="18"/>
        <v>2.0865811025237864E-3</v>
      </c>
      <c r="AM139" s="195" t="str">
        <f t="shared" si="18"/>
        <v>7</v>
      </c>
      <c r="AN139" s="153"/>
      <c r="AO139" s="153">
        <v>134</v>
      </c>
      <c r="AP139" s="153">
        <v>132</v>
      </c>
      <c r="AQ139" s="153">
        <f>AP139-AO139</f>
        <v>-2</v>
      </c>
      <c r="AR139" s="86" t="s">
        <v>160</v>
      </c>
      <c r="AS139" s="153" t="str">
        <f>BH139&amp;" "&amp;BI139</f>
        <v>RB 39</v>
      </c>
      <c r="AT139" s="153">
        <f>IF(AU139&gt;8,1,IF(AU139&gt;6.4,2,IF(AU139&gt;6,3,IF(AU139&gt;5,4,IF(AU139&gt;3.5,5,IF(AU139&gt;2.5,6,IF(AU139&gt;1.5,7,IF(AU139&gt;0.5,8,IF(AU139&gt;-0.5,9,10)))))))))</f>
        <v>10</v>
      </c>
      <c r="AU139" s="169">
        <f>SUM(AV139,AZ139,BA139)</f>
        <v>-1.3161881416666668</v>
      </c>
      <c r="AV139" s="169">
        <f>INDEX(AJ$6:AJ$182,MATCH($AR139,$AF$6:$AF$182,0))</f>
        <v>-1.0161881416666667</v>
      </c>
      <c r="AW139" s="169">
        <f>INDEX(AK$6:AK$182,MATCH($AR139,$AF$6:$AF$182,0))</f>
        <v>1.3808900075455526</v>
      </c>
      <c r="AX139" s="168">
        <f>SUMIFS(AV140:AV$183,AV140:AV$183,"&gt;"&amp;0,$BH140:$BH$183,"="&amp;$BH139,$BK140:$BK$183,"="&amp;1)/SUMIFS(AV$6:AV$183,AV$6:AV$183,"&gt;"&amp;0,$BH$6:$BH$183,"="&amp;$BH139)</f>
        <v>0</v>
      </c>
      <c r="AY139" s="168">
        <f>SUMIFS(AU140:AU$183,AU140:AU$183,"&gt;"&amp;0,BH140:BH$183,"="&amp;BH139,BK140:BK$183,"="&amp;1)/SUMIFS(AU$6:AU$183,AU$6:AU$183,"&gt;"&amp;0,BH$6:BH$183,"="&amp;BH139)</f>
        <v>0</v>
      </c>
      <c r="AZ139" s="169">
        <f>IF(AW139&gt;Adjustments!$J$6,Adjustments!$L$6,IF(AW139&gt;Adjustments!$J$7,Adjustments!$L$7,IF(AW139&gt;Adjustments!$J$8,Adjustments!$L$8,IF(AW139&lt;Adjustments!$J$10,Adjustments!$L$10,IF(AW139&lt;Adjustments!$J$9,Adjustments!$L$9,0)))))</f>
        <v>-0.3</v>
      </c>
      <c r="BA139" s="169">
        <f>INDEX(Adjustments!$C$4:$C$2520,MATCH(AR139,Adjustments!$B$4:$B$2520,0))</f>
        <v>0</v>
      </c>
      <c r="BB139" s="153" t="str">
        <f>INDEX(AG$6:AG$182,MATCH($AR139,$AF$6:$AF$182,0))</f>
        <v>11</v>
      </c>
      <c r="BC139" s="153">
        <f>INDEX(AH$6:AH$182,MATCH($AR139,$AF$6:$AF$182,0))</f>
        <v>109</v>
      </c>
      <c r="BD139" s="153">
        <f>INDEX(AI$6:AI$182,MATCH($AR139,$AF$6:$AF$182,0))</f>
        <v>-23</v>
      </c>
      <c r="BE139" s="153">
        <f>BC139-AO139</f>
        <v>-25</v>
      </c>
      <c r="BF139" s="153"/>
      <c r="BG139" s="153"/>
      <c r="BH139" s="195" t="str">
        <f>INDEX($AE$6:$AE$182,MATCH(AR139,$AF$6:$AF$182,0))</f>
        <v>RB</v>
      </c>
      <c r="BI139" s="195">
        <f>SUMIF($BH$6:BH139,BH139,$BK$6:BK139)</f>
        <v>39</v>
      </c>
      <c r="BJ139" s="194">
        <v>1</v>
      </c>
      <c r="BK139" s="194">
        <f t="shared" si="19"/>
        <v>1</v>
      </c>
      <c r="BL139" s="194" t="str">
        <f>IF('Real Time Draft Tool'!B139="y","y","")</f>
        <v/>
      </c>
      <c r="BM139" s="194" t="str">
        <f t="shared" si="20"/>
        <v>RB 39</v>
      </c>
    </row>
    <row r="140" spans="31:65" x14ac:dyDescent="0.25">
      <c r="AE140" s="195" t="s">
        <v>260</v>
      </c>
      <c r="AF140" s="195" t="str">
        <f t="shared" si="16"/>
        <v>Riley Cooper</v>
      </c>
      <c r="AG140" s="195" t="str">
        <f t="shared" si="16"/>
        <v>7</v>
      </c>
      <c r="AH140" s="195">
        <f t="shared" si="17"/>
        <v>108</v>
      </c>
      <c r="AI140" s="195">
        <f t="shared" si="15"/>
        <v>0</v>
      </c>
      <c r="AJ140" s="195">
        <f t="shared" si="18"/>
        <v>0.13329201666666673</v>
      </c>
      <c r="AK140" s="195">
        <f t="shared" si="18"/>
        <v>0.57026884442711967</v>
      </c>
      <c r="AL140" s="195">
        <f t="shared" si="18"/>
        <v>1.0884522529738456E-3</v>
      </c>
      <c r="AM140" s="195" t="str">
        <f t="shared" si="18"/>
        <v>7</v>
      </c>
      <c r="AN140" s="153"/>
      <c r="AO140" s="153">
        <v>135</v>
      </c>
      <c r="AP140" s="153">
        <v>134</v>
      </c>
      <c r="AQ140" s="153">
        <f>AP140-AO140</f>
        <v>-1</v>
      </c>
      <c r="AR140" s="86" t="s">
        <v>157</v>
      </c>
      <c r="AS140" s="153" t="str">
        <f>BH140&amp;" "&amp;BI140</f>
        <v>RB 40</v>
      </c>
      <c r="AT140" s="153">
        <f>IF(AU140&gt;8,1,IF(AU140&gt;6.4,2,IF(AU140&gt;6,3,IF(AU140&gt;5,4,IF(AU140&gt;3.5,5,IF(AU140&gt;2.5,6,IF(AU140&gt;1.5,7,IF(AU140&gt;0.5,8,IF(AU140&gt;-0.5,9,10)))))))))</f>
        <v>10</v>
      </c>
      <c r="AU140" s="169">
        <f>SUM(AV140,AZ140,BA140)</f>
        <v>-1.3494558399999999</v>
      </c>
      <c r="AV140" s="169">
        <f>INDEX(AJ$6:AJ$182,MATCH($AR140,$AF$6:$AF$182,0))</f>
        <v>-1.0494558399999998</v>
      </c>
      <c r="AW140" s="169">
        <f>INDEX(AK$6:AK$182,MATCH($AR140,$AF$6:$AF$182,0))</f>
        <v>1.280028218888384</v>
      </c>
      <c r="AX140" s="168">
        <f>SUMIFS(AV141:AV$183,AV141:AV$183,"&gt;"&amp;0,$BH141:$BH$183,"="&amp;$BH140,$BK141:$BK$183,"="&amp;1)/SUMIFS(AV$6:AV$183,AV$6:AV$183,"&gt;"&amp;0,$BH$6:$BH$183,"="&amp;$BH140)</f>
        <v>0</v>
      </c>
      <c r="AY140" s="168">
        <f>SUMIFS(AU141:AU$183,AU141:AU$183,"&gt;"&amp;0,BH141:BH$183,"="&amp;BH140,BK141:BK$183,"="&amp;1)/SUMIFS(AU$6:AU$183,AU$6:AU$183,"&gt;"&amp;0,BH$6:BH$183,"="&amp;BH140)</f>
        <v>0</v>
      </c>
      <c r="AZ140" s="169">
        <f>IF(AW140&gt;Adjustments!$J$6,Adjustments!$L$6,IF(AW140&gt;Adjustments!$J$7,Adjustments!$L$7,IF(AW140&gt;Adjustments!$J$8,Adjustments!$L$8,IF(AW140&lt;Adjustments!$J$10,Adjustments!$L$10,IF(AW140&lt;Adjustments!$J$9,Adjustments!$L$9,0)))))</f>
        <v>-0.3</v>
      </c>
      <c r="BA140" s="169">
        <f>INDEX(Adjustments!$C$4:$C$2520,MATCH(AR140,Adjustments!$B$4:$B$2520,0))</f>
        <v>0</v>
      </c>
      <c r="BB140" s="153" t="str">
        <f>INDEX(AG$6:AG$182,MATCH($AR140,$AF$6:$AF$182,0))</f>
        <v>5</v>
      </c>
      <c r="BC140" s="153">
        <f>INDEX(AH$6:AH$182,MATCH($AR140,$AF$6:$AF$182,0))</f>
        <v>113</v>
      </c>
      <c r="BD140" s="153">
        <f>INDEX(AI$6:AI$182,MATCH($AR140,$AF$6:$AF$182,0))</f>
        <v>-21</v>
      </c>
      <c r="BE140" s="153">
        <f>BC140-AO140</f>
        <v>-22</v>
      </c>
      <c r="BF140" s="153"/>
      <c r="BG140" s="153"/>
      <c r="BH140" s="195" t="str">
        <f>INDEX($AE$6:$AE$182,MATCH(AR140,$AF$6:$AF$182,0))</f>
        <v>RB</v>
      </c>
      <c r="BI140" s="195">
        <f>SUMIF($BH$6:BH140,BH140,$BK$6:BK140)</f>
        <v>40</v>
      </c>
      <c r="BJ140" s="194">
        <v>1</v>
      </c>
      <c r="BK140" s="194">
        <f t="shared" si="19"/>
        <v>1</v>
      </c>
      <c r="BL140" s="194" t="str">
        <f>IF('Real Time Draft Tool'!B140="y","y","")</f>
        <v/>
      </c>
      <c r="BM140" s="194" t="str">
        <f t="shared" si="20"/>
        <v>RB 40</v>
      </c>
    </row>
    <row r="141" spans="31:65" x14ac:dyDescent="0.25">
      <c r="AE141" s="195" t="s">
        <v>260</v>
      </c>
      <c r="AF141" s="195" t="str">
        <f t="shared" si="16"/>
        <v>Marvin Jones</v>
      </c>
      <c r="AG141" s="195" t="str">
        <f t="shared" si="16"/>
        <v>4</v>
      </c>
      <c r="AH141" s="195">
        <f t="shared" si="17"/>
        <v>132</v>
      </c>
      <c r="AI141" s="195">
        <f t="shared" si="15"/>
        <v>22</v>
      </c>
      <c r="AJ141" s="195">
        <f t="shared" si="18"/>
        <v>9.8051461666666895E-2</v>
      </c>
      <c r="AK141" s="195">
        <f t="shared" si="18"/>
        <v>0.62781937862104309</v>
      </c>
      <c r="AL141" s="195">
        <f t="shared" si="18"/>
        <v>3.5421478641359358E-4</v>
      </c>
      <c r="AM141" s="195" t="str">
        <f t="shared" si="18"/>
        <v>7</v>
      </c>
      <c r="AN141" s="153"/>
      <c r="AO141" s="153">
        <v>136</v>
      </c>
      <c r="AP141" s="153">
        <v>137</v>
      </c>
      <c r="AQ141" s="153">
        <f>AP141-AO141</f>
        <v>1</v>
      </c>
      <c r="AR141" s="86" t="s">
        <v>226</v>
      </c>
      <c r="AS141" s="153" t="str">
        <f>BH141&amp;" "&amp;BI141</f>
        <v>WR 57</v>
      </c>
      <c r="AT141" s="153">
        <f>IF(AU141&gt;8,1,IF(AU141&gt;6.4,2,IF(AU141&gt;6,3,IF(AU141&gt;5,4,IF(AU141&gt;3.5,5,IF(AU141&gt;2.5,6,IF(AU141&gt;1.5,7,IF(AU141&gt;0.5,8,IF(AU141&gt;-0.5,9,10)))))))))</f>
        <v>10</v>
      </c>
      <c r="AU141" s="169">
        <f>SUM(AV141,AZ141,BA141)</f>
        <v>-1.3788045283333332</v>
      </c>
      <c r="AV141" s="169">
        <f>INDEX(AJ$6:AJ$182,MATCH($AR141,$AF$6:$AF$182,0))</f>
        <v>-1.3788045283333332</v>
      </c>
      <c r="AW141" s="169">
        <f>INDEX(AK$6:AK$182,MATCH($AR141,$AF$6:$AF$182,0))</f>
        <v>0.95101941697416714</v>
      </c>
      <c r="AX141" s="168">
        <f>SUMIFS(AV142:AV$183,AV142:AV$183,"&gt;"&amp;0,$BH142:$BH$183,"="&amp;$BH141,$BK142:$BK$183,"="&amp;1)/SUMIFS(AV$6:AV$183,AV$6:AV$183,"&gt;"&amp;0,$BH$6:$BH$183,"="&amp;$BH141)</f>
        <v>0</v>
      </c>
      <c r="AY141" s="168">
        <f>SUMIFS(AU142:AU$183,AU142:AU$183,"&gt;"&amp;0,BH142:BH$183,"="&amp;BH141,BK142:BK$183,"="&amp;1)/SUMIFS(AU$6:AU$183,AU$6:AU$183,"&gt;"&amp;0,BH$6:BH$183,"="&amp;BH141)</f>
        <v>0</v>
      </c>
      <c r="AZ141" s="169">
        <f>IF(AW141&gt;Adjustments!$J$6,Adjustments!$L$6,IF(AW141&gt;Adjustments!$J$7,Adjustments!$L$7,IF(AW141&gt;Adjustments!$J$8,Adjustments!$L$8,IF(AW141&lt;Adjustments!$J$10,Adjustments!$L$10,IF(AW141&lt;Adjustments!$J$9,Adjustments!$L$9,0)))))</f>
        <v>0</v>
      </c>
      <c r="BA141" s="169">
        <f>INDEX(Adjustments!$C$4:$C$2520,MATCH(AR141,Adjustments!$B$4:$B$2520,0))</f>
        <v>0</v>
      </c>
      <c r="BB141" s="153" t="str">
        <f>INDEX(AG$6:AG$182,MATCH($AR141,$AF$6:$AF$182,0))</f>
        <v>5</v>
      </c>
      <c r="BC141" s="153">
        <f>INDEX(AH$6:AH$182,MATCH($AR141,$AF$6:$AF$182,0))</f>
        <v>200</v>
      </c>
      <c r="BD141" s="153">
        <f>INDEX(AI$6:AI$182,MATCH($AR141,$AF$6:$AF$182,0))</f>
        <v>0</v>
      </c>
      <c r="BE141" s="153">
        <f>BC141-AO141</f>
        <v>64</v>
      </c>
      <c r="BF141" s="153"/>
      <c r="BG141" s="153"/>
      <c r="BH141" s="195" t="str">
        <f>INDEX($AE$6:$AE$182,MATCH(AR141,$AF$6:$AF$182,0))</f>
        <v>WR</v>
      </c>
      <c r="BI141" s="195">
        <f>SUMIF($BH$6:BH141,BH141,$BK$6:BK141)</f>
        <v>57</v>
      </c>
      <c r="BJ141" s="194">
        <v>1</v>
      </c>
      <c r="BK141" s="194">
        <f t="shared" si="19"/>
        <v>1</v>
      </c>
      <c r="BL141" s="194" t="str">
        <f>IF('Real Time Draft Tool'!B141="y","y","")</f>
        <v/>
      </c>
      <c r="BM141" s="194" t="str">
        <f t="shared" si="20"/>
        <v>WR 57</v>
      </c>
    </row>
    <row r="142" spans="31:65" x14ac:dyDescent="0.25">
      <c r="AE142" s="195" t="s">
        <v>260</v>
      </c>
      <c r="AF142" s="195" t="str">
        <f t="shared" si="16"/>
        <v>Mike Evans</v>
      </c>
      <c r="AG142" s="195" t="str">
        <f t="shared" si="16"/>
        <v>7</v>
      </c>
      <c r="AH142" s="195">
        <f t="shared" si="17"/>
        <v>117</v>
      </c>
      <c r="AI142" s="195">
        <f t="shared" si="15"/>
        <v>6</v>
      </c>
      <c r="AJ142" s="195">
        <f t="shared" si="18"/>
        <v>4.7302513333333157E-2</v>
      </c>
      <c r="AK142" s="195">
        <f t="shared" si="18"/>
        <v>0.75061422851694171</v>
      </c>
      <c r="AL142" s="195">
        <f t="shared" si="18"/>
        <v>0</v>
      </c>
      <c r="AM142" s="195" t="str">
        <f t="shared" si="18"/>
        <v>7+</v>
      </c>
      <c r="AN142" s="153"/>
      <c r="AO142" s="153">
        <v>137</v>
      </c>
      <c r="AP142" s="153">
        <v>139</v>
      </c>
      <c r="AQ142" s="153">
        <f>AP142-AO142</f>
        <v>2</v>
      </c>
      <c r="AR142" s="86" t="s">
        <v>223</v>
      </c>
      <c r="AS142" s="153" t="str">
        <f>BH142&amp;" "&amp;BI142</f>
        <v>WR 58</v>
      </c>
      <c r="AT142" s="153">
        <f>IF(AU142&gt;8,1,IF(AU142&gt;6.4,2,IF(AU142&gt;6,3,IF(AU142&gt;5,4,IF(AU142&gt;3.5,5,IF(AU142&gt;2.5,6,IF(AU142&gt;1.5,7,IF(AU142&gt;0.5,8,IF(AU142&gt;-0.5,9,10)))))))))</f>
        <v>10</v>
      </c>
      <c r="AU142" s="169">
        <f>SUM(AV142,AZ142,BA142)</f>
        <v>-1.4054067216666664</v>
      </c>
      <c r="AV142" s="169">
        <f>INDEX(AJ$6:AJ$182,MATCH($AR142,$AF$6:$AF$182,0))</f>
        <v>-1.4054067216666664</v>
      </c>
      <c r="AW142" s="169">
        <f>INDEX(AK$6:AK$182,MATCH($AR142,$AF$6:$AF$182,0))</f>
        <v>0.8918557798855683</v>
      </c>
      <c r="AX142" s="168">
        <f>SUMIFS(AV143:AV$183,AV143:AV$183,"&gt;"&amp;0,$BH143:$BH$183,"="&amp;$BH142,$BK143:$BK$183,"="&amp;1)/SUMIFS(AV$6:AV$183,AV$6:AV$183,"&gt;"&amp;0,$BH$6:$BH$183,"="&amp;$BH142)</f>
        <v>0</v>
      </c>
      <c r="AY142" s="168">
        <f>SUMIFS(AU143:AU$183,AU143:AU$183,"&gt;"&amp;0,BH143:BH$183,"="&amp;BH142,BK143:BK$183,"="&amp;1)/SUMIFS(AU$6:AU$183,AU$6:AU$183,"&gt;"&amp;0,BH$6:BH$183,"="&amp;BH142)</f>
        <v>0</v>
      </c>
      <c r="AZ142" s="169">
        <f>IF(AW142&gt;Adjustments!$J$6,Adjustments!$L$6,IF(AW142&gt;Adjustments!$J$7,Adjustments!$L$7,IF(AW142&gt;Adjustments!$J$8,Adjustments!$L$8,IF(AW142&lt;Adjustments!$J$10,Adjustments!$L$10,IF(AW142&lt;Adjustments!$J$9,Adjustments!$L$9,0)))))</f>
        <v>0</v>
      </c>
      <c r="BA142" s="169">
        <f>INDEX(Adjustments!$C$4:$C$2520,MATCH(AR142,Adjustments!$B$4:$B$2520,0))</f>
        <v>0</v>
      </c>
      <c r="BB142" s="153" t="str">
        <f>INDEX(AG$6:AG$182,MATCH($AR142,$AF$6:$AF$182,0))</f>
        <v>9</v>
      </c>
      <c r="BC142" s="153">
        <f>INDEX(AH$6:AH$182,MATCH($AR142,$AF$6:$AF$182,0))</f>
        <v>179</v>
      </c>
      <c r="BD142" s="153">
        <f>INDEX(AI$6:AI$182,MATCH($AR142,$AF$6:$AF$182,0))</f>
        <v>40</v>
      </c>
      <c r="BE142" s="153">
        <f>BC142-AO142</f>
        <v>42</v>
      </c>
      <c r="BF142" s="153"/>
      <c r="BG142" s="153"/>
      <c r="BH142" s="195" t="str">
        <f>INDEX($AE$6:$AE$182,MATCH(AR142,$AF$6:$AF$182,0))</f>
        <v>WR</v>
      </c>
      <c r="BI142" s="195">
        <f>SUMIF($BH$6:BH142,BH142,$BK$6:BK142)</f>
        <v>58</v>
      </c>
      <c r="BJ142" s="194">
        <v>1</v>
      </c>
      <c r="BK142" s="194">
        <f t="shared" si="19"/>
        <v>1</v>
      </c>
      <c r="BL142" s="194" t="str">
        <f>IF('Real Time Draft Tool'!B142="y","y","")</f>
        <v/>
      </c>
      <c r="BM142" s="194" t="str">
        <f t="shared" si="20"/>
        <v>WR 58</v>
      </c>
    </row>
    <row r="143" spans="31:65" x14ac:dyDescent="0.25">
      <c r="AE143" s="195" t="s">
        <v>260</v>
      </c>
      <c r="AF143" s="195" t="str">
        <f t="shared" si="16"/>
        <v>DeAndre Hopkins</v>
      </c>
      <c r="AG143" s="195" t="str">
        <f t="shared" si="16"/>
        <v>10</v>
      </c>
      <c r="AH143" s="195">
        <f t="shared" si="17"/>
        <v>124</v>
      </c>
      <c r="AI143" s="195">
        <f t="shared" si="15"/>
        <v>10</v>
      </c>
      <c r="AJ143" s="195">
        <f t="shared" si="18"/>
        <v>-3.6390175000000267E-2</v>
      </c>
      <c r="AK143" s="195">
        <f t="shared" si="18"/>
        <v>1.1357100033619965</v>
      </c>
      <c r="AL143" s="195">
        <f t="shared" si="18"/>
        <v>0</v>
      </c>
      <c r="AM143" s="195" t="str">
        <f t="shared" si="18"/>
        <v>7+</v>
      </c>
      <c r="AN143" s="153"/>
      <c r="AO143" s="153">
        <v>138</v>
      </c>
      <c r="AP143" s="153">
        <v>140</v>
      </c>
      <c r="AQ143" s="153">
        <f>AP143-AO143</f>
        <v>2</v>
      </c>
      <c r="AR143" s="86" t="s">
        <v>212</v>
      </c>
      <c r="AS143" s="153" t="str">
        <f>BH143&amp;" "&amp;BI143</f>
        <v>TE 21</v>
      </c>
      <c r="AT143" s="153">
        <f>IF(AU143&gt;8,1,IF(AU143&gt;6.4,2,IF(AU143&gt;6,3,IF(AU143&gt;5,4,IF(AU143&gt;3.5,5,IF(AU143&gt;2.5,6,IF(AU143&gt;1.5,7,IF(AU143&gt;0.5,8,IF(AU143&gt;-0.5,9,10)))))))))</f>
        <v>10</v>
      </c>
      <c r="AU143" s="169">
        <f>SUM(AV143,AZ143,BA143)</f>
        <v>-1.4739945716666669</v>
      </c>
      <c r="AV143" s="169">
        <f>INDEX(AJ$6:AJ$182,MATCH($AR143,$AF$6:$AF$182,0))</f>
        <v>-1.4739945716666669</v>
      </c>
      <c r="AW143" s="169">
        <f>INDEX(AK$6:AK$182,MATCH($AR143,$AF$6:$AF$182,0))</f>
        <v>0.91400547994581305</v>
      </c>
      <c r="AX143" s="168">
        <f>SUMIFS(AV144:AV$183,AV144:AV$183,"&gt;"&amp;0,$BH144:$BH$183,"="&amp;$BH143,$BK144:$BK$183,"="&amp;1)/SUMIFS(AV$6:AV$183,AV$6:AV$183,"&gt;"&amp;0,$BH$6:$BH$183,"="&amp;$BH143)</f>
        <v>0</v>
      </c>
      <c r="AY143" s="168">
        <f>SUMIFS(AU144:AU$183,AU144:AU$183,"&gt;"&amp;0,BH144:BH$183,"="&amp;BH143,BK144:BK$183,"="&amp;1)/SUMIFS(AU$6:AU$183,AU$6:AU$183,"&gt;"&amp;0,BH$6:BH$183,"="&amp;BH143)</f>
        <v>0</v>
      </c>
      <c r="AZ143" s="169">
        <f>IF(AW143&gt;Adjustments!$J$6,Adjustments!$L$6,IF(AW143&gt;Adjustments!$J$7,Adjustments!$L$7,IF(AW143&gt;Adjustments!$J$8,Adjustments!$L$8,IF(AW143&lt;Adjustments!$J$10,Adjustments!$L$10,IF(AW143&lt;Adjustments!$J$9,Adjustments!$L$9,0)))))</f>
        <v>0</v>
      </c>
      <c r="BA143" s="169">
        <f>INDEX(Adjustments!$C$4:$C$2520,MATCH(AR143,Adjustments!$B$4:$B$2520,0))</f>
        <v>0</v>
      </c>
      <c r="BB143" s="153" t="str">
        <f>INDEX(AG$6:AG$182,MATCH($AR143,$AF$6:$AF$182,0))</f>
        <v>4</v>
      </c>
      <c r="BC143" s="153">
        <f>INDEX(AH$6:AH$182,MATCH($AR143,$AF$6:$AF$182,0))</f>
        <v>200</v>
      </c>
      <c r="BD143" s="153">
        <f>INDEX(AI$6:AI$182,MATCH($AR143,$AF$6:$AF$182,0))</f>
        <v>0</v>
      </c>
      <c r="BE143" s="153">
        <f>BC143-AO143</f>
        <v>62</v>
      </c>
      <c r="BF143" s="153"/>
      <c r="BG143" s="153"/>
      <c r="BH143" s="195" t="str">
        <f>INDEX($AE$6:$AE$182,MATCH(AR143,$AF$6:$AF$182,0))</f>
        <v>TE</v>
      </c>
      <c r="BI143" s="195">
        <f>SUMIF($BH$6:BH143,BH143,$BK$6:BK143)</f>
        <v>21</v>
      </c>
      <c r="BJ143" s="194">
        <v>1</v>
      </c>
      <c r="BK143" s="194">
        <f t="shared" si="19"/>
        <v>1</v>
      </c>
      <c r="BL143" s="194" t="str">
        <f>IF('Real Time Draft Tool'!B143="y","y","")</f>
        <v/>
      </c>
      <c r="BM143" s="194" t="str">
        <f t="shared" si="20"/>
        <v>TE 21</v>
      </c>
    </row>
    <row r="144" spans="31:65" x14ac:dyDescent="0.25">
      <c r="AE144" s="195" t="s">
        <v>260</v>
      </c>
      <c r="AF144" s="195" t="str">
        <f t="shared" si="16"/>
        <v>James Jones</v>
      </c>
      <c r="AG144" s="195" t="str">
        <f t="shared" si="16"/>
        <v>5</v>
      </c>
      <c r="AH144" s="195">
        <f t="shared" si="17"/>
        <v>149</v>
      </c>
      <c r="AI144" s="195">
        <f t="shared" si="15"/>
        <v>33</v>
      </c>
      <c r="AJ144" s="195">
        <f t="shared" si="18"/>
        <v>-7.1056831666666459E-2</v>
      </c>
      <c r="AK144" s="195">
        <f t="shared" si="18"/>
        <v>1.0640842291728534</v>
      </c>
      <c r="AL144" s="195">
        <f t="shared" si="18"/>
        <v>0</v>
      </c>
      <c r="AM144" s="195" t="str">
        <f t="shared" si="18"/>
        <v>7</v>
      </c>
      <c r="AN144" s="153"/>
      <c r="AO144" s="153">
        <v>139</v>
      </c>
      <c r="AP144" s="153">
        <v>138</v>
      </c>
      <c r="AQ144" s="153">
        <f>AP144-AO144</f>
        <v>-1</v>
      </c>
      <c r="AR144" s="86" t="s">
        <v>220</v>
      </c>
      <c r="AS144" s="153" t="str">
        <f>BH144&amp;" "&amp;BI144</f>
        <v>WR 59</v>
      </c>
      <c r="AT144" s="153">
        <f>IF(AU144&gt;8,1,IF(AU144&gt;6.4,2,IF(AU144&gt;6,3,IF(AU144&gt;5,4,IF(AU144&gt;3.5,5,IF(AU144&gt;2.5,6,IF(AU144&gt;1.5,7,IF(AU144&gt;0.5,8,IF(AU144&gt;-0.5,9,10)))))))))</f>
        <v>10</v>
      </c>
      <c r="AU144" s="169">
        <f>SUM(AV144,AZ144,BA144)</f>
        <v>-1.5294660166666667</v>
      </c>
      <c r="AV144" s="169">
        <f>INDEX(AJ$6:AJ$182,MATCH($AR144,$AF$6:$AF$182,0))</f>
        <v>-1.3794660166666668</v>
      </c>
      <c r="AW144" s="169">
        <f>INDEX(AK$6:AK$182,MATCH($AR144,$AF$6:$AF$182,0))</f>
        <v>1.210980999650759</v>
      </c>
      <c r="AX144" s="168">
        <f>SUMIFS(AV145:AV$183,AV145:AV$183,"&gt;"&amp;0,$BH145:$BH$183,"="&amp;$BH144,$BK145:$BK$183,"="&amp;1)/SUMIFS(AV$6:AV$183,AV$6:AV$183,"&gt;"&amp;0,$BH$6:$BH$183,"="&amp;$BH144)</f>
        <v>0</v>
      </c>
      <c r="AY144" s="168">
        <f>SUMIFS(AU145:AU$183,AU145:AU$183,"&gt;"&amp;0,BH145:BH$183,"="&amp;BH144,BK145:BK$183,"="&amp;1)/SUMIFS(AU$6:AU$183,AU$6:AU$183,"&gt;"&amp;0,BH$6:BH$183,"="&amp;BH144)</f>
        <v>0</v>
      </c>
      <c r="AZ144" s="169">
        <f>IF(AW144&gt;Adjustments!$J$6,Adjustments!$L$6,IF(AW144&gt;Adjustments!$J$7,Adjustments!$L$7,IF(AW144&gt;Adjustments!$J$8,Adjustments!$L$8,IF(AW144&lt;Adjustments!$J$10,Adjustments!$L$10,IF(AW144&lt;Adjustments!$J$9,Adjustments!$L$9,0)))))</f>
        <v>-0.15</v>
      </c>
      <c r="BA144" s="169">
        <f>INDEX(Adjustments!$C$4:$C$2520,MATCH(AR144,Adjustments!$B$4:$B$2520,0))</f>
        <v>0</v>
      </c>
      <c r="BB144" s="153" t="str">
        <f>INDEX(AG$6:AG$182,MATCH($AR144,$AF$6:$AF$182,0))</f>
        <v>12</v>
      </c>
      <c r="BC144" s="153">
        <f>INDEX(AH$6:AH$182,MATCH($AR144,$AF$6:$AF$182,0))</f>
        <v>156</v>
      </c>
      <c r="BD144" s="153">
        <f>INDEX(AI$6:AI$182,MATCH($AR144,$AF$6:$AF$182,0))</f>
        <v>18</v>
      </c>
      <c r="BE144" s="153">
        <f>BC144-AO144</f>
        <v>17</v>
      </c>
      <c r="BF144" s="153"/>
      <c r="BG144" s="153"/>
      <c r="BH144" s="195" t="str">
        <f>INDEX($AE$6:$AE$182,MATCH(AR144,$AF$6:$AF$182,0))</f>
        <v>WR</v>
      </c>
      <c r="BI144" s="195">
        <f>SUMIF($BH$6:BH144,BH144,$BK$6:BK144)</f>
        <v>59</v>
      </c>
      <c r="BJ144" s="194">
        <v>1</v>
      </c>
      <c r="BK144" s="194">
        <f t="shared" si="19"/>
        <v>1</v>
      </c>
      <c r="BL144" s="194" t="str">
        <f>IF('Real Time Draft Tool'!B144="y","y","")</f>
        <v/>
      </c>
      <c r="BM144" s="194" t="str">
        <f t="shared" si="20"/>
        <v>WR 59</v>
      </c>
    </row>
    <row r="145" spans="31:65" x14ac:dyDescent="0.25">
      <c r="AE145" s="195" t="s">
        <v>260</v>
      </c>
      <c r="AF145" s="195" t="str">
        <f t="shared" si="16"/>
        <v>Danny Amendola</v>
      </c>
      <c r="AG145" s="195" t="str">
        <f t="shared" si="16"/>
        <v>10</v>
      </c>
      <c r="AH145" s="195">
        <f t="shared" si="17"/>
        <v>121</v>
      </c>
      <c r="AI145" s="195">
        <f t="shared" si="15"/>
        <v>4</v>
      </c>
      <c r="AJ145" s="195">
        <f t="shared" si="18"/>
        <v>-0.16314015500000012</v>
      </c>
      <c r="AK145" s="195">
        <f t="shared" si="18"/>
        <v>1.11729696591012</v>
      </c>
      <c r="AL145" s="195">
        <f t="shared" si="18"/>
        <v>0</v>
      </c>
      <c r="AM145" s="195" t="str">
        <f t="shared" si="18"/>
        <v>8</v>
      </c>
      <c r="AN145" s="153"/>
      <c r="AO145" s="153">
        <v>140</v>
      </c>
      <c r="AP145" s="153">
        <v>144</v>
      </c>
      <c r="AQ145" s="153">
        <f>AP145-AO145</f>
        <v>4</v>
      </c>
      <c r="AR145" s="86" t="s">
        <v>94</v>
      </c>
      <c r="AS145" s="153" t="str">
        <f>BH145&amp;" "&amp;BI145</f>
        <v>QB 20</v>
      </c>
      <c r="AT145" s="153">
        <f>IF(AU145&gt;8,1,IF(AU145&gt;6.4,2,IF(AU145&gt;6,3,IF(AU145&gt;5,4,IF(AU145&gt;3.5,5,IF(AU145&gt;2.5,6,IF(AU145&gt;1.5,7,IF(AU145&gt;0.5,8,IF(AU145&gt;-0.5,9,10)))))))))</f>
        <v>10</v>
      </c>
      <c r="AU145" s="169">
        <f>SUM(AV145,AZ145,BA145)</f>
        <v>-1.5778810500000002</v>
      </c>
      <c r="AV145" s="169">
        <f>INDEX(AJ$6:AJ$182,MATCH($AR145,$AF$6:$AF$182,0))</f>
        <v>-1.7778810500000002</v>
      </c>
      <c r="AW145" s="169">
        <f>INDEX(AK$6:AK$182,MATCH($AR145,$AF$6:$AF$182,0))</f>
        <v>0.63896725527186349</v>
      </c>
      <c r="AX145" s="168">
        <f>SUMIFS(AV146:AV$183,AV146:AV$183,"&gt;"&amp;0,$BH146:$BH$183,"="&amp;$BH145,$BK146:$BK$183,"="&amp;1)/SUMIFS(AV$6:AV$183,AV$6:AV$183,"&gt;"&amp;0,$BH$6:$BH$183,"="&amp;$BH145)</f>
        <v>0</v>
      </c>
      <c r="AY145" s="168">
        <f>SUMIFS(AU146:AU$183,AU146:AU$183,"&gt;"&amp;0,BH146:BH$183,"="&amp;BH145,BK146:BK$183,"="&amp;1)/SUMIFS(AU$6:AU$183,AU$6:AU$183,"&gt;"&amp;0,BH$6:BH$183,"="&amp;BH145)</f>
        <v>0</v>
      </c>
      <c r="AZ145" s="169">
        <f>IF(AW145&gt;Adjustments!$J$6,Adjustments!$L$6,IF(AW145&gt;Adjustments!$J$7,Adjustments!$L$7,IF(AW145&gt;Adjustments!$J$8,Adjustments!$L$8,IF(AW145&lt;Adjustments!$J$10,Adjustments!$L$10,IF(AW145&lt;Adjustments!$J$9,Adjustments!$L$9,0)))))</f>
        <v>0.2</v>
      </c>
      <c r="BA145" s="169">
        <f>INDEX(Adjustments!$C$4:$C$2520,MATCH(AR145,Adjustments!$B$4:$B$2520,0))</f>
        <v>0</v>
      </c>
      <c r="BB145" s="153" t="str">
        <f>INDEX(AG$6:AG$182,MATCH($AR145,$AF$6:$AF$182,0))</f>
        <v>4</v>
      </c>
      <c r="BC145" s="153">
        <f>INDEX(AH$6:AH$182,MATCH($AR145,$AF$6:$AF$182,0))</f>
        <v>161</v>
      </c>
      <c r="BD145" s="153">
        <f>INDEX(AI$6:AI$182,MATCH($AR145,$AF$6:$AF$182,0))</f>
        <v>15</v>
      </c>
      <c r="BE145" s="153">
        <f>BC145-AO145</f>
        <v>21</v>
      </c>
      <c r="BF145" s="153"/>
      <c r="BG145" s="153"/>
      <c r="BH145" s="195" t="str">
        <f>INDEX($AE$6:$AE$182,MATCH(AR145,$AF$6:$AF$182,0))</f>
        <v>QB</v>
      </c>
      <c r="BI145" s="195">
        <f>SUMIF($BH$6:BH145,BH145,$BK$6:BK145)</f>
        <v>20</v>
      </c>
      <c r="BJ145" s="194">
        <v>1</v>
      </c>
      <c r="BK145" s="194">
        <f t="shared" si="19"/>
        <v>1</v>
      </c>
      <c r="BL145" s="194" t="str">
        <f>IF('Real Time Draft Tool'!B145="y","y","")</f>
        <v/>
      </c>
      <c r="BM145" s="194" t="str">
        <f t="shared" si="20"/>
        <v>QB 20</v>
      </c>
    </row>
    <row r="146" spans="31:65" x14ac:dyDescent="0.25">
      <c r="AE146" s="195" t="s">
        <v>260</v>
      </c>
      <c r="AF146" s="195" t="str">
        <f t="shared" si="16"/>
        <v>Doug Baldwin</v>
      </c>
      <c r="AG146" s="195" t="str">
        <f t="shared" si="16"/>
        <v>4</v>
      </c>
      <c r="AH146" s="195">
        <f t="shared" si="17"/>
        <v>181</v>
      </c>
      <c r="AI146" s="195">
        <f t="shared" si="15"/>
        <v>61</v>
      </c>
      <c r="AJ146" s="195">
        <f t="shared" si="18"/>
        <v>-0.44824940000000008</v>
      </c>
      <c r="AK146" s="195">
        <f t="shared" si="18"/>
        <v>0.40765381926781474</v>
      </c>
      <c r="AL146" s="195">
        <f t="shared" si="18"/>
        <v>0</v>
      </c>
      <c r="AM146" s="195" t="str">
        <f t="shared" si="18"/>
        <v>8</v>
      </c>
      <c r="AN146" s="153"/>
      <c r="AO146" s="153">
        <v>141</v>
      </c>
      <c r="AP146" s="153">
        <v>141</v>
      </c>
      <c r="AQ146" s="153">
        <f>AP146-AO146</f>
        <v>0</v>
      </c>
      <c r="AR146" s="86" t="s">
        <v>215</v>
      </c>
      <c r="AS146" s="153" t="str">
        <f>BH146&amp;" "&amp;BI146</f>
        <v>TE 22</v>
      </c>
      <c r="AT146" s="153">
        <f>IF(AU146&gt;8,1,IF(AU146&gt;6.4,2,IF(AU146&gt;6,3,IF(AU146&gt;5,4,IF(AU146&gt;3.5,5,IF(AU146&gt;2.5,6,IF(AU146&gt;1.5,7,IF(AU146&gt;0.5,8,IF(AU146&gt;-0.5,9,10)))))))))</f>
        <v>10</v>
      </c>
      <c r="AU146" s="169">
        <f>SUM(AV146,AZ146,BA146)</f>
        <v>-1.5975778950000001</v>
      </c>
      <c r="AV146" s="169">
        <f>INDEX(AJ$6:AJ$182,MATCH($AR146,$AF$6:$AF$182,0))</f>
        <v>-1.5975778950000001</v>
      </c>
      <c r="AW146" s="169">
        <f>INDEX(AK$6:AK$182,MATCH($AR146,$AF$6:$AF$182,0))</f>
        <v>0.98633313651967147</v>
      </c>
      <c r="AX146" s="168">
        <f>SUMIFS(AV147:AV$183,AV147:AV$183,"&gt;"&amp;0,$BH147:$BH$183,"="&amp;$BH146,$BK147:$BK$183,"="&amp;1)/SUMIFS(AV$6:AV$183,AV$6:AV$183,"&gt;"&amp;0,$BH$6:$BH$183,"="&amp;$BH146)</f>
        <v>0</v>
      </c>
      <c r="AY146" s="168">
        <f>SUMIFS(AU147:AU$183,AU147:AU$183,"&gt;"&amp;0,BH147:BH$183,"="&amp;BH146,BK147:BK$183,"="&amp;1)/SUMIFS(AU$6:AU$183,AU$6:AU$183,"&gt;"&amp;0,BH$6:BH$183,"="&amp;BH146)</f>
        <v>0</v>
      </c>
      <c r="AZ146" s="169">
        <f>IF(AW146&gt;Adjustments!$J$6,Adjustments!$L$6,IF(AW146&gt;Adjustments!$J$7,Adjustments!$L$7,IF(AW146&gt;Adjustments!$J$8,Adjustments!$L$8,IF(AW146&lt;Adjustments!$J$10,Adjustments!$L$10,IF(AW146&lt;Adjustments!$J$9,Adjustments!$L$9,0)))))</f>
        <v>0</v>
      </c>
      <c r="BA146" s="169">
        <f>INDEX(Adjustments!$C$4:$C$2520,MATCH(AR146,Adjustments!$B$4:$B$2520,0))</f>
        <v>0</v>
      </c>
      <c r="BB146" s="153" t="str">
        <f>INDEX(AG$6:AG$182,MATCH($AR146,$AF$6:$AF$182,0))</f>
        <v>10</v>
      </c>
      <c r="BC146" s="153">
        <f>INDEX(AH$6:AH$182,MATCH($AR146,$AF$6:$AF$182,0))</f>
        <v>200</v>
      </c>
      <c r="BD146" s="153">
        <f>INDEX(AI$6:AI$182,MATCH($AR146,$AF$6:$AF$182,0))</f>
        <v>0</v>
      </c>
      <c r="BE146" s="153">
        <f>BC146-AO146</f>
        <v>59</v>
      </c>
      <c r="BF146" s="153"/>
      <c r="BG146" s="153"/>
      <c r="BH146" s="195" t="str">
        <f>INDEX($AE$6:$AE$182,MATCH(AR146,$AF$6:$AF$182,0))</f>
        <v>TE</v>
      </c>
      <c r="BI146" s="195">
        <f>SUMIF($BH$6:BH146,BH146,$BK$6:BK146)</f>
        <v>22</v>
      </c>
      <c r="BJ146" s="194">
        <v>1</v>
      </c>
      <c r="BK146" s="194">
        <f t="shared" si="19"/>
        <v>1</v>
      </c>
      <c r="BL146" s="194" t="str">
        <f>IF('Real Time Draft Tool'!B146="y","y","")</f>
        <v/>
      </c>
      <c r="BM146" s="194" t="str">
        <f t="shared" si="20"/>
        <v>TE 22</v>
      </c>
    </row>
    <row r="147" spans="31:65" x14ac:dyDescent="0.25">
      <c r="AE147" s="195" t="s">
        <v>260</v>
      </c>
      <c r="AF147" s="195" t="str">
        <f t="shared" si="16"/>
        <v>Brandin Cooks</v>
      </c>
      <c r="AG147" s="195" t="str">
        <f t="shared" si="16"/>
        <v>6</v>
      </c>
      <c r="AH147" s="195">
        <f t="shared" si="17"/>
        <v>108</v>
      </c>
      <c r="AI147" s="195">
        <f t="shared" si="15"/>
        <v>-13</v>
      </c>
      <c r="AJ147" s="195">
        <f t="shared" si="18"/>
        <v>-0.47763489666666675</v>
      </c>
      <c r="AK147" s="195">
        <f t="shared" si="18"/>
        <v>1.4704983669915488</v>
      </c>
      <c r="AL147" s="195">
        <f t="shared" si="18"/>
        <v>0</v>
      </c>
      <c r="AM147" s="195" t="str">
        <f t="shared" si="18"/>
        <v>8</v>
      </c>
      <c r="AN147" s="153"/>
      <c r="AO147" s="153">
        <v>142</v>
      </c>
      <c r="AP147" s="153">
        <v>136</v>
      </c>
      <c r="AQ147" s="153">
        <f>AP147-AO147</f>
        <v>-6</v>
      </c>
      <c r="AR147" s="86" t="s">
        <v>217</v>
      </c>
      <c r="AS147" s="153" t="str">
        <f>BH147&amp;" "&amp;BI147</f>
        <v>WR 60</v>
      </c>
      <c r="AT147" s="153">
        <f>IF(AU147&gt;8,1,IF(AU147&gt;6.4,2,IF(AU147&gt;6,3,IF(AU147&gt;5,4,IF(AU147&gt;3.5,5,IF(AU147&gt;2.5,6,IF(AU147&gt;1.5,7,IF(AU147&gt;0.5,8,IF(AU147&gt;-0.5,9,10)))))))))</f>
        <v>10</v>
      </c>
      <c r="AU147" s="169">
        <f>SUM(AV147,AZ147,BA147)</f>
        <v>-1.6314982183333335</v>
      </c>
      <c r="AV147" s="169">
        <f>INDEX(AJ$6:AJ$182,MATCH($AR147,$AF$6:$AF$182,0))</f>
        <v>-1.3314982183333335</v>
      </c>
      <c r="AW147" s="169">
        <f>INDEX(AK$6:AK$182,MATCH($AR147,$AF$6:$AF$182,0))</f>
        <v>1.2733946464396668</v>
      </c>
      <c r="AX147" s="168">
        <f>SUMIFS(AV148:AV$183,AV148:AV$183,"&gt;"&amp;0,$BH148:$BH$183,"="&amp;$BH147,$BK148:$BK$183,"="&amp;1)/SUMIFS(AV$6:AV$183,AV$6:AV$183,"&gt;"&amp;0,$BH$6:$BH$183,"="&amp;$BH147)</f>
        <v>0</v>
      </c>
      <c r="AY147" s="168">
        <f>SUMIFS(AU148:AU$183,AU148:AU$183,"&gt;"&amp;0,BH148:BH$183,"="&amp;BH147,BK148:BK$183,"="&amp;1)/SUMIFS(AU$6:AU$183,AU$6:AU$183,"&gt;"&amp;0,BH$6:BH$183,"="&amp;BH147)</f>
        <v>0</v>
      </c>
      <c r="AZ147" s="169">
        <f>IF(AW147&gt;Adjustments!$J$6,Adjustments!$L$6,IF(AW147&gt;Adjustments!$J$7,Adjustments!$L$7,IF(AW147&gt;Adjustments!$J$8,Adjustments!$L$8,IF(AW147&lt;Adjustments!$J$10,Adjustments!$L$10,IF(AW147&lt;Adjustments!$J$9,Adjustments!$L$9,0)))))</f>
        <v>-0.3</v>
      </c>
      <c r="BA147" s="169">
        <f>INDEX(Adjustments!$C$4:$C$2520,MATCH(AR147,Adjustments!$B$4:$B$2520,0))</f>
        <v>0</v>
      </c>
      <c r="BB147" s="153" t="str">
        <f>INDEX(AG$6:AG$182,MATCH($AR147,$AF$6:$AF$182,0))</f>
        <v>9</v>
      </c>
      <c r="BC147" s="153">
        <f>INDEX(AH$6:AH$182,MATCH($AR147,$AF$6:$AF$182,0))</f>
        <v>187</v>
      </c>
      <c r="BD147" s="153">
        <f>INDEX(AI$6:AI$182,MATCH($AR147,$AF$6:$AF$182,0))</f>
        <v>51</v>
      </c>
      <c r="BE147" s="153">
        <f>BC147-AO147</f>
        <v>45</v>
      </c>
      <c r="BF147" s="153"/>
      <c r="BG147" s="153"/>
      <c r="BH147" s="195" t="str">
        <f>INDEX($AE$6:$AE$182,MATCH(AR147,$AF$6:$AF$182,0))</f>
        <v>WR</v>
      </c>
      <c r="BI147" s="195">
        <f>SUMIF($BH$6:BH147,BH147,$BK$6:BK147)</f>
        <v>60</v>
      </c>
      <c r="BJ147" s="194">
        <v>1</v>
      </c>
      <c r="BK147" s="194">
        <f t="shared" si="19"/>
        <v>1</v>
      </c>
      <c r="BL147" s="194" t="str">
        <f>IF('Real Time Draft Tool'!B147="y","y","")</f>
        <v/>
      </c>
      <c r="BM147" s="194" t="str">
        <f t="shared" si="20"/>
        <v>WR 60</v>
      </c>
    </row>
    <row r="148" spans="31:65" x14ac:dyDescent="0.25">
      <c r="AE148" s="195" t="s">
        <v>260</v>
      </c>
      <c r="AF148" s="195" t="str">
        <f t="shared" si="16"/>
        <v>Tavon Austin</v>
      </c>
      <c r="AG148" s="195" t="str">
        <f t="shared" si="16"/>
        <v>4</v>
      </c>
      <c r="AH148" s="195">
        <f t="shared" si="17"/>
        <v>122</v>
      </c>
      <c r="AI148" s="195">
        <f t="shared" si="15"/>
        <v>-1</v>
      </c>
      <c r="AJ148" s="195">
        <f t="shared" si="18"/>
        <v>-0.60876524500000018</v>
      </c>
      <c r="AK148" s="195">
        <f t="shared" si="18"/>
        <v>1.1803977577774587</v>
      </c>
      <c r="AL148" s="195">
        <f t="shared" si="18"/>
        <v>0</v>
      </c>
      <c r="AM148" s="195" t="str">
        <f t="shared" si="18"/>
        <v>8+</v>
      </c>
      <c r="AN148" s="153"/>
      <c r="AO148" s="153">
        <v>143</v>
      </c>
      <c r="AP148" s="153">
        <v>142</v>
      </c>
      <c r="AQ148" s="153">
        <f>AP148-AO148</f>
        <v>-1</v>
      </c>
      <c r="AR148" s="86" t="s">
        <v>170</v>
      </c>
      <c r="AS148" s="153" t="str">
        <f>BH148&amp;" "&amp;BI148</f>
        <v>RB 41</v>
      </c>
      <c r="AT148" s="153">
        <f>IF(AU148&gt;8,1,IF(AU148&gt;6.4,2,IF(AU148&gt;6,3,IF(AU148&gt;5,4,IF(AU148&gt;3.5,5,IF(AU148&gt;2.5,6,IF(AU148&gt;1.5,7,IF(AU148&gt;0.5,8,IF(AU148&gt;-0.5,9,10)))))))))</f>
        <v>10</v>
      </c>
      <c r="AU148" s="169">
        <f>SUM(AV148,AZ148,BA148)</f>
        <v>-1.7569849966666664</v>
      </c>
      <c r="AV148" s="169">
        <f>INDEX(AJ$6:AJ$182,MATCH($AR148,$AF$6:$AF$182,0))</f>
        <v>-1.6069849966666665</v>
      </c>
      <c r="AW148" s="169">
        <f>INDEX(AK$6:AK$182,MATCH($AR148,$AF$6:$AF$182,0))</f>
        <v>1.1369509845144814</v>
      </c>
      <c r="AX148" s="168">
        <f>SUMIFS(AV149:AV$183,AV149:AV$183,"&gt;"&amp;0,$BH149:$BH$183,"="&amp;$BH148,$BK149:$BK$183,"="&amp;1)/SUMIFS(AV$6:AV$183,AV$6:AV$183,"&gt;"&amp;0,$BH$6:$BH$183,"="&amp;$BH148)</f>
        <v>0</v>
      </c>
      <c r="AY148" s="168">
        <f>SUMIFS(AU149:AU$183,AU149:AU$183,"&gt;"&amp;0,BH149:BH$183,"="&amp;BH148,BK149:BK$183,"="&amp;1)/SUMIFS(AU$6:AU$183,AU$6:AU$183,"&gt;"&amp;0,BH$6:BH$183,"="&amp;BH148)</f>
        <v>0</v>
      </c>
      <c r="AZ148" s="169">
        <f>IF(AW148&gt;Adjustments!$J$6,Adjustments!$L$6,IF(AW148&gt;Adjustments!$J$7,Adjustments!$L$7,IF(AW148&gt;Adjustments!$J$8,Adjustments!$L$8,IF(AW148&lt;Adjustments!$J$10,Adjustments!$L$10,IF(AW148&lt;Adjustments!$J$9,Adjustments!$L$9,0)))))</f>
        <v>-0.15</v>
      </c>
      <c r="BA148" s="169">
        <f>INDEX(Adjustments!$C$4:$C$2520,MATCH(AR148,Adjustments!$B$4:$B$2520,0))</f>
        <v>0</v>
      </c>
      <c r="BB148" s="153" t="str">
        <f>INDEX(AG$6:AG$182,MATCH($AR148,$AF$6:$AF$182,0))</f>
        <v>4</v>
      </c>
      <c r="BC148" s="153">
        <f>INDEX(AH$6:AH$182,MATCH($AR148,$AF$6:$AF$182,0))</f>
        <v>124</v>
      </c>
      <c r="BD148" s="153">
        <f>INDEX(AI$6:AI$182,MATCH($AR148,$AF$6:$AF$182,0))</f>
        <v>-18</v>
      </c>
      <c r="BE148" s="153">
        <f>BC148-AO148</f>
        <v>-19</v>
      </c>
      <c r="BF148" s="153"/>
      <c r="BG148" s="153"/>
      <c r="BH148" s="195" t="str">
        <f>INDEX($AE$6:$AE$182,MATCH(AR148,$AF$6:$AF$182,0))</f>
        <v>RB</v>
      </c>
      <c r="BI148" s="195">
        <f>SUMIF($BH$6:BH148,BH148,$BK$6:BK148)</f>
        <v>41</v>
      </c>
      <c r="BJ148" s="194">
        <v>1</v>
      </c>
      <c r="BK148" s="194">
        <f t="shared" si="19"/>
        <v>1</v>
      </c>
      <c r="BL148" s="194" t="str">
        <f>IF('Real Time Draft Tool'!B148="y","y","")</f>
        <v/>
      </c>
      <c r="BM148" s="194" t="str">
        <f t="shared" si="20"/>
        <v>RB 41</v>
      </c>
    </row>
    <row r="149" spans="31:65" x14ac:dyDescent="0.25">
      <c r="AE149" s="195" t="s">
        <v>260</v>
      </c>
      <c r="AF149" s="195" t="str">
        <f t="shared" si="16"/>
        <v>Steve Smith</v>
      </c>
      <c r="AG149" s="195" t="str">
        <f t="shared" si="16"/>
        <v>11</v>
      </c>
      <c r="AH149" s="195">
        <f t="shared" si="17"/>
        <v>146</v>
      </c>
      <c r="AI149" s="195">
        <f t="shared" si="15"/>
        <v>21</v>
      </c>
      <c r="AJ149" s="195">
        <f t="shared" si="18"/>
        <v>-0.66876085363636373</v>
      </c>
      <c r="AK149" s="195">
        <f t="shared" si="18"/>
        <v>0.83933334865859721</v>
      </c>
      <c r="AL149" s="195">
        <f t="shared" si="18"/>
        <v>0</v>
      </c>
      <c r="AM149" s="195" t="str">
        <f t="shared" si="18"/>
        <v>8-</v>
      </c>
      <c r="AN149" s="153"/>
      <c r="AO149" s="153">
        <v>144</v>
      </c>
      <c r="AP149" s="153">
        <v>143</v>
      </c>
      <c r="AQ149" s="153">
        <f>AP149-AO149</f>
        <v>-1</v>
      </c>
      <c r="AR149" s="86" t="s">
        <v>164</v>
      </c>
      <c r="AS149" s="153" t="str">
        <f>BH149&amp;" "&amp;BI149</f>
        <v>RB 42</v>
      </c>
      <c r="AT149" s="153">
        <f>IF(AU149&gt;8,1,IF(AU149&gt;6.4,2,IF(AU149&gt;6,3,IF(AU149&gt;5,4,IF(AU149&gt;3.5,5,IF(AU149&gt;2.5,6,IF(AU149&gt;1.5,7,IF(AU149&gt;0.5,8,IF(AU149&gt;-0.5,9,10)))))))))</f>
        <v>10</v>
      </c>
      <c r="AU149" s="169">
        <f>SUM(AV149,AZ149,BA149)</f>
        <v>-1.8162141433333336</v>
      </c>
      <c r="AV149" s="169">
        <f>INDEX(AJ$6:AJ$182,MATCH($AR149,$AF$6:$AF$182,0))</f>
        <v>-1.6662141433333337</v>
      </c>
      <c r="AW149" s="169">
        <f>INDEX(AK$6:AK$182,MATCH($AR149,$AF$6:$AF$182,0))</f>
        <v>1.0156316794162641</v>
      </c>
      <c r="AX149" s="168">
        <f>SUMIFS(AV150:AV$183,AV150:AV$183,"&gt;"&amp;0,$BH150:$BH$183,"="&amp;$BH149,$BK150:$BK$183,"="&amp;1)/SUMIFS(AV$6:AV$183,AV$6:AV$183,"&gt;"&amp;0,$BH$6:$BH$183,"="&amp;$BH149)</f>
        <v>0</v>
      </c>
      <c r="AY149" s="168">
        <f>SUMIFS(AU150:AU$183,AU150:AU$183,"&gt;"&amp;0,BH150:BH$183,"="&amp;BH149,BK150:BK$183,"="&amp;1)/SUMIFS(AU$6:AU$183,AU$6:AU$183,"&gt;"&amp;0,BH$6:BH$183,"="&amp;BH149)</f>
        <v>0</v>
      </c>
      <c r="AZ149" s="169">
        <f>IF(AW149&gt;Adjustments!$J$6,Adjustments!$L$6,IF(AW149&gt;Adjustments!$J$7,Adjustments!$L$7,IF(AW149&gt;Adjustments!$J$8,Adjustments!$L$8,IF(AW149&lt;Adjustments!$J$10,Adjustments!$L$10,IF(AW149&lt;Adjustments!$J$9,Adjustments!$L$9,0)))))</f>
        <v>-0.15</v>
      </c>
      <c r="BA149" s="169">
        <f>INDEX(Adjustments!$C$4:$C$2520,MATCH(AR149,Adjustments!$B$4:$B$2520,0))</f>
        <v>0</v>
      </c>
      <c r="BB149" s="153" t="str">
        <f>INDEX(AG$6:AG$182,MATCH($AR149,$AF$6:$AF$182,0))</f>
        <v>4</v>
      </c>
      <c r="BC149" s="153">
        <f>INDEX(AH$6:AH$182,MATCH($AR149,$AF$6:$AF$182,0))</f>
        <v>103</v>
      </c>
      <c r="BD149" s="153">
        <f>INDEX(AI$6:AI$182,MATCH($AR149,$AF$6:$AF$182,0))</f>
        <v>-41</v>
      </c>
      <c r="BE149" s="153">
        <f>BC149-AO149</f>
        <v>-41</v>
      </c>
      <c r="BF149" s="153"/>
      <c r="BG149" s="153"/>
      <c r="BH149" s="195" t="str">
        <f>INDEX($AE$6:$AE$182,MATCH(AR149,$AF$6:$AF$182,0))</f>
        <v>RB</v>
      </c>
      <c r="BI149" s="195">
        <f>SUMIF($BH$6:BH149,BH149,$BK$6:BK149)</f>
        <v>42</v>
      </c>
      <c r="BJ149" s="194">
        <v>1</v>
      </c>
      <c r="BK149" s="194">
        <f t="shared" si="19"/>
        <v>1</v>
      </c>
      <c r="BL149" s="194" t="str">
        <f>IF('Real Time Draft Tool'!B149="y","y","")</f>
        <v/>
      </c>
      <c r="BM149" s="194" t="str">
        <f t="shared" si="20"/>
        <v>RB 42</v>
      </c>
    </row>
    <row r="150" spans="31:65" x14ac:dyDescent="0.25">
      <c r="AE150" s="195" t="s">
        <v>260</v>
      </c>
      <c r="AF150" s="195" t="str">
        <f t="shared" si="16"/>
        <v>Kenny Stills</v>
      </c>
      <c r="AG150" s="195" t="str">
        <f t="shared" si="16"/>
        <v>6</v>
      </c>
      <c r="AH150" s="195">
        <f t="shared" si="17"/>
        <v>142</v>
      </c>
      <c r="AI150" s="195">
        <f t="shared" si="15"/>
        <v>16</v>
      </c>
      <c r="AJ150" s="195">
        <f t="shared" si="18"/>
        <v>-0.68071210000000026</v>
      </c>
      <c r="AK150" s="195">
        <f t="shared" si="18"/>
        <v>0.74406912622569732</v>
      </c>
      <c r="AL150" s="195">
        <f t="shared" si="18"/>
        <v>0</v>
      </c>
      <c r="AM150" s="195" t="str">
        <f t="shared" si="18"/>
        <v>8</v>
      </c>
      <c r="AN150" s="153"/>
      <c r="AO150" s="153">
        <v>145</v>
      </c>
      <c r="AP150" s="153">
        <v>147</v>
      </c>
      <c r="AQ150" s="153">
        <f>AP150-AO150</f>
        <v>2</v>
      </c>
      <c r="AR150" s="86" t="s">
        <v>97</v>
      </c>
      <c r="AS150" s="153" t="str">
        <f>BH150&amp;" "&amp;BI150</f>
        <v>QB 21</v>
      </c>
      <c r="AT150" s="153">
        <f>IF(AU150&gt;8,1,IF(AU150&gt;6.4,2,IF(AU150&gt;6,3,IF(AU150&gt;5,4,IF(AU150&gt;3.5,5,IF(AU150&gt;2.5,6,IF(AU150&gt;1.5,7,IF(AU150&gt;0.5,8,IF(AU150&gt;-0.5,9,10)))))))))</f>
        <v>10</v>
      </c>
      <c r="AU150" s="169">
        <f>SUM(AV150,AZ150,BA150)</f>
        <v>-1.8229716549999992</v>
      </c>
      <c r="AV150" s="169">
        <f>INDEX(AJ$6:AJ$182,MATCH($AR150,$AF$6:$AF$182,0))</f>
        <v>-2.0229716549999992</v>
      </c>
      <c r="AW150" s="169">
        <f>INDEX(AK$6:AK$182,MATCH($AR150,$AF$6:$AF$182,0))</f>
        <v>0.77261124077931431</v>
      </c>
      <c r="AX150" s="168">
        <f>SUMIFS(AV151:AV$183,AV151:AV$183,"&gt;"&amp;0,$BH151:$BH$183,"="&amp;$BH150,$BK151:$BK$183,"="&amp;1)/SUMIFS(AV$6:AV$183,AV$6:AV$183,"&gt;"&amp;0,$BH$6:$BH$183,"="&amp;$BH150)</f>
        <v>0</v>
      </c>
      <c r="AY150" s="168">
        <f>SUMIFS(AU151:AU$183,AU151:AU$183,"&gt;"&amp;0,BH151:BH$183,"="&amp;BH150,BK151:BK$183,"="&amp;1)/SUMIFS(AU$6:AU$183,AU$6:AU$183,"&gt;"&amp;0,BH$6:BH$183,"="&amp;BH150)</f>
        <v>0</v>
      </c>
      <c r="AZ150" s="169">
        <f>IF(AW150&gt;Adjustments!$J$6,Adjustments!$L$6,IF(AW150&gt;Adjustments!$J$7,Adjustments!$L$7,IF(AW150&gt;Adjustments!$J$8,Adjustments!$L$8,IF(AW150&lt;Adjustments!$J$10,Adjustments!$L$10,IF(AW150&lt;Adjustments!$J$9,Adjustments!$L$9,0)))))</f>
        <v>0.2</v>
      </c>
      <c r="BA150" s="169">
        <f>INDEX(Adjustments!$C$4:$C$2520,MATCH(AR150,Adjustments!$B$4:$B$2520,0))</f>
        <v>0</v>
      </c>
      <c r="BB150" s="153" t="str">
        <f>INDEX(AG$6:AG$182,MATCH($AR150,$AF$6:$AF$182,0))</f>
        <v>11</v>
      </c>
      <c r="BC150" s="153">
        <f>INDEX(AH$6:AH$182,MATCH($AR150,$AF$6:$AF$182,0))</f>
        <v>200</v>
      </c>
      <c r="BD150" s="153">
        <f>INDEX(AI$6:AI$182,MATCH($AR150,$AF$6:$AF$182,0))</f>
        <v>0</v>
      </c>
      <c r="BE150" s="153">
        <f>BC150-AO150</f>
        <v>55</v>
      </c>
      <c r="BF150" s="153"/>
      <c r="BG150" s="153"/>
      <c r="BH150" s="195" t="str">
        <f>INDEX($AE$6:$AE$182,MATCH(AR150,$AF$6:$AF$182,0))</f>
        <v>QB</v>
      </c>
      <c r="BI150" s="195">
        <f>SUMIF($BH$6:BH150,BH150,$BK$6:BK150)</f>
        <v>21</v>
      </c>
      <c r="BJ150" s="194">
        <v>1</v>
      </c>
      <c r="BK150" s="194">
        <f t="shared" si="19"/>
        <v>1</v>
      </c>
      <c r="BL150" s="194" t="str">
        <f>IF('Real Time Draft Tool'!B150="y","y","")</f>
        <v/>
      </c>
      <c r="BM150" s="194" t="str">
        <f t="shared" si="20"/>
        <v>QB 21</v>
      </c>
    </row>
    <row r="151" spans="31:65" x14ac:dyDescent="0.25">
      <c r="AE151" s="195" t="s">
        <v>260</v>
      </c>
      <c r="AF151" s="195" t="str">
        <f t="shared" si="16"/>
        <v>Jarrett Boykin</v>
      </c>
      <c r="AG151" s="195" t="str">
        <f t="shared" si="16"/>
        <v>9</v>
      </c>
      <c r="AH151" s="195">
        <f t="shared" si="17"/>
        <v>150</v>
      </c>
      <c r="AI151" s="195">
        <f t="shared" si="15"/>
        <v>23</v>
      </c>
      <c r="AJ151" s="195">
        <f t="shared" si="18"/>
        <v>-0.81038371500000028</v>
      </c>
      <c r="AK151" s="195">
        <f t="shared" si="18"/>
        <v>0.82053378045118031</v>
      </c>
      <c r="AL151" s="195">
        <f t="shared" si="18"/>
        <v>0</v>
      </c>
      <c r="AM151" s="195" t="str">
        <f t="shared" si="18"/>
        <v>8</v>
      </c>
      <c r="AN151" s="153"/>
      <c r="AO151" s="153">
        <v>146</v>
      </c>
      <c r="AP151" s="153">
        <v>145</v>
      </c>
      <c r="AQ151" s="153">
        <f>AP151-AO151</f>
        <v>-1</v>
      </c>
      <c r="AR151" s="86" t="s">
        <v>173</v>
      </c>
      <c r="AS151" s="153" t="str">
        <f>BH151&amp;" "&amp;BI151</f>
        <v>RB 43</v>
      </c>
      <c r="AT151" s="153">
        <f>IF(AU151&gt;8,1,IF(AU151&gt;6.4,2,IF(AU151&gt;6,3,IF(AU151&gt;5,4,IF(AU151&gt;3.5,5,IF(AU151&gt;2.5,6,IF(AU151&gt;1.5,7,IF(AU151&gt;0.5,8,IF(AU151&gt;-0.5,9,10)))))))))</f>
        <v>10</v>
      </c>
      <c r="AU151" s="169">
        <f>SUM(AV151,AZ151,BA151)</f>
        <v>-2.0439526950000002</v>
      </c>
      <c r="AV151" s="169">
        <f>INDEX(AJ$6:AJ$182,MATCH($AR151,$AF$6:$AF$182,0))</f>
        <v>-1.8939526950000001</v>
      </c>
      <c r="AW151" s="169">
        <f>INDEX(AK$6:AK$182,MATCH($AR151,$AF$6:$AF$182,0))</f>
        <v>1.0693083991550576</v>
      </c>
      <c r="AX151" s="168">
        <f>SUMIFS(AV152:AV$183,AV152:AV$183,"&gt;"&amp;0,$BH152:$BH$183,"="&amp;$BH151,$BK152:$BK$183,"="&amp;1)/SUMIFS(AV$6:AV$183,AV$6:AV$183,"&gt;"&amp;0,$BH$6:$BH$183,"="&amp;$BH151)</f>
        <v>0</v>
      </c>
      <c r="AY151" s="168">
        <f>SUMIFS(AU152:AU$183,AU152:AU$183,"&gt;"&amp;0,BH152:BH$183,"="&amp;BH151,BK152:BK$183,"="&amp;1)/SUMIFS(AU$6:AU$183,AU$6:AU$183,"&gt;"&amp;0,BH$6:BH$183,"="&amp;BH151)</f>
        <v>0</v>
      </c>
      <c r="AZ151" s="169">
        <f>IF(AW151&gt;Adjustments!$J$6,Adjustments!$L$6,IF(AW151&gt;Adjustments!$J$7,Adjustments!$L$7,IF(AW151&gt;Adjustments!$J$8,Adjustments!$L$8,IF(AW151&lt;Adjustments!$J$10,Adjustments!$L$10,IF(AW151&lt;Adjustments!$J$9,Adjustments!$L$9,0)))))</f>
        <v>-0.15</v>
      </c>
      <c r="BA151" s="169">
        <f>INDEX(Adjustments!$C$4:$C$2520,MATCH(AR151,Adjustments!$B$4:$B$2520,0))</f>
        <v>0</v>
      </c>
      <c r="BB151" s="153" t="str">
        <f>INDEX(AG$6:AG$182,MATCH($AR151,$AF$6:$AF$182,0))</f>
        <v>11</v>
      </c>
      <c r="BC151" s="153">
        <f>INDEX(AH$6:AH$182,MATCH($AR151,$AF$6:$AF$182,0))</f>
        <v>200</v>
      </c>
      <c r="BD151" s="153">
        <f>INDEX(AI$6:AI$182,MATCH($AR151,$AF$6:$AF$182,0))</f>
        <v>0</v>
      </c>
      <c r="BE151" s="153">
        <f>BC151-AO151</f>
        <v>54</v>
      </c>
      <c r="BF151" s="153"/>
      <c r="BG151" s="153"/>
      <c r="BH151" s="195" t="str">
        <f>INDEX($AE$6:$AE$182,MATCH(AR151,$AF$6:$AF$182,0))</f>
        <v>RB</v>
      </c>
      <c r="BI151" s="195">
        <f>SUMIF($BH$6:BH151,BH151,$BK$6:BK151)</f>
        <v>43</v>
      </c>
      <c r="BJ151" s="194">
        <v>1</v>
      </c>
      <c r="BK151" s="194">
        <f t="shared" si="19"/>
        <v>1</v>
      </c>
      <c r="BL151" s="194" t="str">
        <f>IF('Real Time Draft Tool'!B151="y","y","")</f>
        <v/>
      </c>
      <c r="BM151" s="194" t="str">
        <f t="shared" si="20"/>
        <v>RB 43</v>
      </c>
    </row>
    <row r="152" spans="31:65" x14ac:dyDescent="0.25">
      <c r="AE152" s="195" t="s">
        <v>260</v>
      </c>
      <c r="AF152" s="195" t="str">
        <f t="shared" si="16"/>
        <v>Hakeem Nicks</v>
      </c>
      <c r="AG152" s="195" t="str">
        <f t="shared" si="16"/>
        <v>10</v>
      </c>
      <c r="AH152" s="195">
        <f t="shared" si="17"/>
        <v>119</v>
      </c>
      <c r="AI152" s="195">
        <f t="shared" si="15"/>
        <v>-10</v>
      </c>
      <c r="AJ152" s="195">
        <f t="shared" si="18"/>
        <v>-0.87022866666666676</v>
      </c>
      <c r="AK152" s="195">
        <f t="shared" si="18"/>
        <v>1.1196209050912833</v>
      </c>
      <c r="AL152" s="195">
        <f t="shared" si="18"/>
        <v>0</v>
      </c>
      <c r="AM152" s="195" t="str">
        <f t="shared" si="18"/>
        <v>8</v>
      </c>
      <c r="AN152" s="153"/>
      <c r="AO152" s="153">
        <v>147</v>
      </c>
      <c r="AP152" s="153">
        <v>150</v>
      </c>
      <c r="AQ152" s="153">
        <f>AP152-AO152</f>
        <v>3</v>
      </c>
      <c r="AR152" s="86" t="s">
        <v>101</v>
      </c>
      <c r="AS152" s="153" t="str">
        <f>BH152&amp;" "&amp;BI152</f>
        <v>QB 22</v>
      </c>
      <c r="AT152" s="153">
        <f>IF(AU152&gt;8,1,IF(AU152&gt;6.4,2,IF(AU152&gt;6,3,IF(AU152&gt;5,4,IF(AU152&gt;3.5,5,IF(AU152&gt;2.5,6,IF(AU152&gt;1.5,7,IF(AU152&gt;0.5,8,IF(AU152&gt;-0.5,9,10)))))))))</f>
        <v>10</v>
      </c>
      <c r="AU152" s="169">
        <f>SUM(AV152,AZ152,BA152)</f>
        <v>-2.0679372699999998</v>
      </c>
      <c r="AV152" s="169">
        <f>INDEX(AJ$6:AJ$182,MATCH($AR152,$AF$6:$AF$182,0))</f>
        <v>-2.26793727</v>
      </c>
      <c r="AW152" s="169">
        <f>INDEX(AK$6:AK$182,MATCH($AR152,$AF$6:$AF$182,0))</f>
        <v>0.73312552507149864</v>
      </c>
      <c r="AX152" s="168">
        <f>SUMIFS(AV153:AV$183,AV153:AV$183,"&gt;"&amp;0,$BH153:$BH$183,"="&amp;$BH152,$BK153:$BK$183,"="&amp;1)/SUMIFS(AV$6:AV$183,AV$6:AV$183,"&gt;"&amp;0,$BH$6:$BH$183,"="&amp;$BH152)</f>
        <v>0</v>
      </c>
      <c r="AY152" s="168">
        <f>SUMIFS(AU153:AU$183,AU153:AU$183,"&gt;"&amp;0,BH153:BH$183,"="&amp;BH152,BK153:BK$183,"="&amp;1)/SUMIFS(AU$6:AU$183,AU$6:AU$183,"&gt;"&amp;0,BH$6:BH$183,"="&amp;BH152)</f>
        <v>0</v>
      </c>
      <c r="AZ152" s="169">
        <f>IF(AW152&gt;Adjustments!$J$6,Adjustments!$L$6,IF(AW152&gt;Adjustments!$J$7,Adjustments!$L$7,IF(AW152&gt;Adjustments!$J$8,Adjustments!$L$8,IF(AW152&lt;Adjustments!$J$10,Adjustments!$L$10,IF(AW152&lt;Adjustments!$J$9,Adjustments!$L$9,0)))))</f>
        <v>0.2</v>
      </c>
      <c r="BA152" s="169">
        <f>INDEX(Adjustments!$C$4:$C$2520,MATCH(AR152,Adjustments!$B$4:$B$2520,0))</f>
        <v>0</v>
      </c>
      <c r="BB152" s="153" t="str">
        <f>INDEX(AG$6:AG$182,MATCH($AR152,$AF$6:$AF$182,0))</f>
        <v>8</v>
      </c>
      <c r="BC152" s="153">
        <f>INDEX(AH$6:AH$182,MATCH($AR152,$AF$6:$AF$182,0))</f>
        <v>157</v>
      </c>
      <c r="BD152" s="153">
        <f>INDEX(AI$6:AI$182,MATCH($AR152,$AF$6:$AF$182,0))</f>
        <v>0</v>
      </c>
      <c r="BE152" s="153">
        <f>BC152-AO152</f>
        <v>10</v>
      </c>
      <c r="BF152" s="153"/>
      <c r="BG152" s="153"/>
      <c r="BH152" s="195" t="str">
        <f>INDEX($AE$6:$AE$182,MATCH(AR152,$AF$6:$AF$182,0))</f>
        <v>QB</v>
      </c>
      <c r="BI152" s="195">
        <f>SUMIF($BH$6:BH152,BH152,$BK$6:BK152)</f>
        <v>22</v>
      </c>
      <c r="BJ152" s="194">
        <v>1</v>
      </c>
      <c r="BK152" s="194">
        <f t="shared" si="19"/>
        <v>1</v>
      </c>
      <c r="BL152" s="194" t="str">
        <f>IF('Real Time Draft Tool'!B152="y","y","")</f>
        <v/>
      </c>
      <c r="BM152" s="194" t="str">
        <f t="shared" si="20"/>
        <v>QB 22</v>
      </c>
    </row>
    <row r="153" spans="31:65" x14ac:dyDescent="0.25">
      <c r="AE153" s="195" t="s">
        <v>260</v>
      </c>
      <c r="AF153" s="195" t="str">
        <f t="shared" si="16"/>
        <v>Kelvin Benjamin</v>
      </c>
      <c r="AG153" s="195" t="str">
        <f t="shared" si="16"/>
        <v>12</v>
      </c>
      <c r="AH153" s="195">
        <f t="shared" si="17"/>
        <v>141</v>
      </c>
      <c r="AI153" s="195">
        <f t="shared" si="15"/>
        <v>10</v>
      </c>
      <c r="AJ153" s="195">
        <f t="shared" si="18"/>
        <v>-0.91373889333333325</v>
      </c>
      <c r="AK153" s="195">
        <f t="shared" si="18"/>
        <v>0.61687477654581391</v>
      </c>
      <c r="AL153" s="195">
        <f t="shared" si="18"/>
        <v>0</v>
      </c>
      <c r="AM153" s="195" t="str">
        <f t="shared" si="18"/>
        <v>8</v>
      </c>
      <c r="AN153" s="153"/>
      <c r="AO153" s="153">
        <v>148</v>
      </c>
      <c r="AP153" s="153">
        <v>146</v>
      </c>
      <c r="AQ153" s="153">
        <f>AP153-AO153</f>
        <v>-2</v>
      </c>
      <c r="AR153" s="86" t="s">
        <v>167</v>
      </c>
      <c r="AS153" s="153" t="str">
        <f>BH153&amp;" "&amp;BI153</f>
        <v>RB 44</v>
      </c>
      <c r="AT153" s="153">
        <f>IF(AU153&gt;8,1,IF(AU153&gt;6.4,2,IF(AU153&gt;6,3,IF(AU153&gt;5,4,IF(AU153&gt;3.5,5,IF(AU153&gt;2.5,6,IF(AU153&gt;1.5,7,IF(AU153&gt;0.5,8,IF(AU153&gt;-0.5,9,10)))))))))</f>
        <v>10</v>
      </c>
      <c r="AU153" s="169">
        <f>SUM(AV153,AZ153,BA153)</f>
        <v>-2.1004964250000002</v>
      </c>
      <c r="AV153" s="169">
        <f>INDEX(AJ$6:AJ$182,MATCH($AR153,$AF$6:$AF$182,0))</f>
        <v>-1.9504964250000001</v>
      </c>
      <c r="AW153" s="169">
        <f>INDEX(AK$6:AK$182,MATCH($AR153,$AF$6:$AF$182,0))</f>
        <v>1.180220363959015</v>
      </c>
      <c r="AX153" s="168">
        <f>SUMIFS(AV154:AV$183,AV154:AV$183,"&gt;"&amp;0,$BH154:$BH$183,"="&amp;$BH153,$BK154:$BK$183,"="&amp;1)/SUMIFS(AV$6:AV$183,AV$6:AV$183,"&gt;"&amp;0,$BH$6:$BH$183,"="&amp;$BH153)</f>
        <v>0</v>
      </c>
      <c r="AY153" s="168">
        <f>SUMIFS(AU154:AU$183,AU154:AU$183,"&gt;"&amp;0,BH154:BH$183,"="&amp;BH153,BK154:BK$183,"="&amp;1)/SUMIFS(AU$6:AU$183,AU$6:AU$183,"&gt;"&amp;0,BH$6:BH$183,"="&amp;BH153)</f>
        <v>0</v>
      </c>
      <c r="AZ153" s="169">
        <f>IF(AW153&gt;Adjustments!$J$6,Adjustments!$L$6,IF(AW153&gt;Adjustments!$J$7,Adjustments!$L$7,IF(AW153&gt;Adjustments!$J$8,Adjustments!$L$8,IF(AW153&lt;Adjustments!$J$10,Adjustments!$L$10,IF(AW153&lt;Adjustments!$J$9,Adjustments!$L$9,0)))))</f>
        <v>-0.15</v>
      </c>
      <c r="BA153" s="169">
        <f>INDEX(Adjustments!$C$4:$C$2520,MATCH(AR153,Adjustments!$B$4:$B$2520,0))</f>
        <v>0</v>
      </c>
      <c r="BB153" s="153" t="str">
        <f>INDEX(AG$6:AG$182,MATCH($AR153,$AF$6:$AF$182,0))</f>
        <v>9</v>
      </c>
      <c r="BC153" s="153">
        <f>INDEX(AH$6:AH$182,MATCH($AR153,$AF$6:$AF$182,0))</f>
        <v>124</v>
      </c>
      <c r="BD153" s="153">
        <f>INDEX(AI$6:AI$182,MATCH($AR153,$AF$6:$AF$182,0))</f>
        <v>-27</v>
      </c>
      <c r="BE153" s="153">
        <f>BC153-AO153</f>
        <v>-24</v>
      </c>
      <c r="BF153" s="153"/>
      <c r="BG153" s="153"/>
      <c r="BH153" s="195" t="str">
        <f>INDEX($AE$6:$AE$182,MATCH(AR153,$AF$6:$AF$182,0))</f>
        <v>RB</v>
      </c>
      <c r="BI153" s="195">
        <f>SUMIF($BH$6:BH153,BH153,$BK$6:BK153)</f>
        <v>44</v>
      </c>
      <c r="BJ153" s="194">
        <v>1</v>
      </c>
      <c r="BK153" s="194">
        <f t="shared" si="19"/>
        <v>1</v>
      </c>
      <c r="BL153" s="194" t="str">
        <f>IF('Real Time Draft Tool'!B153="y","y","")</f>
        <v/>
      </c>
      <c r="BM153" s="194" t="str">
        <f t="shared" si="20"/>
        <v>RB 44</v>
      </c>
    </row>
    <row r="154" spans="31:65" x14ac:dyDescent="0.25">
      <c r="AE154" s="195" t="s">
        <v>260</v>
      </c>
      <c r="AF154" s="195" t="str">
        <f t="shared" si="16"/>
        <v>Harry Douglas</v>
      </c>
      <c r="AG154" s="195" t="str">
        <f t="shared" si="16"/>
        <v>9</v>
      </c>
      <c r="AH154" s="195">
        <f t="shared" si="17"/>
        <v>187</v>
      </c>
      <c r="AI154" s="195">
        <f t="shared" si="15"/>
        <v>51</v>
      </c>
      <c r="AJ154" s="195">
        <f t="shared" si="18"/>
        <v>-1.3314982183333335</v>
      </c>
      <c r="AK154" s="195">
        <f t="shared" si="18"/>
        <v>1.2733946464396668</v>
      </c>
      <c r="AL154" s="195">
        <f t="shared" si="18"/>
        <v>0</v>
      </c>
      <c r="AM154" s="195" t="str">
        <f t="shared" si="18"/>
        <v>8</v>
      </c>
      <c r="AN154" s="153"/>
      <c r="AO154" s="153">
        <v>149</v>
      </c>
      <c r="AP154" s="153">
        <v>148</v>
      </c>
      <c r="AQ154" s="153">
        <f>AP154-AO154</f>
        <v>-1</v>
      </c>
      <c r="AR154" s="86" t="s">
        <v>104</v>
      </c>
      <c r="AS154" s="153" t="str">
        <f>BH154&amp;" "&amp;BI154</f>
        <v>QB 23</v>
      </c>
      <c r="AT154" s="153">
        <f>IF(AU154&gt;8,1,IF(AU154&gt;6.4,2,IF(AU154&gt;6,3,IF(AU154&gt;5,4,IF(AU154&gt;3.5,5,IF(AU154&gt;2.5,6,IF(AU154&gt;1.5,7,IF(AU154&gt;0.5,8,IF(AU154&gt;-0.5,9,10)))))))))</f>
        <v>10</v>
      </c>
      <c r="AU154" s="169">
        <f>SUM(AV154,AZ154,BA154)</f>
        <v>-2.1767288966666665</v>
      </c>
      <c r="AV154" s="169">
        <f>INDEX(AJ$6:AJ$182,MATCH($AR154,$AF$6:$AF$182,0))</f>
        <v>-2.1767288966666665</v>
      </c>
      <c r="AW154" s="169">
        <f>INDEX(AK$6:AK$182,MATCH($AR154,$AF$6:$AF$182,0))</f>
        <v>0.97605984039223392</v>
      </c>
      <c r="AX154" s="168">
        <f>SUMIFS(AV155:AV$183,AV155:AV$183,"&gt;"&amp;0,$BH155:$BH$183,"="&amp;$BH154,$BK155:$BK$183,"="&amp;1)/SUMIFS(AV$6:AV$183,AV$6:AV$183,"&gt;"&amp;0,$BH$6:$BH$183,"="&amp;$BH154)</f>
        <v>0</v>
      </c>
      <c r="AY154" s="168">
        <f>SUMIFS(AU155:AU$183,AU155:AU$183,"&gt;"&amp;0,BH155:BH$183,"="&amp;BH154,BK155:BK$183,"="&amp;1)/SUMIFS(AU$6:AU$183,AU$6:AU$183,"&gt;"&amp;0,BH$6:BH$183,"="&amp;BH154)</f>
        <v>0</v>
      </c>
      <c r="AZ154" s="169">
        <f>IF(AW154&gt;Adjustments!$J$6,Adjustments!$L$6,IF(AW154&gt;Adjustments!$J$7,Adjustments!$L$7,IF(AW154&gt;Adjustments!$J$8,Adjustments!$L$8,IF(AW154&lt;Adjustments!$J$10,Adjustments!$L$10,IF(AW154&lt;Adjustments!$J$9,Adjustments!$L$9,0)))))</f>
        <v>0</v>
      </c>
      <c r="BA154" s="169">
        <f>INDEX(Adjustments!$C$4:$C$2520,MATCH(AR154,Adjustments!$B$4:$B$2520,0))</f>
        <v>0</v>
      </c>
      <c r="BB154" s="153" t="str">
        <f>INDEX(AG$6:AG$182,MATCH($AR154,$AF$6:$AF$182,0))</f>
        <v>4</v>
      </c>
      <c r="BC154" s="153">
        <f>INDEX(AH$6:AH$182,MATCH($AR154,$AF$6:$AF$182,0))</f>
        <v>181</v>
      </c>
      <c r="BD154" s="153">
        <f>INDEX(AI$6:AI$182,MATCH($AR154,$AF$6:$AF$182,0))</f>
        <v>27</v>
      </c>
      <c r="BE154" s="153">
        <f>BC154-AO154</f>
        <v>32</v>
      </c>
      <c r="BF154" s="153"/>
      <c r="BG154" s="153"/>
      <c r="BH154" s="195" t="str">
        <f>INDEX($AE$6:$AE$182,MATCH(AR154,$AF$6:$AF$182,0))</f>
        <v>QB</v>
      </c>
      <c r="BI154" s="195">
        <f>SUMIF($BH$6:BH154,BH154,$BK$6:BK154)</f>
        <v>23</v>
      </c>
      <c r="BJ154" s="194">
        <v>1</v>
      </c>
      <c r="BK154" s="194">
        <f t="shared" si="19"/>
        <v>1</v>
      </c>
      <c r="BL154" s="194" t="str">
        <f>IF('Real Time Draft Tool'!B154="y","y","")</f>
        <v/>
      </c>
      <c r="BM154" s="194" t="str">
        <f t="shared" si="20"/>
        <v>QB 23</v>
      </c>
    </row>
    <row r="155" spans="31:65" x14ac:dyDescent="0.25">
      <c r="AE155" s="195" t="s">
        <v>260</v>
      </c>
      <c r="AF155" s="195" t="str">
        <f t="shared" si="16"/>
        <v>Rod Streater</v>
      </c>
      <c r="AG155" s="195" t="str">
        <f t="shared" si="16"/>
        <v>5</v>
      </c>
      <c r="AH155" s="195">
        <f t="shared" si="17"/>
        <v>200</v>
      </c>
      <c r="AI155" s="195">
        <f t="shared" si="15"/>
        <v>0</v>
      </c>
      <c r="AJ155" s="195">
        <f t="shared" si="18"/>
        <v>-1.3788045283333332</v>
      </c>
      <c r="AK155" s="195">
        <f t="shared" si="18"/>
        <v>0.95101941697416714</v>
      </c>
      <c r="AL155" s="195">
        <f t="shared" si="18"/>
        <v>0</v>
      </c>
      <c r="AM155" s="195" t="str">
        <f t="shared" si="18"/>
        <v>9</v>
      </c>
      <c r="AN155" s="153"/>
      <c r="AO155" s="153">
        <v>150</v>
      </c>
      <c r="AP155" s="153">
        <v>149</v>
      </c>
      <c r="AQ155" s="153">
        <f>AP155-AO155</f>
        <v>-1</v>
      </c>
      <c r="AR155" s="86" t="s">
        <v>218</v>
      </c>
      <c r="AS155" s="153" t="str">
        <f>BH155&amp;" "&amp;BI155</f>
        <v>TE 23</v>
      </c>
      <c r="AT155" s="153">
        <f>IF(AU155&gt;8,1,IF(AU155&gt;6.4,2,IF(AU155&gt;6,3,IF(AU155&gt;5,4,IF(AU155&gt;3.5,5,IF(AU155&gt;2.5,6,IF(AU155&gt;1.5,7,IF(AU155&gt;0.5,8,IF(AU155&gt;-0.5,9,10)))))))))</f>
        <v>10</v>
      </c>
      <c r="AU155" s="169">
        <f>SUM(AV155,AZ155,BA155)</f>
        <v>-2.2032237083333337</v>
      </c>
      <c r="AV155" s="169">
        <f>INDEX(AJ$6:AJ$182,MATCH($AR155,$AF$6:$AF$182,0))</f>
        <v>-2.2032237083333337</v>
      </c>
      <c r="AW155" s="169">
        <f>INDEX(AK$6:AK$182,MATCH($AR155,$AF$6:$AF$182,0))</f>
        <v>0.85414905465605862</v>
      </c>
      <c r="AX155" s="168">
        <f>SUMIFS(AV156:AV$183,AV156:AV$183,"&gt;"&amp;0,$BH156:$BH$183,"="&amp;$BH155,$BK156:$BK$183,"="&amp;1)/SUMIFS(AV$6:AV$183,AV$6:AV$183,"&gt;"&amp;0,$BH$6:$BH$183,"="&amp;$BH155)</f>
        <v>0</v>
      </c>
      <c r="AY155" s="168">
        <f>SUMIFS(AU156:AU$183,AU156:AU$183,"&gt;"&amp;0,BH156:BH$183,"="&amp;BH155,BK156:BK$183,"="&amp;1)/SUMIFS(AU$6:AU$183,AU$6:AU$183,"&gt;"&amp;0,BH$6:BH$183,"="&amp;BH155)</f>
        <v>0</v>
      </c>
      <c r="AZ155" s="169">
        <f>IF(AW155&gt;Adjustments!$J$6,Adjustments!$L$6,IF(AW155&gt;Adjustments!$J$7,Adjustments!$L$7,IF(AW155&gt;Adjustments!$J$8,Adjustments!$L$8,IF(AW155&lt;Adjustments!$J$10,Adjustments!$L$10,IF(AW155&lt;Adjustments!$J$9,Adjustments!$L$9,0)))))</f>
        <v>0</v>
      </c>
      <c r="BA155" s="169">
        <f>INDEX(Adjustments!$C$4:$C$2520,MATCH(AR155,Adjustments!$B$4:$B$2520,0))</f>
        <v>0</v>
      </c>
      <c r="BB155" s="153" t="str">
        <f>INDEX(AG$6:AG$182,MATCH($AR155,$AF$6:$AF$182,0))</f>
        <v>11</v>
      </c>
      <c r="BC155" s="153">
        <f>INDEX(AH$6:AH$182,MATCH($AR155,$AF$6:$AF$182,0))</f>
        <v>200</v>
      </c>
      <c r="BD155" s="153">
        <f>INDEX(AI$6:AI$182,MATCH($AR155,$AF$6:$AF$182,0))</f>
        <v>0</v>
      </c>
      <c r="BE155" s="153">
        <f>BC155-AO155</f>
        <v>50</v>
      </c>
      <c r="BF155" s="153"/>
      <c r="BG155" s="153"/>
      <c r="BH155" s="195" t="str">
        <f>INDEX($AE$6:$AE$182,MATCH(AR155,$AF$6:$AF$182,0))</f>
        <v>TE</v>
      </c>
      <c r="BI155" s="195">
        <f>SUMIF($BH$6:BH155,BH155,$BK$6:BK155)</f>
        <v>23</v>
      </c>
      <c r="BJ155" s="194">
        <v>1</v>
      </c>
      <c r="BK155" s="194">
        <f t="shared" si="19"/>
        <v>1</v>
      </c>
      <c r="BL155" s="194" t="str">
        <f>IF('Real Time Draft Tool'!B155="y","y","")</f>
        <v/>
      </c>
      <c r="BM155" s="194" t="str">
        <f t="shared" si="20"/>
        <v>TE 23</v>
      </c>
    </row>
    <row r="156" spans="31:65" x14ac:dyDescent="0.25">
      <c r="AE156" s="195" t="s">
        <v>260</v>
      </c>
      <c r="AF156" s="195" t="str">
        <f t="shared" si="16"/>
        <v>Markus Wheaton</v>
      </c>
      <c r="AG156" s="195" t="str">
        <f t="shared" si="16"/>
        <v>12</v>
      </c>
      <c r="AH156" s="195">
        <f t="shared" si="17"/>
        <v>156</v>
      </c>
      <c r="AI156" s="195">
        <f t="shared" si="15"/>
        <v>18</v>
      </c>
      <c r="AJ156" s="195">
        <f t="shared" si="18"/>
        <v>-1.3794660166666668</v>
      </c>
      <c r="AK156" s="195">
        <f t="shared" si="18"/>
        <v>1.210980999650759</v>
      </c>
      <c r="AL156" s="195">
        <f t="shared" si="18"/>
        <v>0</v>
      </c>
      <c r="AM156" s="195" t="str">
        <f t="shared" si="18"/>
        <v>9</v>
      </c>
      <c r="AN156" s="153"/>
      <c r="AO156" s="153">
        <v>151</v>
      </c>
      <c r="AP156" s="153">
        <v>151</v>
      </c>
      <c r="AQ156" s="153">
        <f>AP156-AO156</f>
        <v>0</v>
      </c>
      <c r="AR156" s="86" t="s">
        <v>221</v>
      </c>
      <c r="AS156" s="153" t="str">
        <f>BH156&amp;" "&amp;BI156</f>
        <v>TE 24</v>
      </c>
      <c r="AT156" s="153">
        <f>IF(AU156&gt;8,1,IF(AU156&gt;6.4,2,IF(AU156&gt;6,3,IF(AU156&gt;5,4,IF(AU156&gt;3.5,5,IF(AU156&gt;2.5,6,IF(AU156&gt;1.5,7,IF(AU156&gt;0.5,8,IF(AU156&gt;-0.5,9,10)))))))))</f>
        <v>10</v>
      </c>
      <c r="AU156" s="169">
        <f>SUM(AV156,AZ156,BA156)</f>
        <v>-2.4454841050000002</v>
      </c>
      <c r="AV156" s="169">
        <f>INDEX(AJ$6:AJ$182,MATCH($AR156,$AF$6:$AF$182,0))</f>
        <v>-2.2954841050000003</v>
      </c>
      <c r="AW156" s="169">
        <f>INDEX(AK$6:AK$182,MATCH($AR156,$AF$6:$AF$182,0))</f>
        <v>1.1041329010390739</v>
      </c>
      <c r="AX156" s="168">
        <f>SUMIFS(AV157:AV$183,AV157:AV$183,"&gt;"&amp;0,$BH157:$BH$183,"="&amp;$BH156,$BK157:$BK$183,"="&amp;1)/SUMIFS(AV$6:AV$183,AV$6:AV$183,"&gt;"&amp;0,$BH$6:$BH$183,"="&amp;$BH156)</f>
        <v>0</v>
      </c>
      <c r="AY156" s="168">
        <f>SUMIFS(AU157:AU$183,AU157:AU$183,"&gt;"&amp;0,BH157:BH$183,"="&amp;BH156,BK157:BK$183,"="&amp;1)/SUMIFS(AU$6:AU$183,AU$6:AU$183,"&gt;"&amp;0,BH$6:BH$183,"="&amp;BH156)</f>
        <v>0</v>
      </c>
      <c r="AZ156" s="169">
        <f>IF(AW156&gt;Adjustments!$J$6,Adjustments!$L$6,IF(AW156&gt;Adjustments!$J$7,Adjustments!$L$7,IF(AW156&gt;Adjustments!$J$8,Adjustments!$L$8,IF(AW156&lt;Adjustments!$J$10,Adjustments!$L$10,IF(AW156&lt;Adjustments!$J$9,Adjustments!$L$9,0)))))</f>
        <v>-0.15</v>
      </c>
      <c r="BA156" s="169">
        <f>INDEX(Adjustments!$C$4:$C$2520,MATCH(AR156,Adjustments!$B$4:$B$2520,0))</f>
        <v>0</v>
      </c>
      <c r="BB156" s="153" t="str">
        <f>INDEX(AG$6:AG$182,MATCH($AR156,$AF$6:$AF$182,0))</f>
        <v>10</v>
      </c>
      <c r="BC156" s="153">
        <f>INDEX(AH$6:AH$182,MATCH($AR156,$AF$6:$AF$182,0))</f>
        <v>200</v>
      </c>
      <c r="BD156" s="153">
        <f>INDEX(AI$6:AI$182,MATCH($AR156,$AF$6:$AF$182,0))</f>
        <v>0</v>
      </c>
      <c r="BE156" s="153">
        <f>BC156-AO156</f>
        <v>49</v>
      </c>
      <c r="BF156" s="153"/>
      <c r="BG156" s="153"/>
      <c r="BH156" s="195" t="str">
        <f>INDEX($AE$6:$AE$182,MATCH(AR156,$AF$6:$AF$182,0))</f>
        <v>TE</v>
      </c>
      <c r="BI156" s="195">
        <f>SUMIF($BH$6:BH156,BH156,$BK$6:BK156)</f>
        <v>24</v>
      </c>
      <c r="BJ156" s="194">
        <v>1</v>
      </c>
      <c r="BK156" s="194">
        <f t="shared" si="19"/>
        <v>1</v>
      </c>
      <c r="BL156" s="194" t="str">
        <f>IF('Real Time Draft Tool'!B156="y","y","")</f>
        <v/>
      </c>
      <c r="BM156" s="194" t="str">
        <f t="shared" si="20"/>
        <v>TE 24</v>
      </c>
    </row>
    <row r="157" spans="31:65" x14ac:dyDescent="0.25">
      <c r="AE157" s="195" t="s">
        <v>260</v>
      </c>
      <c r="AF157" s="195" t="str">
        <f t="shared" si="16"/>
        <v>Robert Woods</v>
      </c>
      <c r="AG157" s="195" t="str">
        <f t="shared" si="16"/>
        <v>9</v>
      </c>
      <c r="AH157" s="195">
        <f t="shared" si="17"/>
        <v>179</v>
      </c>
      <c r="AI157" s="195">
        <f t="shared" si="15"/>
        <v>40</v>
      </c>
      <c r="AJ157" s="195">
        <f t="shared" si="18"/>
        <v>-1.4054067216666664</v>
      </c>
      <c r="AK157" s="195">
        <f t="shared" si="18"/>
        <v>0.8918557798855683</v>
      </c>
      <c r="AL157" s="195">
        <f t="shared" si="18"/>
        <v>0</v>
      </c>
      <c r="AM157" s="195" t="str">
        <f t="shared" si="18"/>
        <v>9</v>
      </c>
      <c r="AN157" s="153"/>
      <c r="AO157" s="153">
        <v>152</v>
      </c>
      <c r="AP157" s="153">
        <v>152</v>
      </c>
      <c r="AQ157" s="153">
        <f>AP157-AO157</f>
        <v>0</v>
      </c>
      <c r="AR157" s="86" t="s">
        <v>224</v>
      </c>
      <c r="AS157" s="153" t="str">
        <f>BH157&amp;" "&amp;BI157</f>
        <v>TE 25</v>
      </c>
      <c r="AT157" s="153">
        <f>IF(AU157&gt;8,1,IF(AU157&gt;6.4,2,IF(AU157&gt;6,3,IF(AU157&gt;5,4,IF(AU157&gt;3.5,5,IF(AU157&gt;2.5,6,IF(AU157&gt;1.5,7,IF(AU157&gt;0.5,8,IF(AU157&gt;-0.5,9,10)))))))))</f>
        <v>10</v>
      </c>
      <c r="AU157" s="169">
        <f>SUM(AV157,AZ157,BA157)</f>
        <v>-2.663432001666667</v>
      </c>
      <c r="AV157" s="169">
        <f>INDEX(AJ$6:AJ$182,MATCH($AR157,$AF$6:$AF$182,0))</f>
        <v>-2.3634320016666672</v>
      </c>
      <c r="AW157" s="169">
        <f>INDEX(AK$6:AK$182,MATCH($AR157,$AF$6:$AF$182,0))</f>
        <v>1.3106012199955901</v>
      </c>
      <c r="AX157" s="168">
        <f>SUMIFS(AV158:AV$183,AV158:AV$183,"&gt;"&amp;0,$BH158:$BH$183,"="&amp;$BH157,$BK158:$BK$183,"="&amp;1)/SUMIFS(AV$6:AV$183,AV$6:AV$183,"&gt;"&amp;0,$BH$6:$BH$183,"="&amp;$BH157)</f>
        <v>0</v>
      </c>
      <c r="AY157" s="168">
        <f>SUMIFS(AU158:AU$183,AU158:AU$183,"&gt;"&amp;0,BH158:BH$183,"="&amp;BH157,BK158:BK$183,"="&amp;1)/SUMIFS(AU$6:AU$183,AU$6:AU$183,"&gt;"&amp;0,BH$6:BH$183,"="&amp;BH157)</f>
        <v>0</v>
      </c>
      <c r="AZ157" s="169">
        <f>IF(AW157&gt;Adjustments!$J$6,Adjustments!$L$6,IF(AW157&gt;Adjustments!$J$7,Adjustments!$L$7,IF(AW157&gt;Adjustments!$J$8,Adjustments!$L$8,IF(AW157&lt;Adjustments!$J$10,Adjustments!$L$10,IF(AW157&lt;Adjustments!$J$9,Adjustments!$L$9,0)))))</f>
        <v>-0.3</v>
      </c>
      <c r="BA157" s="169">
        <f>INDEX(Adjustments!$C$4:$C$2520,MATCH(AR157,Adjustments!$B$4:$B$2520,0))</f>
        <v>0</v>
      </c>
      <c r="BB157" s="153" t="str">
        <f>INDEX(AG$6:AG$182,MATCH($AR157,$AF$6:$AF$182,0))</f>
        <v>9</v>
      </c>
      <c r="BC157" s="153">
        <f>INDEX(AH$6:AH$182,MATCH($AR157,$AF$6:$AF$182,0))</f>
        <v>200</v>
      </c>
      <c r="BD157" s="153">
        <f>INDEX(AI$6:AI$182,MATCH($AR157,$AF$6:$AF$182,0))</f>
        <v>0</v>
      </c>
      <c r="BE157" s="153">
        <f>BC157-AO157</f>
        <v>48</v>
      </c>
      <c r="BF157" s="153"/>
      <c r="BG157" s="153"/>
      <c r="BH157" s="195" t="str">
        <f>INDEX($AE$6:$AE$182,MATCH(AR157,$AF$6:$AF$182,0))</f>
        <v>TE</v>
      </c>
      <c r="BI157" s="195">
        <f>SUMIF($BH$6:BH157,BH157,$BK$6:BK157)</f>
        <v>25</v>
      </c>
      <c r="BJ157" s="194">
        <v>1</v>
      </c>
      <c r="BK157" s="194">
        <f t="shared" si="19"/>
        <v>1</v>
      </c>
      <c r="BL157" s="194" t="str">
        <f>IF('Real Time Draft Tool'!B157="y","y","")</f>
        <v/>
      </c>
      <c r="BM157" s="194" t="str">
        <f t="shared" si="20"/>
        <v>TE 25</v>
      </c>
    </row>
    <row r="158" spans="31:65" x14ac:dyDescent="0.25">
      <c r="AE158" s="195" t="s">
        <v>261</v>
      </c>
      <c r="AF158" s="195" t="str">
        <f>B41</f>
        <v>Jimmy Graham</v>
      </c>
      <c r="AG158" s="195" t="str">
        <f t="shared" ref="AG158:AM173" si="21">C41</f>
        <v>6</v>
      </c>
      <c r="AH158" s="195">
        <f>IF(D41="N/A",200,D41)</f>
        <v>8</v>
      </c>
      <c r="AI158" s="195">
        <f t="shared" ref="AI158:AI182" si="22">IF(E41="N/A",0,E41)</f>
        <v>1</v>
      </c>
      <c r="AJ158" s="195">
        <f t="shared" si="21"/>
        <v>7.2068646033333321</v>
      </c>
      <c r="AK158" s="195">
        <f t="shared" si="21"/>
        <v>0.65995436192573964</v>
      </c>
      <c r="AL158" s="195">
        <f t="shared" si="21"/>
        <v>0.75164217974291025</v>
      </c>
      <c r="AM158" s="195" t="str">
        <f t="shared" si="21"/>
        <v>1-</v>
      </c>
      <c r="AN158" s="153"/>
      <c r="AO158" s="153">
        <v>153</v>
      </c>
      <c r="AP158" s="153">
        <v>153</v>
      </c>
      <c r="AQ158" s="153">
        <f>AP158-AO158</f>
        <v>0</v>
      </c>
      <c r="AR158" s="86" t="s">
        <v>185</v>
      </c>
      <c r="AS158" s="153" t="str">
        <f>BH158&amp;" "&amp;BI158</f>
        <v>RB 45</v>
      </c>
      <c r="AT158" s="153">
        <f>IF(AU158&gt;8,1,IF(AU158&gt;6.4,2,IF(AU158&gt;6,3,IF(AU158&gt;5,4,IF(AU158&gt;3.5,5,IF(AU158&gt;2.5,6,IF(AU158&gt;1.5,7,IF(AU158&gt;0.5,8,IF(AU158&gt;-0.5,9,10)))))))))</f>
        <v>10</v>
      </c>
      <c r="AU158" s="169">
        <f>SUM(AV158,AZ158,BA158)</f>
        <v>-2.6816297483333331</v>
      </c>
      <c r="AV158" s="169">
        <f>INDEX(AJ$6:AJ$182,MATCH($AR158,$AF$6:$AF$182,0))</f>
        <v>-2.5316297483333332</v>
      </c>
      <c r="AW158" s="169">
        <f>INDEX(AK$6:AK$182,MATCH($AR158,$AF$6:$AF$182,0))</f>
        <v>1.2174293959537612</v>
      </c>
      <c r="AX158" s="168">
        <f>SUMIFS(AV159:AV$183,AV159:AV$183,"&gt;"&amp;0,$BH159:$BH$183,"="&amp;$BH158,$BK159:$BK$183,"="&amp;1)/SUMIFS(AV$6:AV$183,AV$6:AV$183,"&gt;"&amp;0,$BH$6:$BH$183,"="&amp;$BH158)</f>
        <v>0</v>
      </c>
      <c r="AY158" s="168">
        <f>SUMIFS(AU159:AU$183,AU159:AU$183,"&gt;"&amp;0,BH159:BH$183,"="&amp;BH158,BK159:BK$183,"="&amp;1)/SUMIFS(AU$6:AU$183,AU$6:AU$183,"&gt;"&amp;0,BH$6:BH$183,"="&amp;BH158)</f>
        <v>0</v>
      </c>
      <c r="AZ158" s="169">
        <f>IF(AW158&gt;Adjustments!$J$6,Adjustments!$L$6,IF(AW158&gt;Adjustments!$J$7,Adjustments!$L$7,IF(AW158&gt;Adjustments!$J$8,Adjustments!$L$8,IF(AW158&lt;Adjustments!$J$10,Adjustments!$L$10,IF(AW158&lt;Adjustments!$J$9,Adjustments!$L$9,0)))))</f>
        <v>-0.15</v>
      </c>
      <c r="BA158" s="169">
        <f>INDEX(Adjustments!$C$4:$C$2520,MATCH(AR158,Adjustments!$B$4:$B$2520,0))</f>
        <v>0</v>
      </c>
      <c r="BB158" s="153" t="str">
        <f>INDEX(AG$6:AG$182,MATCH($AR158,$AF$6:$AF$182,0))</f>
        <v>6</v>
      </c>
      <c r="BC158" s="153">
        <f>INDEX(AH$6:AH$182,MATCH($AR158,$AF$6:$AF$182,0))</f>
        <v>114</v>
      </c>
      <c r="BD158" s="153">
        <f>INDEX(AI$6:AI$182,MATCH($AR158,$AF$6:$AF$182,0))</f>
        <v>-49</v>
      </c>
      <c r="BE158" s="153">
        <f>BC158-AO158</f>
        <v>-39</v>
      </c>
      <c r="BF158" s="153"/>
      <c r="BG158" s="153"/>
      <c r="BH158" s="195" t="str">
        <f>INDEX($AE$6:$AE$182,MATCH(AR158,$AF$6:$AF$182,0))</f>
        <v>RB</v>
      </c>
      <c r="BI158" s="195">
        <f>SUMIF($BH$6:BH158,BH158,$BK$6:BK158)</f>
        <v>45</v>
      </c>
      <c r="BJ158" s="194">
        <v>1</v>
      </c>
      <c r="BK158" s="194">
        <f t="shared" si="19"/>
        <v>1</v>
      </c>
      <c r="BL158" s="194" t="str">
        <f>IF('Real Time Draft Tool'!B158="y","y","")</f>
        <v/>
      </c>
      <c r="BM158" s="194" t="str">
        <f t="shared" si="20"/>
        <v>RB 45</v>
      </c>
    </row>
    <row r="159" spans="31:65" x14ac:dyDescent="0.25">
      <c r="AE159" s="195" t="s">
        <v>261</v>
      </c>
      <c r="AF159" s="195" t="str">
        <f t="shared" ref="AF159:AG182" si="23">B42</f>
        <v>Julius Thomas</v>
      </c>
      <c r="AG159" s="195" t="str">
        <f t="shared" si="21"/>
        <v>4</v>
      </c>
      <c r="AH159" s="195">
        <f t="shared" ref="AH159:AH182" si="24">IF(D42="N/A",200,D42)</f>
        <v>30</v>
      </c>
      <c r="AI159" s="195">
        <f t="shared" si="22"/>
        <v>-1</v>
      </c>
      <c r="AJ159" s="195">
        <f t="shared" si="21"/>
        <v>4.2969791966666655</v>
      </c>
      <c r="AK159" s="195">
        <f t="shared" si="21"/>
        <v>0.82840729893912191</v>
      </c>
      <c r="AL159" s="195">
        <f t="shared" si="21"/>
        <v>0.60356275190398634</v>
      </c>
      <c r="AM159" s="195" t="str">
        <f t="shared" si="21"/>
        <v>2-</v>
      </c>
      <c r="AN159" s="153"/>
      <c r="AO159" s="153">
        <v>154</v>
      </c>
      <c r="AP159" s="153">
        <v>155</v>
      </c>
      <c r="AQ159" s="153">
        <f>AP159-AO159</f>
        <v>1</v>
      </c>
      <c r="AR159" s="86" t="s">
        <v>108</v>
      </c>
      <c r="AS159" s="153" t="str">
        <f>BH159&amp;" "&amp;BI159</f>
        <v>QB 24</v>
      </c>
      <c r="AT159" s="153">
        <f>IF(AU159&gt;8,1,IF(AU159&gt;6.4,2,IF(AU159&gt;6,3,IF(AU159&gt;5,4,IF(AU159&gt;3.5,5,IF(AU159&gt;2.5,6,IF(AU159&gt;1.5,7,IF(AU159&gt;0.5,8,IF(AU159&gt;-0.5,9,10)))))))))</f>
        <v>10</v>
      </c>
      <c r="AU159" s="169">
        <f>SUM(AV159,AZ159,BA159)</f>
        <v>-3.0138633863636364</v>
      </c>
      <c r="AV159" s="169">
        <f>INDEX(AJ$6:AJ$182,MATCH($AR159,$AF$6:$AF$182,0))</f>
        <v>-2.8638633863636365</v>
      </c>
      <c r="AW159" s="169">
        <f>INDEX(AK$6:AK$182,MATCH($AR159,$AF$6:$AF$182,0))</f>
        <v>1.1273768578188279</v>
      </c>
      <c r="AX159" s="168">
        <f>SUMIFS(AV160:AV$183,AV160:AV$183,"&gt;"&amp;0,$BH160:$BH$183,"="&amp;$BH159,$BK160:$BK$183,"="&amp;1)/SUMIFS(AV$6:AV$183,AV$6:AV$183,"&gt;"&amp;0,$BH$6:$BH$183,"="&amp;$BH159)</f>
        <v>0</v>
      </c>
      <c r="AY159" s="168">
        <f>SUMIFS(AU160:AU$183,AU160:AU$183,"&gt;"&amp;0,BH160:BH$183,"="&amp;BH159,BK160:BK$183,"="&amp;1)/SUMIFS(AU$6:AU$183,AU$6:AU$183,"&gt;"&amp;0,BH$6:BH$183,"="&amp;BH159)</f>
        <v>0</v>
      </c>
      <c r="AZ159" s="169">
        <f>IF(AW159&gt;Adjustments!$J$6,Adjustments!$L$6,IF(AW159&gt;Adjustments!$J$7,Adjustments!$L$7,IF(AW159&gt;Adjustments!$J$8,Adjustments!$L$8,IF(AW159&lt;Adjustments!$J$10,Adjustments!$L$10,IF(AW159&lt;Adjustments!$J$9,Adjustments!$L$9,0)))))</f>
        <v>-0.15</v>
      </c>
      <c r="BA159" s="169">
        <f>INDEX(Adjustments!$C$4:$C$2520,MATCH(AR159,Adjustments!$B$4:$B$2520,0))</f>
        <v>0</v>
      </c>
      <c r="BB159" s="153" t="str">
        <f>INDEX(AG$6:AG$182,MATCH($AR159,$AF$6:$AF$182,0))</f>
        <v>9</v>
      </c>
      <c r="BC159" s="153">
        <f>INDEX(AH$6:AH$182,MATCH($AR159,$AF$6:$AF$182,0))</f>
        <v>200</v>
      </c>
      <c r="BD159" s="153">
        <f>INDEX(AI$6:AI$182,MATCH($AR159,$AF$6:$AF$182,0))</f>
        <v>0</v>
      </c>
      <c r="BE159" s="153">
        <f>BC159-AO159</f>
        <v>46</v>
      </c>
      <c r="BF159" s="153"/>
      <c r="BG159" s="153"/>
      <c r="BH159" s="195" t="str">
        <f>INDEX($AE$6:$AE$182,MATCH(AR159,$AF$6:$AF$182,0))</f>
        <v>QB</v>
      </c>
      <c r="BI159" s="195">
        <f>SUMIF($BH$6:BH159,BH159,$BK$6:BK159)</f>
        <v>24</v>
      </c>
      <c r="BJ159" s="194">
        <v>1</v>
      </c>
      <c r="BK159" s="194">
        <f t="shared" si="19"/>
        <v>1</v>
      </c>
      <c r="BL159" s="194" t="str">
        <f>IF('Real Time Draft Tool'!B159="y","y","")</f>
        <v/>
      </c>
      <c r="BM159" s="194" t="str">
        <f t="shared" si="20"/>
        <v>QB 24</v>
      </c>
    </row>
    <row r="160" spans="31:65" x14ac:dyDescent="0.25">
      <c r="AE160" s="195" t="s">
        <v>261</v>
      </c>
      <c r="AF160" s="195" t="str">
        <f t="shared" si="23"/>
        <v>Rob Gronkowski</v>
      </c>
      <c r="AG160" s="195" t="str">
        <f t="shared" si="21"/>
        <v>10</v>
      </c>
      <c r="AH160" s="195">
        <f t="shared" si="24"/>
        <v>29</v>
      </c>
      <c r="AI160" s="195">
        <f t="shared" si="22"/>
        <v>-5</v>
      </c>
      <c r="AJ160" s="195">
        <f t="shared" si="21"/>
        <v>3.9321354566666669</v>
      </c>
      <c r="AK160" s="195">
        <f t="shared" si="21"/>
        <v>1.5762898861819017</v>
      </c>
      <c r="AL160" s="195">
        <f t="shared" si="21"/>
        <v>0.46805630843317908</v>
      </c>
      <c r="AM160" s="195" t="str">
        <f t="shared" si="21"/>
        <v>2</v>
      </c>
      <c r="AN160" s="153"/>
      <c r="AO160" s="153">
        <v>155</v>
      </c>
      <c r="AP160" s="153">
        <v>156</v>
      </c>
      <c r="AQ160" s="153">
        <f>AP160-AO160</f>
        <v>1</v>
      </c>
      <c r="AR160" s="86" t="s">
        <v>176</v>
      </c>
      <c r="AS160" s="153" t="str">
        <f>BH160&amp;" "&amp;BI160</f>
        <v>RB 46</v>
      </c>
      <c r="AT160" s="153">
        <f>IF(AU160&gt;8,1,IF(AU160&gt;6.4,2,IF(AU160&gt;6,3,IF(AU160&gt;5,4,IF(AU160&gt;3.5,5,IF(AU160&gt;2.5,6,IF(AU160&gt;1.5,7,IF(AU160&gt;0.5,8,IF(AU160&gt;-0.5,9,10)))))))))</f>
        <v>10</v>
      </c>
      <c r="AU160" s="169">
        <f>SUM(AV160,AZ160,BA160)</f>
        <v>-3.0776972866666661</v>
      </c>
      <c r="AV160" s="169">
        <f>INDEX(AJ$6:AJ$182,MATCH($AR160,$AF$6:$AF$182,0))</f>
        <v>-2.9276972866666662</v>
      </c>
      <c r="AW160" s="169">
        <f>INDEX(AK$6:AK$182,MATCH($AR160,$AF$6:$AF$182,0))</f>
        <v>1.1476991502002036</v>
      </c>
      <c r="AX160" s="168">
        <f>SUMIFS(AV161:AV$183,AV161:AV$183,"&gt;"&amp;0,$BH161:$BH$183,"="&amp;$BH160,$BK161:$BK$183,"="&amp;1)/SUMIFS(AV$6:AV$183,AV$6:AV$183,"&gt;"&amp;0,$BH$6:$BH$183,"="&amp;$BH160)</f>
        <v>0</v>
      </c>
      <c r="AY160" s="168">
        <f>SUMIFS(AU161:AU$183,AU161:AU$183,"&gt;"&amp;0,BH161:BH$183,"="&amp;BH160,BK161:BK$183,"="&amp;1)/SUMIFS(AU$6:AU$183,AU$6:AU$183,"&gt;"&amp;0,BH$6:BH$183,"="&amp;BH160)</f>
        <v>0</v>
      </c>
      <c r="AZ160" s="169">
        <f>IF(AW160&gt;Adjustments!$J$6,Adjustments!$L$6,IF(AW160&gt;Adjustments!$J$7,Adjustments!$L$7,IF(AW160&gt;Adjustments!$J$8,Adjustments!$L$8,IF(AW160&lt;Adjustments!$J$10,Adjustments!$L$10,IF(AW160&lt;Adjustments!$J$9,Adjustments!$L$9,0)))))</f>
        <v>-0.15</v>
      </c>
      <c r="BA160" s="169">
        <f>INDEX(Adjustments!$C$4:$C$2520,MATCH(AR160,Adjustments!$B$4:$B$2520,0))</f>
        <v>0</v>
      </c>
      <c r="BB160" s="153" t="str">
        <f>INDEX(AG$6:AG$182,MATCH($AR160,$AF$6:$AF$182,0))</f>
        <v>9</v>
      </c>
      <c r="BC160" s="153">
        <f>INDEX(AH$6:AH$182,MATCH($AR160,$AF$6:$AF$182,0))</f>
        <v>200</v>
      </c>
      <c r="BD160" s="153">
        <f>INDEX(AI$6:AI$182,MATCH($AR160,$AF$6:$AF$182,0))</f>
        <v>0</v>
      </c>
      <c r="BE160" s="153">
        <f>BC160-AO160</f>
        <v>45</v>
      </c>
      <c r="BF160" s="153"/>
      <c r="BG160" s="153"/>
      <c r="BH160" s="195" t="str">
        <f>INDEX($AE$6:$AE$182,MATCH(AR160,$AF$6:$AF$182,0))</f>
        <v>RB</v>
      </c>
      <c r="BI160" s="195">
        <f>SUMIF($BH$6:BH160,BH160,$BK$6:BK160)</f>
        <v>46</v>
      </c>
      <c r="BJ160" s="194">
        <v>1</v>
      </c>
      <c r="BK160" s="194">
        <f t="shared" si="19"/>
        <v>1</v>
      </c>
      <c r="BL160" s="194" t="str">
        <f>IF('Real Time Draft Tool'!B160="y","y","")</f>
        <v/>
      </c>
      <c r="BM160" s="194" t="str">
        <f t="shared" si="20"/>
        <v>RB 46</v>
      </c>
    </row>
    <row r="161" spans="31:65" x14ac:dyDescent="0.25">
      <c r="AE161" s="195" t="s">
        <v>261</v>
      </c>
      <c r="AF161" s="195" t="str">
        <f t="shared" si="23"/>
        <v>Jordan Cameron</v>
      </c>
      <c r="AG161" s="195" t="str">
        <f t="shared" si="21"/>
        <v>4</v>
      </c>
      <c r="AH161" s="195">
        <f t="shared" si="24"/>
        <v>58</v>
      </c>
      <c r="AI161" s="195">
        <f t="shared" si="22"/>
        <v>-4</v>
      </c>
      <c r="AJ161" s="195">
        <f t="shared" si="21"/>
        <v>2.4268854766666665</v>
      </c>
      <c r="AK161" s="195">
        <f t="shared" si="21"/>
        <v>0.9541166271656214</v>
      </c>
      <c r="AL161" s="195">
        <f t="shared" si="21"/>
        <v>0.38442271460657346</v>
      </c>
      <c r="AM161" s="195" t="str">
        <f t="shared" si="21"/>
        <v>3</v>
      </c>
      <c r="AN161" s="153"/>
      <c r="AO161" s="153">
        <v>156</v>
      </c>
      <c r="AP161" s="153">
        <v>161</v>
      </c>
      <c r="AQ161" s="153">
        <f>AP161-AO161</f>
        <v>5</v>
      </c>
      <c r="AR161" s="86" t="s">
        <v>197</v>
      </c>
      <c r="AS161" s="153" t="str">
        <f>BH161&amp;" "&amp;BI161</f>
        <v>RB 47</v>
      </c>
      <c r="AT161" s="153">
        <f>IF(AU161&gt;8,1,IF(AU161&gt;6.4,2,IF(AU161&gt;6,3,IF(AU161&gt;5,4,IF(AU161&gt;3.5,5,IF(AU161&gt;2.5,6,IF(AU161&gt;1.5,7,IF(AU161&gt;0.5,8,IF(AU161&gt;-0.5,9,10)))))))))</f>
        <v>10</v>
      </c>
      <c r="AU161" s="169">
        <f>SUM(AV161,AZ161,BA161)</f>
        <v>-3.1485254916666667</v>
      </c>
      <c r="AV161" s="169">
        <f>INDEX(AJ$6:AJ$182,MATCH($AR161,$AF$6:$AF$182,0))</f>
        <v>-3.1485254916666667</v>
      </c>
      <c r="AW161" s="169">
        <f>INDEX(AK$6:AK$182,MATCH($AR161,$AF$6:$AF$182,0))</f>
        <v>0.81802779019076455</v>
      </c>
      <c r="AX161" s="168">
        <f>SUMIFS(AV162:AV$183,AV162:AV$183,"&gt;"&amp;0,$BH162:$BH$183,"="&amp;$BH161,$BK162:$BK$183,"="&amp;1)/SUMIFS(AV$6:AV$183,AV$6:AV$183,"&gt;"&amp;0,$BH$6:$BH$183,"="&amp;$BH161)</f>
        <v>0</v>
      </c>
      <c r="AY161" s="168">
        <f>SUMIFS(AU162:AU$183,AU162:AU$183,"&gt;"&amp;0,BH162:BH$183,"="&amp;BH161,BK162:BK$183,"="&amp;1)/SUMIFS(AU$6:AU$183,AU$6:AU$183,"&gt;"&amp;0,BH$6:BH$183,"="&amp;BH161)</f>
        <v>0</v>
      </c>
      <c r="AZ161" s="169">
        <f>IF(AW161&gt;Adjustments!$J$6,Adjustments!$L$6,IF(AW161&gt;Adjustments!$J$7,Adjustments!$L$7,IF(AW161&gt;Adjustments!$J$8,Adjustments!$L$8,IF(AW161&lt;Adjustments!$J$10,Adjustments!$L$10,IF(AW161&lt;Adjustments!$J$9,Adjustments!$L$9,0)))))</f>
        <v>0</v>
      </c>
      <c r="BA161" s="169">
        <f>INDEX(Adjustments!$C$4:$C$2520,MATCH(AR161,Adjustments!$B$4:$B$2520,0))</f>
        <v>0</v>
      </c>
      <c r="BB161" s="153" t="str">
        <f>INDEX(AG$6:AG$182,MATCH($AR161,$AF$6:$AF$182,0))</f>
        <v>12</v>
      </c>
      <c r="BC161" s="153">
        <f>INDEX(AH$6:AH$182,MATCH($AR161,$AF$6:$AF$182,0))</f>
        <v>158</v>
      </c>
      <c r="BD161" s="153">
        <f>INDEX(AI$6:AI$182,MATCH($AR161,$AF$6:$AF$182,0))</f>
        <v>-30</v>
      </c>
      <c r="BE161" s="153">
        <f>BC161-AO161</f>
        <v>2</v>
      </c>
      <c r="BF161" s="153"/>
      <c r="BG161" s="153"/>
      <c r="BH161" s="195" t="str">
        <f>INDEX($AE$6:$AE$182,MATCH(AR161,$AF$6:$AF$182,0))</f>
        <v>RB</v>
      </c>
      <c r="BI161" s="195">
        <f>SUMIF($BH$6:BH161,BH161,$BK$6:BK161)</f>
        <v>47</v>
      </c>
      <c r="BJ161" s="194">
        <v>1</v>
      </c>
      <c r="BK161" s="194">
        <f t="shared" si="19"/>
        <v>1</v>
      </c>
      <c r="BL161" s="194" t="str">
        <f>IF('Real Time Draft Tool'!B161="y","y","")</f>
        <v/>
      </c>
      <c r="BM161" s="194" t="str">
        <f t="shared" si="20"/>
        <v>RB 47</v>
      </c>
    </row>
    <row r="162" spans="31:65" x14ac:dyDescent="0.25">
      <c r="AE162" s="195" t="s">
        <v>261</v>
      </c>
      <c r="AF162" s="195" t="str">
        <f t="shared" si="23"/>
        <v>Jason Witten</v>
      </c>
      <c r="AG162" s="195" t="str">
        <f t="shared" si="21"/>
        <v>11</v>
      </c>
      <c r="AH162" s="195">
        <f t="shared" si="24"/>
        <v>66</v>
      </c>
      <c r="AI162" s="195">
        <f t="shared" si="22"/>
        <v>2</v>
      </c>
      <c r="AJ162" s="195">
        <f t="shared" si="21"/>
        <v>2.3805417366666664</v>
      </c>
      <c r="AK162" s="195">
        <f t="shared" si="21"/>
        <v>0.68757937420586834</v>
      </c>
      <c r="AL162" s="195">
        <f t="shared" si="21"/>
        <v>0.30238618564554587</v>
      </c>
      <c r="AM162" s="195" t="str">
        <f t="shared" si="21"/>
        <v>3</v>
      </c>
      <c r="AN162" s="153"/>
      <c r="AO162" s="153">
        <v>157</v>
      </c>
      <c r="AP162" s="153">
        <v>162</v>
      </c>
      <c r="AQ162" s="153">
        <f>AP162-AO162</f>
        <v>5</v>
      </c>
      <c r="AR162" s="86" t="s">
        <v>191</v>
      </c>
      <c r="AS162" s="153" t="str">
        <f>BH162&amp;" "&amp;BI162</f>
        <v>RB 48</v>
      </c>
      <c r="AT162" s="153">
        <f>IF(AU162&gt;8,1,IF(AU162&gt;6.4,2,IF(AU162&gt;6,3,IF(AU162&gt;5,4,IF(AU162&gt;3.5,5,IF(AU162&gt;2.5,6,IF(AU162&gt;1.5,7,IF(AU162&gt;0.5,8,IF(AU162&gt;-0.5,9,10)))))))))</f>
        <v>10</v>
      </c>
      <c r="AU162" s="169">
        <f>SUM(AV162,AZ162,BA162)</f>
        <v>-3.1833306599999998</v>
      </c>
      <c r="AV162" s="169">
        <f>INDEX(AJ$6:AJ$182,MATCH($AR162,$AF$6:$AF$182,0))</f>
        <v>-3.1833306599999998</v>
      </c>
      <c r="AW162" s="169">
        <f>INDEX(AK$6:AK$182,MATCH($AR162,$AF$6:$AF$182,0))</f>
        <v>0.89262864600756686</v>
      </c>
      <c r="AX162" s="168">
        <f>SUMIFS(AV163:AV$183,AV163:AV$183,"&gt;"&amp;0,$BH163:$BH$183,"="&amp;$BH162,$BK163:$BK$183,"="&amp;1)/SUMIFS(AV$6:AV$183,AV$6:AV$183,"&gt;"&amp;0,$BH$6:$BH$183,"="&amp;$BH162)</f>
        <v>0</v>
      </c>
      <c r="AY162" s="168">
        <f>SUMIFS(AU163:AU$183,AU163:AU$183,"&gt;"&amp;0,BH163:BH$183,"="&amp;BH162,BK163:BK$183,"="&amp;1)/SUMIFS(AU$6:AU$183,AU$6:AU$183,"&gt;"&amp;0,BH$6:BH$183,"="&amp;BH162)</f>
        <v>0</v>
      </c>
      <c r="AZ162" s="169">
        <f>IF(AW162&gt;Adjustments!$J$6,Adjustments!$L$6,IF(AW162&gt;Adjustments!$J$7,Adjustments!$L$7,IF(AW162&gt;Adjustments!$J$8,Adjustments!$L$8,IF(AW162&lt;Adjustments!$J$10,Adjustments!$L$10,IF(AW162&lt;Adjustments!$J$9,Adjustments!$L$9,0)))))</f>
        <v>0</v>
      </c>
      <c r="BA162" s="169">
        <f>INDEX(Adjustments!$C$4:$C$2520,MATCH(AR162,Adjustments!$B$4:$B$2520,0))</f>
        <v>0</v>
      </c>
      <c r="BB162" s="153" t="str">
        <f>INDEX(AG$6:AG$182,MATCH($AR162,$AF$6:$AF$182,0))</f>
        <v>12</v>
      </c>
      <c r="BC162" s="153">
        <f>INDEX(AH$6:AH$182,MATCH($AR162,$AF$6:$AF$182,0))</f>
        <v>200</v>
      </c>
      <c r="BD162" s="153">
        <f>INDEX(AI$6:AI$182,MATCH($AR162,$AF$6:$AF$182,0))</f>
        <v>0</v>
      </c>
      <c r="BE162" s="153">
        <f>BC162-AO162</f>
        <v>43</v>
      </c>
      <c r="BF162" s="153"/>
      <c r="BG162" s="153"/>
      <c r="BH162" s="195" t="str">
        <f>INDEX($AE$6:$AE$182,MATCH(AR162,$AF$6:$AF$182,0))</f>
        <v>RB</v>
      </c>
      <c r="BI162" s="195">
        <f>SUMIF($BH$6:BH162,BH162,$BK$6:BK162)</f>
        <v>48</v>
      </c>
      <c r="BJ162" s="194">
        <v>1</v>
      </c>
      <c r="BK162" s="194">
        <f t="shared" si="19"/>
        <v>1</v>
      </c>
      <c r="BL162" s="194" t="str">
        <f>IF('Real Time Draft Tool'!B162="y","y","")</f>
        <v/>
      </c>
      <c r="BM162" s="194" t="str">
        <f t="shared" si="20"/>
        <v>RB 48</v>
      </c>
    </row>
    <row r="163" spans="31:65" x14ac:dyDescent="0.25">
      <c r="AE163" s="195" t="s">
        <v>261</v>
      </c>
      <c r="AF163" s="195" t="str">
        <f t="shared" si="23"/>
        <v>Vernon Davis</v>
      </c>
      <c r="AG163" s="195" t="str">
        <f t="shared" si="21"/>
        <v>8</v>
      </c>
      <c r="AH163" s="195">
        <f t="shared" si="24"/>
        <v>56</v>
      </c>
      <c r="AI163" s="195">
        <f t="shared" si="22"/>
        <v>-11</v>
      </c>
      <c r="AJ163" s="195">
        <f t="shared" si="21"/>
        <v>2.1914010916666662</v>
      </c>
      <c r="AK163" s="195">
        <f t="shared" si="21"/>
        <v>1.1442978151128809</v>
      </c>
      <c r="AL163" s="195">
        <f t="shared" si="21"/>
        <v>0.22686768649355515</v>
      </c>
      <c r="AM163" s="195" t="str">
        <f t="shared" si="21"/>
        <v>3-</v>
      </c>
      <c r="AN163" s="153"/>
      <c r="AO163" s="153">
        <v>158</v>
      </c>
      <c r="AP163" s="153">
        <v>163</v>
      </c>
      <c r="AQ163" s="153">
        <f>AP163-AO163</f>
        <v>5</v>
      </c>
      <c r="AR163" s="86" t="s">
        <v>213</v>
      </c>
      <c r="AS163" s="153" t="str">
        <f>BH163&amp;" "&amp;BI163</f>
        <v>RB 49</v>
      </c>
      <c r="AT163" s="153">
        <f>IF(AU163&gt;8,1,IF(AU163&gt;6.4,2,IF(AU163&gt;6,3,IF(AU163&gt;5,4,IF(AU163&gt;3.5,5,IF(AU163&gt;2.5,6,IF(AU163&gt;1.5,7,IF(AU163&gt;0.5,8,IF(AU163&gt;-0.5,9,10)))))))))</f>
        <v>10</v>
      </c>
      <c r="AU163" s="169">
        <f>SUM(AV163,AZ163,BA163)</f>
        <v>-3.1937494699999998</v>
      </c>
      <c r="AV163" s="169">
        <f>INDEX(AJ$6:AJ$182,MATCH($AR163,$AF$6:$AF$182,0))</f>
        <v>-3.1937494699999998</v>
      </c>
      <c r="AW163" s="169">
        <f>INDEX(AK$6:AK$182,MATCH($AR163,$AF$6:$AF$182,0))</f>
        <v>0.91468488426342909</v>
      </c>
      <c r="AX163" s="168">
        <f>SUMIFS(AV164:AV$183,AV164:AV$183,"&gt;"&amp;0,$BH164:$BH$183,"="&amp;$BH163,$BK164:$BK$183,"="&amp;1)/SUMIFS(AV$6:AV$183,AV$6:AV$183,"&gt;"&amp;0,$BH$6:$BH$183,"="&amp;$BH163)</f>
        <v>0</v>
      </c>
      <c r="AY163" s="168">
        <f>SUMIFS(AU164:AU$183,AU164:AU$183,"&gt;"&amp;0,BH164:BH$183,"="&amp;BH163,BK164:BK$183,"="&amp;1)/SUMIFS(AU$6:AU$183,AU$6:AU$183,"&gt;"&amp;0,BH$6:BH$183,"="&amp;BH163)</f>
        <v>0</v>
      </c>
      <c r="AZ163" s="169">
        <f>IF(AW163&gt;Adjustments!$J$6,Adjustments!$L$6,IF(AW163&gt;Adjustments!$J$7,Adjustments!$L$7,IF(AW163&gt;Adjustments!$J$8,Adjustments!$L$8,IF(AW163&lt;Adjustments!$J$10,Adjustments!$L$10,IF(AW163&lt;Adjustments!$J$9,Adjustments!$L$9,0)))))</f>
        <v>0</v>
      </c>
      <c r="BA163" s="169">
        <f>INDEX(Adjustments!$C$4:$C$2520,MATCH(AR163,Adjustments!$B$4:$B$2520,0))</f>
        <v>0</v>
      </c>
      <c r="BB163" s="153" t="str">
        <f>INDEX(AG$6:AG$182,MATCH($AR163,$AF$6:$AF$182,0))</f>
        <v>6</v>
      </c>
      <c r="BC163" s="153">
        <f>INDEX(AH$6:AH$182,MATCH($AR163,$AF$6:$AF$182,0))</f>
        <v>157</v>
      </c>
      <c r="BD163" s="153">
        <f>INDEX(AI$6:AI$182,MATCH($AR163,$AF$6:$AF$182,0))</f>
        <v>-33</v>
      </c>
      <c r="BE163" s="153">
        <f>BC163-AO163</f>
        <v>-1</v>
      </c>
      <c r="BF163" s="153"/>
      <c r="BG163" s="153"/>
      <c r="BH163" s="195" t="str">
        <f>INDEX($AE$6:$AE$182,MATCH(AR163,$AF$6:$AF$182,0))</f>
        <v>RB</v>
      </c>
      <c r="BI163" s="195">
        <f>SUMIF($BH$6:BH163,BH163,$BK$6:BK163)</f>
        <v>49</v>
      </c>
      <c r="BJ163" s="194">
        <v>1</v>
      </c>
      <c r="BK163" s="194">
        <f t="shared" si="19"/>
        <v>1</v>
      </c>
      <c r="BL163" s="194" t="str">
        <f>IF('Real Time Draft Tool'!B163="y","y","")</f>
        <v/>
      </c>
      <c r="BM163" s="194" t="str">
        <f t="shared" si="20"/>
        <v>RB 49</v>
      </c>
    </row>
    <row r="164" spans="31:65" x14ac:dyDescent="0.25">
      <c r="AE164" s="195" t="s">
        <v>261</v>
      </c>
      <c r="AF164" s="195" t="str">
        <f t="shared" si="23"/>
        <v>Greg Olsen</v>
      </c>
      <c r="AG164" s="195" t="str">
        <f t="shared" si="21"/>
        <v>12</v>
      </c>
      <c r="AH164" s="195">
        <f t="shared" si="24"/>
        <v>81</v>
      </c>
      <c r="AI164" s="195">
        <f t="shared" si="22"/>
        <v>10</v>
      </c>
      <c r="AJ164" s="195">
        <f t="shared" si="21"/>
        <v>2.0219948716666662</v>
      </c>
      <c r="AK164" s="195">
        <f t="shared" si="21"/>
        <v>0.80669530182381211</v>
      </c>
      <c r="AL164" s="195">
        <f t="shared" si="21"/>
        <v>0.15718714349211194</v>
      </c>
      <c r="AM164" s="195" t="str">
        <f t="shared" si="21"/>
        <v>3</v>
      </c>
      <c r="AN164" s="153"/>
      <c r="AO164" s="153">
        <v>159</v>
      </c>
      <c r="AP164" s="153">
        <v>166</v>
      </c>
      <c r="AQ164" s="153">
        <f>AP164-AO164</f>
        <v>7</v>
      </c>
      <c r="AR164" s="86" t="s">
        <v>210</v>
      </c>
      <c r="AS164" s="153" t="str">
        <f>BH164&amp;" "&amp;BI164</f>
        <v>RB 50</v>
      </c>
      <c r="AT164" s="153">
        <f>IF(AU164&gt;8,1,IF(AU164&gt;6.4,2,IF(AU164&gt;6,3,IF(AU164&gt;5,4,IF(AU164&gt;3.5,5,IF(AU164&gt;2.5,6,IF(AU164&gt;1.5,7,IF(AU164&gt;0.5,8,IF(AU164&gt;-0.5,9,10)))))))))</f>
        <v>10</v>
      </c>
      <c r="AU164" s="169">
        <f>SUM(AV164,AZ164,BA164)</f>
        <v>-3.2362754816666666</v>
      </c>
      <c r="AV164" s="169">
        <f>INDEX(AJ$6:AJ$182,MATCH($AR164,$AF$6:$AF$182,0))</f>
        <v>-3.2362754816666666</v>
      </c>
      <c r="AW164" s="169">
        <f>INDEX(AK$6:AK$182,MATCH($AR164,$AF$6:$AF$182,0))</f>
        <v>0.89980557853391208</v>
      </c>
      <c r="AX164" s="168">
        <f>SUMIFS(AV165:AV$183,AV165:AV$183,"&gt;"&amp;0,$BH165:$BH$183,"="&amp;$BH164,$BK165:$BK$183,"="&amp;1)/SUMIFS(AV$6:AV$183,AV$6:AV$183,"&gt;"&amp;0,$BH$6:$BH$183,"="&amp;$BH164)</f>
        <v>0</v>
      </c>
      <c r="AY164" s="168">
        <f>SUMIFS(AU165:AU$183,AU165:AU$183,"&gt;"&amp;0,BH165:BH$183,"="&amp;BH164,BK165:BK$183,"="&amp;1)/SUMIFS(AU$6:AU$183,AU$6:AU$183,"&gt;"&amp;0,BH$6:BH$183,"="&amp;BH164)</f>
        <v>0</v>
      </c>
      <c r="AZ164" s="169">
        <f>IF(AW164&gt;Adjustments!$J$6,Adjustments!$L$6,IF(AW164&gt;Adjustments!$J$7,Adjustments!$L$7,IF(AW164&gt;Adjustments!$J$8,Adjustments!$L$8,IF(AW164&lt;Adjustments!$J$10,Adjustments!$L$10,IF(AW164&lt;Adjustments!$J$9,Adjustments!$L$9,0)))))</f>
        <v>0</v>
      </c>
      <c r="BA164" s="169">
        <f>INDEX(Adjustments!$C$4:$C$2520,MATCH(AR164,Adjustments!$B$4:$B$2520,0))</f>
        <v>0</v>
      </c>
      <c r="BB164" s="153" t="str">
        <f>INDEX(AG$6:AG$182,MATCH($AR164,$AF$6:$AF$182,0))</f>
        <v>10</v>
      </c>
      <c r="BC164" s="153">
        <f>INDEX(AH$6:AH$182,MATCH($AR164,$AF$6:$AF$182,0))</f>
        <v>165</v>
      </c>
      <c r="BD164" s="153">
        <f>INDEX(AI$6:AI$182,MATCH($AR164,$AF$6:$AF$182,0))</f>
        <v>-30</v>
      </c>
      <c r="BE164" s="153">
        <f>BC164-AO164</f>
        <v>6</v>
      </c>
      <c r="BF164" s="153"/>
      <c r="BG164" s="153"/>
      <c r="BH164" s="195" t="str">
        <f>INDEX($AE$6:$AE$182,MATCH(AR164,$AF$6:$AF$182,0))</f>
        <v>RB</v>
      </c>
      <c r="BI164" s="195">
        <f>SUMIF($BH$6:BH164,BH164,$BK$6:BK164)</f>
        <v>50</v>
      </c>
      <c r="BJ164" s="194">
        <v>1</v>
      </c>
      <c r="BK164" s="194">
        <f t="shared" si="19"/>
        <v>1</v>
      </c>
      <c r="BL164" s="194" t="str">
        <f>IF('Real Time Draft Tool'!B164="y","y","")</f>
        <v/>
      </c>
      <c r="BM164" s="194" t="str">
        <f t="shared" si="20"/>
        <v>RB 50</v>
      </c>
    </row>
    <row r="165" spans="31:65" x14ac:dyDescent="0.25">
      <c r="AE165" s="195" t="s">
        <v>261</v>
      </c>
      <c r="AF165" s="195" t="str">
        <f t="shared" si="23"/>
        <v>Jordan Reed</v>
      </c>
      <c r="AG165" s="195" t="str">
        <f t="shared" si="21"/>
        <v>10</v>
      </c>
      <c r="AH165" s="195">
        <f t="shared" si="24"/>
        <v>84</v>
      </c>
      <c r="AI165" s="195">
        <f t="shared" si="22"/>
        <v>3</v>
      </c>
      <c r="AJ165" s="195">
        <f t="shared" si="21"/>
        <v>1.4241302983333328</v>
      </c>
      <c r="AK165" s="195">
        <f t="shared" si="21"/>
        <v>0.99328919506930613</v>
      </c>
      <c r="AL165" s="195">
        <f t="shared" si="21"/>
        <v>0.10810978237552402</v>
      </c>
      <c r="AM165" s="195" t="str">
        <f t="shared" si="21"/>
        <v>4</v>
      </c>
      <c r="AN165" s="153"/>
      <c r="AO165" s="153">
        <v>160</v>
      </c>
      <c r="AP165" s="153">
        <v>160</v>
      </c>
      <c r="AQ165" s="153">
        <f>AP165-AO165</f>
        <v>0</v>
      </c>
      <c r="AR165" s="86" t="s">
        <v>216</v>
      </c>
      <c r="AS165" s="153" t="str">
        <f>BH165&amp;" "&amp;BI165</f>
        <v>RB 51</v>
      </c>
      <c r="AT165" s="153">
        <f>IF(AU165&gt;8,1,IF(AU165&gt;6.4,2,IF(AU165&gt;6,3,IF(AU165&gt;5,4,IF(AU165&gt;3.5,5,IF(AU165&gt;2.5,6,IF(AU165&gt;1.5,7,IF(AU165&gt;0.5,8,IF(AU165&gt;-0.5,9,10)))))))))</f>
        <v>10</v>
      </c>
      <c r="AU165" s="169">
        <f>SUM(AV165,AZ165,BA165)</f>
        <v>-3.2824995000000001</v>
      </c>
      <c r="AV165" s="169">
        <f>INDEX(AJ$6:AJ$182,MATCH($AR165,$AF$6:$AF$182,0))</f>
        <v>-3.1324995000000002</v>
      </c>
      <c r="AW165" s="169">
        <f>INDEX(AK$6:AK$182,MATCH($AR165,$AF$6:$AF$182,0))</f>
        <v>1.2313603306461061</v>
      </c>
      <c r="AX165" s="168">
        <f>SUMIFS(AV166:AV$183,AV166:AV$183,"&gt;"&amp;0,$BH166:$BH$183,"="&amp;$BH165,$BK166:$BK$183,"="&amp;1)/SUMIFS(AV$6:AV$183,AV$6:AV$183,"&gt;"&amp;0,$BH$6:$BH$183,"="&amp;$BH165)</f>
        <v>0</v>
      </c>
      <c r="AY165" s="168">
        <f>SUMIFS(AU166:AU$183,AU166:AU$183,"&gt;"&amp;0,BH166:BH$183,"="&amp;BH165,BK166:BK$183,"="&amp;1)/SUMIFS(AU$6:AU$183,AU$6:AU$183,"&gt;"&amp;0,BH$6:BH$183,"="&amp;BH165)</f>
        <v>0</v>
      </c>
      <c r="AZ165" s="169">
        <f>IF(AW165&gt;Adjustments!$J$6,Adjustments!$L$6,IF(AW165&gt;Adjustments!$J$7,Adjustments!$L$7,IF(AW165&gt;Adjustments!$J$8,Adjustments!$L$8,IF(AW165&lt;Adjustments!$J$10,Adjustments!$L$10,IF(AW165&lt;Adjustments!$J$9,Adjustments!$L$9,0)))))</f>
        <v>-0.15</v>
      </c>
      <c r="BA165" s="169">
        <f>INDEX(Adjustments!$C$4:$C$2520,MATCH(AR165,Adjustments!$B$4:$B$2520,0))</f>
        <v>0</v>
      </c>
      <c r="BB165" s="153" t="str">
        <f>INDEX(AG$6:AG$182,MATCH($AR165,$AF$6:$AF$182,0))</f>
        <v>4</v>
      </c>
      <c r="BC165" s="153">
        <f>INDEX(AH$6:AH$182,MATCH($AR165,$AF$6:$AF$182,0))</f>
        <v>180</v>
      </c>
      <c r="BD165" s="153">
        <f>INDEX(AI$6:AI$182,MATCH($AR165,$AF$6:$AF$182,0))</f>
        <v>-7</v>
      </c>
      <c r="BE165" s="153">
        <f>BC165-AO165</f>
        <v>20</v>
      </c>
      <c r="BF165" s="153"/>
      <c r="BG165" s="153"/>
      <c r="BH165" s="195" t="str">
        <f>INDEX($AE$6:$AE$182,MATCH(AR165,$AF$6:$AF$182,0))</f>
        <v>RB</v>
      </c>
      <c r="BI165" s="195">
        <f>SUMIF($BH$6:BH165,BH165,$BK$6:BK165)</f>
        <v>51</v>
      </c>
      <c r="BJ165" s="194">
        <v>1</v>
      </c>
      <c r="BK165" s="194">
        <f t="shared" si="19"/>
        <v>1</v>
      </c>
      <c r="BL165" s="194" t="str">
        <f>IF('Real Time Draft Tool'!B165="y","y","")</f>
        <v/>
      </c>
      <c r="BM165" s="194" t="str">
        <f t="shared" si="20"/>
        <v>RB 51</v>
      </c>
    </row>
    <row r="166" spans="31:65" x14ac:dyDescent="0.25">
      <c r="AE166" s="195" t="s">
        <v>261</v>
      </c>
      <c r="AF166" s="195" t="str">
        <f t="shared" si="23"/>
        <v>Dennis Pitta</v>
      </c>
      <c r="AG166" s="195" t="str">
        <f t="shared" si="21"/>
        <v>11</v>
      </c>
      <c r="AH166" s="195">
        <f t="shared" si="24"/>
        <v>84</v>
      </c>
      <c r="AI166" s="195">
        <f t="shared" si="22"/>
        <v>-1</v>
      </c>
      <c r="AJ166" s="195">
        <f t="shared" si="21"/>
        <v>1.2808073916666665</v>
      </c>
      <c r="AK166" s="195">
        <f t="shared" si="21"/>
        <v>0.75802773370757315</v>
      </c>
      <c r="AL166" s="195">
        <f t="shared" si="21"/>
        <v>6.3971512896120408E-2</v>
      </c>
      <c r="AM166" s="195" t="str">
        <f t="shared" si="21"/>
        <v>4</v>
      </c>
      <c r="AN166" s="153"/>
      <c r="AO166" s="153">
        <v>161</v>
      </c>
      <c r="AP166" s="153">
        <v>157</v>
      </c>
      <c r="AQ166" s="153">
        <f>AP166-AO166</f>
        <v>-4</v>
      </c>
      <c r="AR166" s="86" t="s">
        <v>207</v>
      </c>
      <c r="AS166" s="153" t="str">
        <f>BH166&amp;" "&amp;BI166</f>
        <v>RB 52</v>
      </c>
      <c r="AT166" s="153">
        <f>IF(AU166&gt;8,1,IF(AU166&gt;6.4,2,IF(AU166&gt;6,3,IF(AU166&gt;5,4,IF(AU166&gt;3.5,5,IF(AU166&gt;2.5,6,IF(AU166&gt;1.5,7,IF(AU166&gt;0.5,8,IF(AU166&gt;-0.5,9,10)))))))))</f>
        <v>10</v>
      </c>
      <c r="AU166" s="169">
        <f>SUM(AV166,AZ166,BA166)</f>
        <v>-3.2920151550000005</v>
      </c>
      <c r="AV166" s="169">
        <f>INDEX(AJ$6:AJ$182,MATCH($AR166,$AF$6:$AF$182,0))</f>
        <v>-2.9920151550000007</v>
      </c>
      <c r="AW166" s="169">
        <f>INDEX(AK$6:AK$182,MATCH($AR166,$AF$6:$AF$182,0))</f>
        <v>1.4739883915750041</v>
      </c>
      <c r="AX166" s="168">
        <f>SUMIFS(AV167:AV$183,AV167:AV$183,"&gt;"&amp;0,$BH167:$BH$183,"="&amp;$BH166,$BK167:$BK$183,"="&amp;1)/SUMIFS(AV$6:AV$183,AV$6:AV$183,"&gt;"&amp;0,$BH$6:$BH$183,"="&amp;$BH166)</f>
        <v>0</v>
      </c>
      <c r="AY166" s="168">
        <f>SUMIFS(AU167:AU$183,AU167:AU$183,"&gt;"&amp;0,BH167:BH$183,"="&amp;BH166,BK167:BK$183,"="&amp;1)/SUMIFS(AU$6:AU$183,AU$6:AU$183,"&gt;"&amp;0,BH$6:BH$183,"="&amp;BH166)</f>
        <v>0</v>
      </c>
      <c r="AZ166" s="169">
        <f>IF(AW166&gt;Adjustments!$J$6,Adjustments!$L$6,IF(AW166&gt;Adjustments!$J$7,Adjustments!$L$7,IF(AW166&gt;Adjustments!$J$8,Adjustments!$L$8,IF(AW166&lt;Adjustments!$J$10,Adjustments!$L$10,IF(AW166&lt;Adjustments!$J$9,Adjustments!$L$9,0)))))</f>
        <v>-0.3</v>
      </c>
      <c r="BA166" s="169">
        <f>INDEX(Adjustments!$C$4:$C$2520,MATCH(AR166,Adjustments!$B$4:$B$2520,0))</f>
        <v>0</v>
      </c>
      <c r="BB166" s="153" t="str">
        <f>INDEX(AG$6:AG$182,MATCH($AR166,$AF$6:$AF$182,0))</f>
        <v>9</v>
      </c>
      <c r="BC166" s="153">
        <f>INDEX(AH$6:AH$182,MATCH($AR166,$AF$6:$AF$182,0))</f>
        <v>200</v>
      </c>
      <c r="BD166" s="153">
        <f>INDEX(AI$6:AI$182,MATCH($AR166,$AF$6:$AF$182,0))</f>
        <v>0</v>
      </c>
      <c r="BE166" s="153">
        <f>BC166-AO166</f>
        <v>39</v>
      </c>
      <c r="BF166" s="153"/>
      <c r="BG166" s="153"/>
      <c r="BH166" s="195" t="str">
        <f>INDEX($AE$6:$AE$182,MATCH(AR166,$AF$6:$AF$182,0))</f>
        <v>RB</v>
      </c>
      <c r="BI166" s="195">
        <f>SUMIF($BH$6:BH166,BH166,$BK$6:BK166)</f>
        <v>52</v>
      </c>
      <c r="BJ166" s="194">
        <v>1</v>
      </c>
      <c r="BK166" s="194">
        <f t="shared" si="19"/>
        <v>1</v>
      </c>
      <c r="BL166" s="194" t="str">
        <f>IF('Real Time Draft Tool'!B166="y","y","")</f>
        <v/>
      </c>
      <c r="BM166" s="194" t="str">
        <f t="shared" si="20"/>
        <v>RB 52</v>
      </c>
    </row>
    <row r="167" spans="31:65" x14ac:dyDescent="0.25">
      <c r="AE167" s="195" t="s">
        <v>261</v>
      </c>
      <c r="AF167" s="195" t="str">
        <f t="shared" si="23"/>
        <v>Kyle Rudolph</v>
      </c>
      <c r="AG167" s="195" t="str">
        <f t="shared" si="21"/>
        <v>10</v>
      </c>
      <c r="AH167" s="195">
        <f t="shared" si="24"/>
        <v>94</v>
      </c>
      <c r="AI167" s="195">
        <f t="shared" si="22"/>
        <v>3</v>
      </c>
      <c r="AJ167" s="195">
        <f t="shared" si="21"/>
        <v>1.015099068333333</v>
      </c>
      <c r="AK167" s="195">
        <f t="shared" si="21"/>
        <v>0.77943868454649212</v>
      </c>
      <c r="AL167" s="195">
        <f t="shared" si="21"/>
        <v>2.8989893865888683E-2</v>
      </c>
      <c r="AM167" s="195" t="str">
        <f t="shared" si="21"/>
        <v>4</v>
      </c>
      <c r="AN167" s="153"/>
      <c r="AO167" s="153">
        <v>162</v>
      </c>
      <c r="AP167" s="153">
        <v>154</v>
      </c>
      <c r="AQ167" s="153">
        <f>AP167-AO167</f>
        <v>-8</v>
      </c>
      <c r="AR167" s="86" t="s">
        <v>188</v>
      </c>
      <c r="AS167" s="153" t="str">
        <f>BH167&amp;" "&amp;BI167</f>
        <v>RB 53</v>
      </c>
      <c r="AT167" s="153">
        <f>IF(AU167&gt;8,1,IF(AU167&gt;6.4,2,IF(AU167&gt;6,3,IF(AU167&gt;5,4,IF(AU167&gt;3.5,5,IF(AU167&gt;2.5,6,IF(AU167&gt;1.5,7,IF(AU167&gt;0.5,8,IF(AU167&gt;-0.5,9,10)))))))))</f>
        <v>10</v>
      </c>
      <c r="AU167" s="169">
        <f>SUM(AV167,AZ167,BA167)</f>
        <v>-3.3332130616666671</v>
      </c>
      <c r="AV167" s="169">
        <f>INDEX(AJ$6:AJ$182,MATCH($AR167,$AF$6:$AF$182,0))</f>
        <v>-2.8332130616666671</v>
      </c>
      <c r="AW167" s="169">
        <f>INDEX(AK$6:AK$182,MATCH($AR167,$AF$6:$AF$182,0))</f>
        <v>1.6330502828075415</v>
      </c>
      <c r="AX167" s="168">
        <f>SUMIFS(AV168:AV$183,AV168:AV$183,"&gt;"&amp;0,$BH168:$BH$183,"="&amp;$BH167,$BK168:$BK$183,"="&amp;1)/SUMIFS(AV$6:AV$183,AV$6:AV$183,"&gt;"&amp;0,$BH$6:$BH$183,"="&amp;$BH167)</f>
        <v>0</v>
      </c>
      <c r="AY167" s="168">
        <f>SUMIFS(AU168:AU$183,AU168:AU$183,"&gt;"&amp;0,BH168:BH$183,"="&amp;BH167,BK168:BK$183,"="&amp;1)/SUMIFS(AU$6:AU$183,AU$6:AU$183,"&gt;"&amp;0,BH$6:BH$183,"="&amp;BH167)</f>
        <v>0</v>
      </c>
      <c r="AZ167" s="169">
        <f>IF(AW167&gt;Adjustments!$J$6,Adjustments!$L$6,IF(AW167&gt;Adjustments!$J$7,Adjustments!$L$7,IF(AW167&gt;Adjustments!$J$8,Adjustments!$L$8,IF(AW167&lt;Adjustments!$J$10,Adjustments!$L$10,IF(AW167&lt;Adjustments!$J$9,Adjustments!$L$9,0)))))</f>
        <v>-0.5</v>
      </c>
      <c r="BA167" s="169">
        <f>INDEX(Adjustments!$C$4:$C$2520,MATCH(AR167,Adjustments!$B$4:$B$2520,0))</f>
        <v>0</v>
      </c>
      <c r="BB167" s="153" t="str">
        <f>INDEX(AG$6:AG$182,MATCH($AR167,$AF$6:$AF$182,0))</f>
        <v>6</v>
      </c>
      <c r="BC167" s="153">
        <f>INDEX(AH$6:AH$182,MATCH($AR167,$AF$6:$AF$182,0))</f>
        <v>167</v>
      </c>
      <c r="BD167" s="153">
        <f>INDEX(AI$6:AI$182,MATCH($AR167,$AF$6:$AF$182,0))</f>
        <v>-7</v>
      </c>
      <c r="BE167" s="153">
        <f>BC167-AO167</f>
        <v>5</v>
      </c>
      <c r="BF167" s="153"/>
      <c r="BG167" s="153"/>
      <c r="BH167" s="195" t="str">
        <f>INDEX($AE$6:$AE$182,MATCH(AR167,$AF$6:$AF$182,0))</f>
        <v>RB</v>
      </c>
      <c r="BI167" s="195">
        <f>SUMIF($BH$6:BH167,BH167,$BK$6:BK167)</f>
        <v>53</v>
      </c>
      <c r="BJ167" s="194">
        <v>1</v>
      </c>
      <c r="BK167" s="194">
        <f t="shared" si="19"/>
        <v>1</v>
      </c>
      <c r="BL167" s="194" t="str">
        <f>IF('Real Time Draft Tool'!B167="y","y","")</f>
        <v/>
      </c>
      <c r="BM167" s="194" t="str">
        <f t="shared" si="20"/>
        <v>RB 53</v>
      </c>
    </row>
    <row r="168" spans="31:65" x14ac:dyDescent="0.25">
      <c r="AE168" s="195" t="s">
        <v>261</v>
      </c>
      <c r="AF168" s="195" t="str">
        <f t="shared" si="23"/>
        <v>Martellus Bennett</v>
      </c>
      <c r="AG168" s="195" t="str">
        <f t="shared" si="21"/>
        <v>9</v>
      </c>
      <c r="AH168" s="195">
        <f t="shared" si="24"/>
        <v>128</v>
      </c>
      <c r="AI168" s="195">
        <f t="shared" si="22"/>
        <v>26</v>
      </c>
      <c r="AJ168" s="195">
        <f t="shared" si="21"/>
        <v>0.41110012999999956</v>
      </c>
      <c r="AK168" s="195">
        <f t="shared" si="21"/>
        <v>1.0069502208514223</v>
      </c>
      <c r="AL168" s="195">
        <f t="shared" si="21"/>
        <v>1.4822854825501679E-2</v>
      </c>
      <c r="AM168" s="195" t="str">
        <f t="shared" si="21"/>
        <v>5</v>
      </c>
      <c r="AN168" s="153"/>
      <c r="AO168" s="153">
        <v>163</v>
      </c>
      <c r="AP168" s="153">
        <v>158</v>
      </c>
      <c r="AQ168" s="153">
        <f>AP168-AO168</f>
        <v>-5</v>
      </c>
      <c r="AR168" s="86" t="s">
        <v>180</v>
      </c>
      <c r="AS168" s="153" t="str">
        <f>BH168&amp;" "&amp;BI168</f>
        <v>RB 54</v>
      </c>
      <c r="AT168" s="153">
        <f>IF(AU168&gt;8,1,IF(AU168&gt;6.4,2,IF(AU168&gt;6,3,IF(AU168&gt;5,4,IF(AU168&gt;3.5,5,IF(AU168&gt;2.5,6,IF(AU168&gt;1.5,7,IF(AU168&gt;0.5,8,IF(AU168&gt;-0.5,9,10)))))))))</f>
        <v>10</v>
      </c>
      <c r="AU168" s="169">
        <f>SUM(AV168,AZ168,BA168)</f>
        <v>-3.3538379216666665</v>
      </c>
      <c r="AV168" s="169">
        <f>INDEX(AJ$6:AJ$182,MATCH($AR168,$AF$6:$AF$182,0))</f>
        <v>-3.0538379216666667</v>
      </c>
      <c r="AW168" s="169">
        <f>INDEX(AK$6:AK$182,MATCH($AR168,$AF$6:$AF$182,0))</f>
        <v>1.2934441756615525</v>
      </c>
      <c r="AX168" s="168">
        <f>SUMIFS(AV169:AV$183,AV169:AV$183,"&gt;"&amp;0,$BH169:$BH$183,"="&amp;$BH168,$BK169:$BK$183,"="&amp;1)/SUMIFS(AV$6:AV$183,AV$6:AV$183,"&gt;"&amp;0,$BH$6:$BH$183,"="&amp;$BH168)</f>
        <v>0</v>
      </c>
      <c r="AY168" s="168">
        <f>SUMIFS(AU169:AU$183,AU169:AU$183,"&gt;"&amp;0,BH169:BH$183,"="&amp;BH168,BK169:BK$183,"="&amp;1)/SUMIFS(AU$6:AU$183,AU$6:AU$183,"&gt;"&amp;0,BH$6:BH$183,"="&amp;BH168)</f>
        <v>0</v>
      </c>
      <c r="AZ168" s="169">
        <f>IF(AW168&gt;Adjustments!$J$6,Adjustments!$L$6,IF(AW168&gt;Adjustments!$J$7,Adjustments!$L$7,IF(AW168&gt;Adjustments!$J$8,Adjustments!$L$8,IF(AW168&lt;Adjustments!$J$10,Adjustments!$L$10,IF(AW168&lt;Adjustments!$J$9,Adjustments!$L$9,0)))))</f>
        <v>-0.3</v>
      </c>
      <c r="BA168" s="169">
        <f>INDEX(Adjustments!$C$4:$C$2520,MATCH(AR168,Adjustments!$B$4:$B$2520,0))</f>
        <v>0</v>
      </c>
      <c r="BB168" s="153" t="str">
        <f>INDEX(AG$6:AG$182,MATCH($AR168,$AF$6:$AF$182,0))</f>
        <v>10</v>
      </c>
      <c r="BC168" s="153">
        <f>INDEX(AH$6:AH$182,MATCH($AR168,$AF$6:$AF$182,0))</f>
        <v>172</v>
      </c>
      <c r="BD168" s="153">
        <f>INDEX(AI$6:AI$182,MATCH($AR168,$AF$6:$AF$182,0))</f>
        <v>-10</v>
      </c>
      <c r="BE168" s="153">
        <f>BC168-AO168</f>
        <v>9</v>
      </c>
      <c r="BF168" s="153"/>
      <c r="BG168" s="153"/>
      <c r="BH168" s="195" t="str">
        <f>INDEX($AE$6:$AE$182,MATCH(AR168,$AF$6:$AF$182,0))</f>
        <v>RB</v>
      </c>
      <c r="BI168" s="195">
        <f>SUMIF($BH$6:BH168,BH168,$BK$6:BK168)</f>
        <v>54</v>
      </c>
      <c r="BJ168" s="194">
        <v>1</v>
      </c>
      <c r="BK168" s="194">
        <f t="shared" si="19"/>
        <v>1</v>
      </c>
      <c r="BL168" s="194" t="str">
        <f>IF('Real Time Draft Tool'!B168="y","y","")</f>
        <v/>
      </c>
      <c r="BM168" s="194" t="str">
        <f t="shared" si="20"/>
        <v>RB 54</v>
      </c>
    </row>
    <row r="169" spans="31:65" x14ac:dyDescent="0.25">
      <c r="AE169" s="195" t="s">
        <v>261</v>
      </c>
      <c r="AF169" s="195" t="str">
        <f t="shared" si="23"/>
        <v>Zach Ertz</v>
      </c>
      <c r="AG169" s="195" t="str">
        <f t="shared" si="21"/>
        <v>7</v>
      </c>
      <c r="AH169" s="195">
        <f t="shared" si="24"/>
        <v>119</v>
      </c>
      <c r="AI169" s="195">
        <f t="shared" si="22"/>
        <v>14</v>
      </c>
      <c r="AJ169" s="195">
        <f t="shared" si="21"/>
        <v>0.2942397033333331</v>
      </c>
      <c r="AK169" s="195">
        <f t="shared" si="21"/>
        <v>0.49766989007162327</v>
      </c>
      <c r="AL169" s="195">
        <f t="shared" si="21"/>
        <v>4.6829763380996101E-3</v>
      </c>
      <c r="AM169" s="195" t="str">
        <f t="shared" si="21"/>
        <v>5</v>
      </c>
      <c r="AN169" s="153"/>
      <c r="AO169" s="153">
        <v>164</v>
      </c>
      <c r="AP169" s="153">
        <v>159</v>
      </c>
      <c r="AQ169" s="153">
        <f>AP169-AO169</f>
        <v>-5</v>
      </c>
      <c r="AR169" s="86" t="s">
        <v>194</v>
      </c>
      <c r="AS169" s="153" t="str">
        <f>BH169&amp;" "&amp;BI169</f>
        <v>RB 55</v>
      </c>
      <c r="AT169" s="153">
        <f>IF(AU169&gt;8,1,IF(AU169&gt;6.4,2,IF(AU169&gt;6,3,IF(AU169&gt;5,4,IF(AU169&gt;3.5,5,IF(AU169&gt;2.5,6,IF(AU169&gt;1.5,7,IF(AU169&gt;0.5,8,IF(AU169&gt;-0.5,9,10)))))))))</f>
        <v>10</v>
      </c>
      <c r="AU169" s="169">
        <f>SUM(AV169,AZ169,BA169)</f>
        <v>-3.3876713350000003</v>
      </c>
      <c r="AV169" s="169">
        <f>INDEX(AJ$6:AJ$182,MATCH($AR169,$AF$6:$AF$182,0))</f>
        <v>-3.0876713350000005</v>
      </c>
      <c r="AW169" s="169">
        <f>INDEX(AK$6:AK$182,MATCH($AR169,$AF$6:$AF$182,0))</f>
        <v>1.2949294412829135</v>
      </c>
      <c r="AX169" s="168">
        <f>SUMIFS(AV170:AV$183,AV170:AV$183,"&gt;"&amp;0,$BH170:$BH$183,"="&amp;$BH169,$BK170:$BK$183,"="&amp;1)/SUMIFS(AV$6:AV$183,AV$6:AV$183,"&gt;"&amp;0,$BH$6:$BH$183,"="&amp;$BH169)</f>
        <v>0</v>
      </c>
      <c r="AY169" s="168">
        <f>SUMIFS(AU170:AU$183,AU170:AU$183,"&gt;"&amp;0,BH170:BH$183,"="&amp;BH169,BK170:BK$183,"="&amp;1)/SUMIFS(AU$6:AU$183,AU$6:AU$183,"&gt;"&amp;0,BH$6:BH$183,"="&amp;BH169)</f>
        <v>0</v>
      </c>
      <c r="AZ169" s="169">
        <f>IF(AW169&gt;Adjustments!$J$6,Adjustments!$L$6,IF(AW169&gt;Adjustments!$J$7,Adjustments!$L$7,IF(AW169&gt;Adjustments!$J$8,Adjustments!$L$8,IF(AW169&lt;Adjustments!$J$10,Adjustments!$L$10,IF(AW169&lt;Adjustments!$J$9,Adjustments!$L$9,0)))))</f>
        <v>-0.3</v>
      </c>
      <c r="BA169" s="169">
        <f>INDEX(Adjustments!$C$4:$C$2520,MATCH(AR169,Adjustments!$B$4:$B$2520,0))</f>
        <v>0</v>
      </c>
      <c r="BB169" s="153" t="str">
        <f>INDEX(AG$6:AG$182,MATCH($AR169,$AF$6:$AF$182,0))</f>
        <v>10</v>
      </c>
      <c r="BC169" s="153">
        <f>INDEX(AH$6:AH$182,MATCH($AR169,$AF$6:$AF$182,0))</f>
        <v>150</v>
      </c>
      <c r="BD169" s="153">
        <f>INDEX(AI$6:AI$182,MATCH($AR169,$AF$6:$AF$182,0))</f>
        <v>-35</v>
      </c>
      <c r="BE169" s="153">
        <f>BC169-AO169</f>
        <v>-14</v>
      </c>
      <c r="BF169" s="153"/>
      <c r="BG169" s="153"/>
      <c r="BH169" s="195" t="str">
        <f>INDEX($AE$6:$AE$182,MATCH(AR169,$AF$6:$AF$182,0))</f>
        <v>RB</v>
      </c>
      <c r="BI169" s="195">
        <f>SUMIF($BH$6:BH169,BH169,$BK$6:BK169)</f>
        <v>55</v>
      </c>
      <c r="BJ169" s="194">
        <v>1</v>
      </c>
      <c r="BK169" s="194">
        <f t="shared" si="19"/>
        <v>1</v>
      </c>
      <c r="BL169" s="194" t="str">
        <f>IF('Real Time Draft Tool'!B169="y","y","")</f>
        <v/>
      </c>
      <c r="BM169" s="194" t="str">
        <f t="shared" si="20"/>
        <v>RB 55</v>
      </c>
    </row>
    <row r="170" spans="31:65" x14ac:dyDescent="0.25">
      <c r="AE170" s="195" t="s">
        <v>261</v>
      </c>
      <c r="AF170" s="195" t="str">
        <f t="shared" si="23"/>
        <v>Charles Clay</v>
      </c>
      <c r="AG170" s="195" t="str">
        <f t="shared" si="21"/>
        <v>5</v>
      </c>
      <c r="AH170" s="195">
        <f t="shared" si="24"/>
        <v>142</v>
      </c>
      <c r="AI170" s="195">
        <f t="shared" si="22"/>
        <v>33</v>
      </c>
      <c r="AJ170" s="195">
        <f t="shared" si="21"/>
        <v>0.11451368166666612</v>
      </c>
      <c r="AK170" s="195">
        <f t="shared" si="21"/>
        <v>1.0455946214608194</v>
      </c>
      <c r="AL170" s="195">
        <f t="shared" si="21"/>
        <v>7.366876350770944E-4</v>
      </c>
      <c r="AM170" s="195" t="str">
        <f t="shared" si="21"/>
        <v>5</v>
      </c>
      <c r="AN170" s="153"/>
      <c r="AO170" s="153">
        <v>165</v>
      </c>
      <c r="AP170" s="153">
        <v>168</v>
      </c>
      <c r="AQ170" s="153">
        <f>AP170-AO170</f>
        <v>3</v>
      </c>
      <c r="AR170" s="86" t="s">
        <v>228</v>
      </c>
      <c r="AS170" s="153" t="str">
        <f>BH170&amp;" "&amp;BI170</f>
        <v>RB 56</v>
      </c>
      <c r="AT170" s="153">
        <f>IF(AU170&gt;8,1,IF(AU170&gt;6.4,2,IF(AU170&gt;6,3,IF(AU170&gt;5,4,IF(AU170&gt;3.5,5,IF(AU170&gt;2.5,6,IF(AU170&gt;1.5,7,IF(AU170&gt;0.5,8,IF(AU170&gt;-0.5,9,10)))))))))</f>
        <v>10</v>
      </c>
      <c r="AU170" s="169">
        <f>SUM(AV170,AZ170,BA170)</f>
        <v>-3.4690984683333332</v>
      </c>
      <c r="AV170" s="169">
        <f>INDEX(AJ$6:AJ$182,MATCH($AR170,$AF$6:$AF$182,0))</f>
        <v>-3.3190984683333333</v>
      </c>
      <c r="AW170" s="169">
        <f>INDEX(AK$6:AK$182,MATCH($AR170,$AF$6:$AF$182,0))</f>
        <v>1.0547239033981277</v>
      </c>
      <c r="AX170" s="168">
        <f>SUMIFS(AV171:AV$183,AV171:AV$183,"&gt;"&amp;0,$BH171:$BH$183,"="&amp;$BH170,$BK171:$BK$183,"="&amp;1)/SUMIFS(AV$6:AV$183,AV$6:AV$183,"&gt;"&amp;0,$BH$6:$BH$183,"="&amp;$BH170)</f>
        <v>0</v>
      </c>
      <c r="AY170" s="168">
        <f>SUMIFS(AU171:AU$183,AU171:AU$183,"&gt;"&amp;0,BH171:BH$183,"="&amp;BH170,BK171:BK$183,"="&amp;1)/SUMIFS(AU$6:AU$183,AU$6:AU$183,"&gt;"&amp;0,BH$6:BH$183,"="&amp;BH170)</f>
        <v>0</v>
      </c>
      <c r="AZ170" s="169">
        <f>IF(AW170&gt;Adjustments!$J$6,Adjustments!$L$6,IF(AW170&gt;Adjustments!$J$7,Adjustments!$L$7,IF(AW170&gt;Adjustments!$J$8,Adjustments!$L$8,IF(AW170&lt;Adjustments!$J$10,Adjustments!$L$10,IF(AW170&lt;Adjustments!$J$9,Adjustments!$L$9,0)))))</f>
        <v>-0.15</v>
      </c>
      <c r="BA170" s="169">
        <f>INDEX(Adjustments!$C$4:$C$2520,MATCH(AR170,Adjustments!$B$4:$B$2520,0))</f>
        <v>0</v>
      </c>
      <c r="BB170" s="153" t="str">
        <f>INDEX(AG$6:AG$182,MATCH($AR170,$AF$6:$AF$182,0))</f>
        <v>12</v>
      </c>
      <c r="BC170" s="153">
        <f>INDEX(AH$6:AH$182,MATCH($AR170,$AF$6:$AF$182,0))</f>
        <v>148</v>
      </c>
      <c r="BD170" s="153">
        <f>INDEX(AI$6:AI$182,MATCH($AR170,$AF$6:$AF$182,0))</f>
        <v>-50</v>
      </c>
      <c r="BE170" s="153">
        <f>BC170-AO170</f>
        <v>-17</v>
      </c>
      <c r="BF170" s="153"/>
      <c r="BG170" s="153"/>
      <c r="BH170" s="195" t="str">
        <f>INDEX($AE$6:$AE$182,MATCH(AR170,$AF$6:$AF$182,0))</f>
        <v>RB</v>
      </c>
      <c r="BI170" s="195">
        <f>SUMIF($BH$6:BH170,BH170,$BK$6:BK170)</f>
        <v>56</v>
      </c>
      <c r="BJ170" s="194">
        <v>1</v>
      </c>
      <c r="BK170" s="194">
        <f t="shared" si="19"/>
        <v>1</v>
      </c>
      <c r="BL170" s="194" t="str">
        <f>IF('Real Time Draft Tool'!B170="y","y","")</f>
        <v/>
      </c>
      <c r="BM170" s="194" t="str">
        <f t="shared" si="20"/>
        <v>RB 56</v>
      </c>
    </row>
    <row r="171" spans="31:65" x14ac:dyDescent="0.25">
      <c r="AE171" s="195" t="s">
        <v>261</v>
      </c>
      <c r="AF171" s="195" t="str">
        <f t="shared" si="23"/>
        <v>Heath Miller</v>
      </c>
      <c r="AG171" s="195" t="str">
        <f t="shared" si="21"/>
        <v>12</v>
      </c>
      <c r="AH171" s="195">
        <f t="shared" si="24"/>
        <v>156</v>
      </c>
      <c r="AI171" s="195">
        <f t="shared" si="22"/>
        <v>44</v>
      </c>
      <c r="AJ171" s="195">
        <f t="shared" si="21"/>
        <v>2.137725333333303E-2</v>
      </c>
      <c r="AK171" s="195">
        <f t="shared" si="21"/>
        <v>0.44731186439592241</v>
      </c>
      <c r="AL171" s="195">
        <f t="shared" si="21"/>
        <v>0</v>
      </c>
      <c r="AM171" s="195" t="str">
        <f t="shared" si="21"/>
        <v>5</v>
      </c>
      <c r="AN171" s="153"/>
      <c r="AO171" s="153">
        <v>166</v>
      </c>
      <c r="AP171" s="153">
        <v>169</v>
      </c>
      <c r="AQ171" s="153">
        <f>AP171-AO171</f>
        <v>3</v>
      </c>
      <c r="AR171" s="86" t="s">
        <v>201</v>
      </c>
      <c r="AS171" s="153" t="str">
        <f>BH171&amp;" "&amp;BI171</f>
        <v>RB 57</v>
      </c>
      <c r="AT171" s="153">
        <f>IF(AU171&gt;8,1,IF(AU171&gt;6.4,2,IF(AU171&gt;6,3,IF(AU171&gt;5,4,IF(AU171&gt;3.5,5,IF(AU171&gt;2.5,6,IF(AU171&gt;1.5,7,IF(AU171&gt;0.5,8,IF(AU171&gt;-0.5,9,10)))))))))</f>
        <v>10</v>
      </c>
      <c r="AU171" s="169">
        <f>SUM(AV171,AZ171,BA171)</f>
        <v>-3.5073535566666667</v>
      </c>
      <c r="AV171" s="169">
        <f>INDEX(AJ$6:AJ$182,MATCH($AR171,$AF$6:$AF$182,0))</f>
        <v>-3.3573535566666668</v>
      </c>
      <c r="AW171" s="169">
        <f>INDEX(AK$6:AK$182,MATCH($AR171,$AF$6:$AF$182,0))</f>
        <v>1.2112937413920735</v>
      </c>
      <c r="AX171" s="168">
        <f>SUMIFS(AV172:AV$183,AV172:AV$183,"&gt;"&amp;0,$BH172:$BH$183,"="&amp;$BH171,$BK172:$BK$183,"="&amp;1)/SUMIFS(AV$6:AV$183,AV$6:AV$183,"&gt;"&amp;0,$BH$6:$BH$183,"="&amp;$BH171)</f>
        <v>0</v>
      </c>
      <c r="AY171" s="168">
        <f>SUMIFS(AU172:AU$183,AU172:AU$183,"&gt;"&amp;0,BH172:BH$183,"="&amp;BH171,BK172:BK$183,"="&amp;1)/SUMIFS(AU$6:AU$183,AU$6:AU$183,"&gt;"&amp;0,BH$6:BH$183,"="&amp;BH171)</f>
        <v>0</v>
      </c>
      <c r="AZ171" s="169">
        <f>IF(AW171&gt;Adjustments!$J$6,Adjustments!$L$6,IF(AW171&gt;Adjustments!$J$7,Adjustments!$L$7,IF(AW171&gt;Adjustments!$J$8,Adjustments!$L$8,IF(AW171&lt;Adjustments!$J$10,Adjustments!$L$10,IF(AW171&lt;Adjustments!$J$9,Adjustments!$L$9,0)))))</f>
        <v>-0.15</v>
      </c>
      <c r="BA171" s="169">
        <f>INDEX(Adjustments!$C$4:$C$2520,MATCH(AR171,Adjustments!$B$4:$B$2520,0))</f>
        <v>0</v>
      </c>
      <c r="BB171" s="153" t="str">
        <f>INDEX(AG$6:AG$182,MATCH($AR171,$AF$6:$AF$182,0))</f>
        <v>11</v>
      </c>
      <c r="BC171" s="153">
        <f>INDEX(AH$6:AH$182,MATCH($AR171,$AF$6:$AF$182,0))</f>
        <v>162</v>
      </c>
      <c r="BD171" s="153">
        <f>INDEX(AI$6:AI$182,MATCH($AR171,$AF$6:$AF$182,0))</f>
        <v>-38</v>
      </c>
      <c r="BE171" s="153">
        <f>BC171-AO171</f>
        <v>-4</v>
      </c>
      <c r="BF171" s="153"/>
      <c r="BG171" s="153"/>
      <c r="BH171" s="195" t="str">
        <f>INDEX($AE$6:$AE$182,MATCH(AR171,$AF$6:$AF$182,0))</f>
        <v>RB</v>
      </c>
      <c r="BI171" s="195">
        <f>SUMIF($BH$6:BH171,BH171,$BK$6:BK171)</f>
        <v>57</v>
      </c>
      <c r="BJ171" s="194">
        <v>1</v>
      </c>
      <c r="BK171" s="194">
        <f t="shared" si="19"/>
        <v>1</v>
      </c>
      <c r="BL171" s="194" t="str">
        <f>IF('Real Time Draft Tool'!B171="y","y","")</f>
        <v/>
      </c>
      <c r="BM171" s="194" t="str">
        <f t="shared" si="20"/>
        <v>RB 57</v>
      </c>
    </row>
    <row r="172" spans="31:65" x14ac:dyDescent="0.25">
      <c r="AE172" s="195" t="s">
        <v>261</v>
      </c>
      <c r="AF172" s="195" t="str">
        <f t="shared" si="23"/>
        <v>Antonio Gates</v>
      </c>
      <c r="AG172" s="195" t="str">
        <f t="shared" si="21"/>
        <v>10</v>
      </c>
      <c r="AH172" s="195">
        <f t="shared" si="24"/>
        <v>152</v>
      </c>
      <c r="AI172" s="195">
        <f t="shared" si="22"/>
        <v>39</v>
      </c>
      <c r="AJ172" s="195">
        <f t="shared" si="21"/>
        <v>-2.7234215000000367E-2</v>
      </c>
      <c r="AK172" s="195">
        <f t="shared" si="21"/>
        <v>0.7280573525564491</v>
      </c>
      <c r="AL172" s="195">
        <f t="shared" si="21"/>
        <v>0</v>
      </c>
      <c r="AM172" s="195" t="str">
        <f t="shared" si="21"/>
        <v>5</v>
      </c>
      <c r="AN172" s="153"/>
      <c r="AO172" s="153">
        <v>167</v>
      </c>
      <c r="AP172" s="153">
        <v>164</v>
      </c>
      <c r="AQ172" s="153">
        <f>AP172-AO172</f>
        <v>-3</v>
      </c>
      <c r="AR172" s="86" t="s">
        <v>225</v>
      </c>
      <c r="AS172" s="153" t="str">
        <f>BH172&amp;" "&amp;BI172</f>
        <v>RB 58</v>
      </c>
      <c r="AT172" s="153">
        <f>IF(AU172&gt;8,1,IF(AU172&gt;6.4,2,IF(AU172&gt;6,3,IF(AU172&gt;5,4,IF(AU172&gt;3.5,5,IF(AU172&gt;2.5,6,IF(AU172&gt;1.5,7,IF(AU172&gt;0.5,8,IF(AU172&gt;-0.5,9,10)))))))))</f>
        <v>10</v>
      </c>
      <c r="AU172" s="169">
        <f>SUM(AV172,AZ172,BA172)</f>
        <v>-3.5261358536363634</v>
      </c>
      <c r="AV172" s="169">
        <f>INDEX(AJ$6:AJ$182,MATCH($AR172,$AF$6:$AF$182,0))</f>
        <v>-3.2261358536363636</v>
      </c>
      <c r="AW172" s="169">
        <f>INDEX(AK$6:AK$182,MATCH($AR172,$AF$6:$AF$182,0))</f>
        <v>1.4821353318929609</v>
      </c>
      <c r="AX172" s="168">
        <f>SUMIFS(AV173:AV$183,AV173:AV$183,"&gt;"&amp;0,$BH173:$BH$183,"="&amp;$BH172,$BK173:$BK$183,"="&amp;1)/SUMIFS(AV$6:AV$183,AV$6:AV$183,"&gt;"&amp;0,$BH$6:$BH$183,"="&amp;$BH172)</f>
        <v>0</v>
      </c>
      <c r="AY172" s="168">
        <f>SUMIFS(AU173:AU$183,AU173:AU$183,"&gt;"&amp;0,BH173:BH$183,"="&amp;BH172,BK173:BK$183,"="&amp;1)/SUMIFS(AU$6:AU$183,AU$6:AU$183,"&gt;"&amp;0,BH$6:BH$183,"="&amp;BH172)</f>
        <v>0</v>
      </c>
      <c r="AZ172" s="169">
        <f>IF(AW172&gt;Adjustments!$J$6,Adjustments!$L$6,IF(AW172&gt;Adjustments!$J$7,Adjustments!$L$7,IF(AW172&gt;Adjustments!$J$8,Adjustments!$L$8,IF(AW172&lt;Adjustments!$J$10,Adjustments!$L$10,IF(AW172&lt;Adjustments!$J$9,Adjustments!$L$9,0)))))</f>
        <v>-0.3</v>
      </c>
      <c r="BA172" s="169">
        <f>INDEX(Adjustments!$C$4:$C$2520,MATCH(AR172,Adjustments!$B$4:$B$2520,0))</f>
        <v>0</v>
      </c>
      <c r="BB172" s="153" t="str">
        <f>INDEX(AG$6:AG$182,MATCH($AR172,$AF$6:$AF$182,0))</f>
        <v>4</v>
      </c>
      <c r="BC172" s="153">
        <f>INDEX(AH$6:AH$182,MATCH($AR172,$AF$6:$AF$182,0))</f>
        <v>128</v>
      </c>
      <c r="BD172" s="153">
        <f>INDEX(AI$6:AI$182,MATCH($AR172,$AF$6:$AF$182,0))</f>
        <v>-65</v>
      </c>
      <c r="BE172" s="153">
        <f>BC172-AO172</f>
        <v>-39</v>
      </c>
      <c r="BF172" s="153"/>
      <c r="BG172" s="153"/>
      <c r="BH172" s="195" t="str">
        <f>INDEX($AE$6:$AE$182,MATCH(AR172,$AF$6:$AF$182,0))</f>
        <v>RB</v>
      </c>
      <c r="BI172" s="195">
        <f>SUMIF($BH$6:BH172,BH172,$BK$6:BK172)</f>
        <v>58</v>
      </c>
      <c r="BJ172" s="194">
        <v>1</v>
      </c>
      <c r="BK172" s="194">
        <f t="shared" si="19"/>
        <v>1</v>
      </c>
      <c r="BL172" s="194" t="str">
        <f>IF('Real Time Draft Tool'!B172="y","y","")</f>
        <v/>
      </c>
      <c r="BM172" s="194" t="str">
        <f t="shared" si="20"/>
        <v>RB 58</v>
      </c>
    </row>
    <row r="173" spans="31:65" x14ac:dyDescent="0.25">
      <c r="AE173" s="195" t="s">
        <v>261</v>
      </c>
      <c r="AF173" s="195" t="str">
        <f t="shared" si="23"/>
        <v>Delanie Walker</v>
      </c>
      <c r="AG173" s="195" t="str">
        <f t="shared" si="21"/>
        <v>9</v>
      </c>
      <c r="AH173" s="195">
        <f t="shared" si="24"/>
        <v>176</v>
      </c>
      <c r="AI173" s="195">
        <f t="shared" si="22"/>
        <v>61</v>
      </c>
      <c r="AJ173" s="195">
        <f t="shared" si="21"/>
        <v>-5.5395683333333758E-2</v>
      </c>
      <c r="AK173" s="195">
        <f t="shared" si="21"/>
        <v>0.7414236570944055</v>
      </c>
      <c r="AL173" s="195">
        <f t="shared" si="21"/>
        <v>0</v>
      </c>
      <c r="AM173" s="195" t="str">
        <f t="shared" si="21"/>
        <v>5</v>
      </c>
      <c r="AN173" s="153"/>
      <c r="AO173" s="153">
        <v>168</v>
      </c>
      <c r="AP173" s="153">
        <v>165</v>
      </c>
      <c r="AQ173" s="153">
        <f>AP173-AO173</f>
        <v>-3</v>
      </c>
      <c r="AR173" s="86" t="s">
        <v>204</v>
      </c>
      <c r="AS173" s="153" t="str">
        <f>BH173&amp;" "&amp;BI173</f>
        <v>RB 59</v>
      </c>
      <c r="AT173" s="153">
        <f>IF(AU173&gt;8,1,IF(AU173&gt;6.4,2,IF(AU173&gt;6,3,IF(AU173&gt;5,4,IF(AU173&gt;3.5,5,IF(AU173&gt;2.5,6,IF(AU173&gt;1.5,7,IF(AU173&gt;0.5,8,IF(AU173&gt;-0.5,9,10)))))))))</f>
        <v>10</v>
      </c>
      <c r="AU173" s="169">
        <f>SUM(AV173,AZ173,BA173)</f>
        <v>-3.5305983883333329</v>
      </c>
      <c r="AV173" s="169">
        <f>INDEX(AJ$6:AJ$182,MATCH($AR173,$AF$6:$AF$182,0))</f>
        <v>-3.2305983883333331</v>
      </c>
      <c r="AW173" s="169">
        <f>INDEX(AK$6:AK$182,MATCH($AR173,$AF$6:$AF$182,0))</f>
        <v>1.3421838551538867</v>
      </c>
      <c r="AX173" s="168">
        <f>SUMIFS(AV174:AV$183,AV174:AV$183,"&gt;"&amp;0,$BH174:$BH$183,"="&amp;$BH173,$BK174:$BK$183,"="&amp;1)/SUMIFS(AV$6:AV$183,AV$6:AV$183,"&gt;"&amp;0,$BH$6:$BH$183,"="&amp;$BH173)</f>
        <v>0</v>
      </c>
      <c r="AY173" s="168">
        <f>SUMIFS(AU174:AU$183,AU174:AU$183,"&gt;"&amp;0,BH174:BH$183,"="&amp;BH173,BK174:BK$183,"="&amp;1)/SUMIFS(AU$6:AU$183,AU$6:AU$183,"&gt;"&amp;0,BH$6:BH$183,"="&amp;BH173)</f>
        <v>0</v>
      </c>
      <c r="AZ173" s="169">
        <f>IF(AW173&gt;Adjustments!$J$6,Adjustments!$L$6,IF(AW173&gt;Adjustments!$J$7,Adjustments!$L$7,IF(AW173&gt;Adjustments!$J$8,Adjustments!$L$8,IF(AW173&lt;Adjustments!$J$10,Adjustments!$L$10,IF(AW173&lt;Adjustments!$J$9,Adjustments!$L$9,0)))))</f>
        <v>-0.3</v>
      </c>
      <c r="BA173" s="169">
        <f>INDEX(Adjustments!$C$4:$C$2520,MATCH(AR173,Adjustments!$B$4:$B$2520,0))</f>
        <v>0</v>
      </c>
      <c r="BB173" s="153" t="str">
        <f>INDEX(AG$6:AG$182,MATCH($AR173,$AF$6:$AF$182,0))</f>
        <v>8</v>
      </c>
      <c r="BC173" s="153">
        <f>INDEX(AH$6:AH$182,MATCH($AR173,$AF$6:$AF$182,0))</f>
        <v>123</v>
      </c>
      <c r="BD173" s="153">
        <f>INDEX(AI$6:AI$182,MATCH($AR173,$AF$6:$AF$182,0))</f>
        <v>-71</v>
      </c>
      <c r="BE173" s="153">
        <f>BC173-AO173</f>
        <v>-45</v>
      </c>
      <c r="BF173" s="153"/>
      <c r="BG173" s="153"/>
      <c r="BH173" s="195" t="str">
        <f>INDEX($AE$6:$AE$182,MATCH(AR173,$AF$6:$AF$182,0))</f>
        <v>RB</v>
      </c>
      <c r="BI173" s="195">
        <f>SUMIF($BH$6:BH173,BH173,$BK$6:BK173)</f>
        <v>59</v>
      </c>
      <c r="BJ173" s="194">
        <v>1</v>
      </c>
      <c r="BK173" s="194">
        <f t="shared" si="19"/>
        <v>1</v>
      </c>
      <c r="BL173" s="194" t="str">
        <f>IF('Real Time Draft Tool'!B173="y","y","")</f>
        <v/>
      </c>
      <c r="BM173" s="194" t="str">
        <f t="shared" si="20"/>
        <v>RB 59</v>
      </c>
    </row>
    <row r="174" spans="31:65" x14ac:dyDescent="0.25">
      <c r="AE174" s="195" t="s">
        <v>261</v>
      </c>
      <c r="AF174" s="195" t="str">
        <f t="shared" si="23"/>
        <v>Ladarius Green</v>
      </c>
      <c r="AG174" s="195" t="str">
        <f t="shared" si="23"/>
        <v>10</v>
      </c>
      <c r="AH174" s="195">
        <f t="shared" si="24"/>
        <v>148</v>
      </c>
      <c r="AI174" s="195">
        <f t="shared" si="22"/>
        <v>24</v>
      </c>
      <c r="AJ174" s="195">
        <f t="shared" ref="AJ174:AM182" si="25">F57</f>
        <v>-0.62899982000000032</v>
      </c>
      <c r="AK174" s="195">
        <f t="shared" si="25"/>
        <v>0.77857913272132517</v>
      </c>
      <c r="AL174" s="195">
        <f t="shared" si="25"/>
        <v>0</v>
      </c>
      <c r="AM174" s="195" t="str">
        <f t="shared" si="25"/>
        <v>6</v>
      </c>
      <c r="AN174" s="153"/>
      <c r="AO174" s="153">
        <v>169</v>
      </c>
      <c r="AP174" s="153">
        <v>167</v>
      </c>
      <c r="AQ174" s="153">
        <f>AP174-AO174</f>
        <v>-2</v>
      </c>
      <c r="AR174" s="86" t="s">
        <v>229</v>
      </c>
      <c r="AS174" s="153" t="str">
        <f>BH174&amp;" "&amp;BI174</f>
        <v>RB 60</v>
      </c>
      <c r="AT174" s="153">
        <f>IF(AU174&gt;8,1,IF(AU174&gt;6.4,2,IF(AU174&gt;6,3,IF(AU174&gt;5,4,IF(AU174&gt;3.5,5,IF(AU174&gt;2.5,6,IF(AU174&gt;1.5,7,IF(AU174&gt;0.5,8,IF(AU174&gt;-0.5,9,10)))))))))</f>
        <v>10</v>
      </c>
      <c r="AU174" s="169">
        <f>SUM(AV174,AZ174,BA174)</f>
        <v>-3.5857949345454543</v>
      </c>
      <c r="AV174" s="169">
        <f>INDEX(AJ$6:AJ$182,MATCH($AR174,$AF$6:$AF$182,0))</f>
        <v>-3.2857949345454545</v>
      </c>
      <c r="AW174" s="169">
        <f>INDEX(AK$6:AK$182,MATCH($AR174,$AF$6:$AF$182,0))</f>
        <v>1.332910029869711</v>
      </c>
      <c r="AX174" s="168">
        <f>SUMIFS(AV175:AV$183,AV175:AV$183,"&gt;"&amp;0,$BH175:$BH$183,"="&amp;$BH174,$BK175:$BK$183,"="&amp;1)/SUMIFS(AV$6:AV$183,AV$6:AV$183,"&gt;"&amp;0,$BH$6:$BH$183,"="&amp;$BH174)</f>
        <v>0</v>
      </c>
      <c r="AY174" s="168">
        <f>SUMIFS(AU175:AU$183,AU175:AU$183,"&gt;"&amp;0,BH175:BH$183,"="&amp;BH174,BK175:BK$183,"="&amp;1)/SUMIFS(AU$6:AU$183,AU$6:AU$183,"&gt;"&amp;0,BH$6:BH$183,"="&amp;BH174)</f>
        <v>0</v>
      </c>
      <c r="AZ174" s="169">
        <f>IF(AW174&gt;Adjustments!$J$6,Adjustments!$L$6,IF(AW174&gt;Adjustments!$J$7,Adjustments!$L$7,IF(AW174&gt;Adjustments!$J$8,Adjustments!$L$8,IF(AW174&lt;Adjustments!$J$10,Adjustments!$L$10,IF(AW174&lt;Adjustments!$J$9,Adjustments!$L$9,0)))))</f>
        <v>-0.3</v>
      </c>
      <c r="BA174" s="169">
        <f>INDEX(Adjustments!$C$4:$C$2520,MATCH(AR174,Adjustments!$B$4:$B$2520,0))</f>
        <v>0</v>
      </c>
      <c r="BB174" s="153" t="str">
        <f>INDEX(AG$6:AG$182,MATCH($AR174,$AF$6:$AF$182,0))</f>
        <v>8</v>
      </c>
      <c r="BC174" s="153">
        <f>INDEX(AH$6:AH$182,MATCH($AR174,$AF$6:$AF$182,0))</f>
        <v>135</v>
      </c>
      <c r="BD174" s="153">
        <f>INDEX(AI$6:AI$182,MATCH($AR174,$AF$6:$AF$182,0))</f>
        <v>-61</v>
      </c>
      <c r="BE174" s="153">
        <f>BC174-AO174</f>
        <v>-34</v>
      </c>
      <c r="BF174" s="153"/>
      <c r="BG174" s="153"/>
      <c r="BH174" s="195" t="str">
        <f>INDEX($AE$6:$AE$182,MATCH(AR174,$AF$6:$AF$182,0))</f>
        <v>RB</v>
      </c>
      <c r="BI174" s="195">
        <f>SUMIF($BH$6:BH174,BH174,$BK$6:BK174)</f>
        <v>60</v>
      </c>
      <c r="BJ174" s="194">
        <v>1</v>
      </c>
      <c r="BK174" s="194">
        <f t="shared" si="19"/>
        <v>1</v>
      </c>
      <c r="BL174" s="194" t="str">
        <f>IF('Real Time Draft Tool'!B174="y","y","")</f>
        <v/>
      </c>
      <c r="BM174" s="194" t="str">
        <f t="shared" si="20"/>
        <v>RB 60</v>
      </c>
    </row>
    <row r="175" spans="31:65" x14ac:dyDescent="0.25">
      <c r="AE175" s="195" t="s">
        <v>261</v>
      </c>
      <c r="AF175" s="195" t="str">
        <f t="shared" si="23"/>
        <v>Jared Cook</v>
      </c>
      <c r="AG175" s="195" t="str">
        <f t="shared" si="23"/>
        <v>4</v>
      </c>
      <c r="AH175" s="195">
        <f t="shared" si="24"/>
        <v>200</v>
      </c>
      <c r="AI175" s="195">
        <f t="shared" si="22"/>
        <v>0</v>
      </c>
      <c r="AJ175" s="195">
        <f t="shared" si="25"/>
        <v>-0.84999981000000047</v>
      </c>
      <c r="AK175" s="195">
        <f t="shared" si="25"/>
        <v>0.65678819922130482</v>
      </c>
      <c r="AL175" s="195">
        <f t="shared" si="25"/>
        <v>0</v>
      </c>
      <c r="AM175" s="195" t="str">
        <f t="shared" si="25"/>
        <v>6</v>
      </c>
      <c r="AN175" s="153"/>
      <c r="AO175" s="153">
        <v>170</v>
      </c>
      <c r="AP175" s="153">
        <v>170</v>
      </c>
      <c r="AQ175" s="153">
        <f>AP175-AO175</f>
        <v>0</v>
      </c>
      <c r="AR175" s="86" t="s">
        <v>112</v>
      </c>
      <c r="AS175" s="153" t="str">
        <f>BH175&amp;" "&amp;BI175</f>
        <v>QB 25</v>
      </c>
      <c r="AT175" s="153">
        <f>IF(AU175&gt;8,1,IF(AU175&gt;6.4,2,IF(AU175&gt;6,3,IF(AU175&gt;5,4,IF(AU175&gt;3.5,5,IF(AU175&gt;2.5,6,IF(AU175&gt;1.5,7,IF(AU175&gt;0.5,8,IF(AU175&gt;-0.5,9,10)))))))))</f>
        <v>10</v>
      </c>
      <c r="AU175" s="169">
        <f>SUM(AV175,AZ175,BA175)</f>
        <v>-3.8420299683333328</v>
      </c>
      <c r="AV175" s="169">
        <f>INDEX(AJ$6:AJ$182,MATCH($AR175,$AF$6:$AF$182,0))</f>
        <v>-3.5420299683333329</v>
      </c>
      <c r="AW175" s="169">
        <f>INDEX(AK$6:AK$182,MATCH($AR175,$AF$6:$AF$182,0))</f>
        <v>1.3797604651040543</v>
      </c>
      <c r="AX175" s="168">
        <f>SUMIFS(AV176:AV$183,AV176:AV$183,"&gt;"&amp;0,$BH176:$BH$183,"="&amp;$BH175,$BK176:$BK$183,"="&amp;1)/SUMIFS(AV$6:AV$183,AV$6:AV$183,"&gt;"&amp;0,$BH$6:$BH$183,"="&amp;$BH175)</f>
        <v>0</v>
      </c>
      <c r="AY175" s="168">
        <f>SUMIFS(AU176:AU$183,AU176:AU$183,"&gt;"&amp;0,BH176:BH$183,"="&amp;BH175,BK176:BK$183,"="&amp;1)/SUMIFS(AU$6:AU$183,AU$6:AU$183,"&gt;"&amp;0,BH$6:BH$183,"="&amp;BH175)</f>
        <v>0</v>
      </c>
      <c r="AZ175" s="169">
        <f>IF(AW175&gt;Adjustments!$J$6,Adjustments!$L$6,IF(AW175&gt;Adjustments!$J$7,Adjustments!$L$7,IF(AW175&gt;Adjustments!$J$8,Adjustments!$L$8,IF(AW175&lt;Adjustments!$J$10,Adjustments!$L$10,IF(AW175&lt;Adjustments!$J$9,Adjustments!$L$9,0)))))</f>
        <v>-0.3</v>
      </c>
      <c r="BA175" s="169">
        <f>INDEX(Adjustments!$C$4:$C$2520,MATCH(AR175,Adjustments!$B$4:$B$2520,0))</f>
        <v>0</v>
      </c>
      <c r="BB175" s="153" t="str">
        <f>INDEX(AG$6:AG$182,MATCH($AR175,$AF$6:$AF$182,0))</f>
        <v>7</v>
      </c>
      <c r="BC175" s="153">
        <f>INDEX(AH$6:AH$182,MATCH($AR175,$AF$6:$AF$182,0))</f>
        <v>166</v>
      </c>
      <c r="BD175" s="153">
        <f>INDEX(AI$6:AI$182,MATCH($AR175,$AF$6:$AF$182,0))</f>
        <v>-39</v>
      </c>
      <c r="BE175" s="153">
        <f>BC175-AO175</f>
        <v>-4</v>
      </c>
      <c r="BF175" s="153"/>
      <c r="BG175" s="153"/>
      <c r="BH175" s="195" t="str">
        <f>INDEX($AE$6:$AE$182,MATCH(AR175,$AF$6:$AF$182,0))</f>
        <v>QB</v>
      </c>
      <c r="BI175" s="195">
        <f>SUMIF($BH$6:BH175,BH175,$BK$6:BK175)</f>
        <v>25</v>
      </c>
      <c r="BJ175" s="194">
        <v>1</v>
      </c>
      <c r="BK175" s="194">
        <f t="shared" si="19"/>
        <v>1</v>
      </c>
      <c r="BL175" s="194" t="str">
        <f>IF('Real Time Draft Tool'!B175="y","y","")</f>
        <v/>
      </c>
      <c r="BM175" s="194" t="str">
        <f t="shared" si="20"/>
        <v>QB 25</v>
      </c>
    </row>
    <row r="176" spans="31:65" x14ac:dyDescent="0.25">
      <c r="AE176" s="195" t="s">
        <v>261</v>
      </c>
      <c r="AF176" s="195" t="str">
        <f t="shared" si="23"/>
        <v>Eric Ebron</v>
      </c>
      <c r="AG176" s="195" t="str">
        <f t="shared" si="23"/>
        <v>9</v>
      </c>
      <c r="AH176" s="195">
        <f t="shared" si="24"/>
        <v>132</v>
      </c>
      <c r="AI176" s="195">
        <f t="shared" si="22"/>
        <v>2</v>
      </c>
      <c r="AJ176" s="195">
        <f t="shared" si="25"/>
        <v>-0.87411959166666686</v>
      </c>
      <c r="AK176" s="195">
        <f t="shared" si="25"/>
        <v>0.84843128574584026</v>
      </c>
      <c r="AL176" s="195">
        <f t="shared" si="25"/>
        <v>0</v>
      </c>
      <c r="AM176" s="195" t="str">
        <f t="shared" si="25"/>
        <v>6</v>
      </c>
      <c r="AN176" s="153"/>
      <c r="AO176" s="153">
        <v>171</v>
      </c>
      <c r="AP176" s="153">
        <v>171</v>
      </c>
      <c r="AQ176" s="153">
        <f>AP176-AO176</f>
        <v>0</v>
      </c>
      <c r="AR176" s="86" t="s">
        <v>116</v>
      </c>
      <c r="AS176" s="153" t="str">
        <f>BH176&amp;" "&amp;BI176</f>
        <v>QB 26</v>
      </c>
      <c r="AT176" s="153">
        <f>IF(AU176&gt;8,1,IF(AU176&gt;6.4,2,IF(AU176&gt;6,3,IF(AU176&gt;5,4,IF(AU176&gt;3.5,5,IF(AU176&gt;2.5,6,IF(AU176&gt;1.5,7,IF(AU176&gt;0.5,8,IF(AU176&gt;-0.5,9,10)))))))))</f>
        <v>10</v>
      </c>
      <c r="AU176" s="169">
        <f>SUM(AV176,AZ176,BA176)</f>
        <v>-4.2759153649999995</v>
      </c>
      <c r="AV176" s="169">
        <f>INDEX(AJ$6:AJ$182,MATCH($AR176,$AF$6:$AF$182,0))</f>
        <v>-3.775915364999999</v>
      </c>
      <c r="AW176" s="169">
        <f>INDEX(AK$6:AK$182,MATCH($AR176,$AF$6:$AF$182,0))</f>
        <v>1.7915208918358252</v>
      </c>
      <c r="AX176" s="168">
        <f>SUMIFS(AV177:AV$183,AV177:AV$183,"&gt;"&amp;0,$BH177:$BH$183,"="&amp;$BH176,$BK177:$BK$183,"="&amp;1)/SUMIFS(AV$6:AV$183,AV$6:AV$183,"&gt;"&amp;0,$BH$6:$BH$183,"="&amp;$BH176)</f>
        <v>0</v>
      </c>
      <c r="AY176" s="168">
        <f>SUMIFS(AU177:AU$183,AU177:AU$183,"&gt;"&amp;0,BH177:BH$183,"="&amp;BH176,BK177:BK$183,"="&amp;1)/SUMIFS(AU$6:AU$183,AU$6:AU$183,"&gt;"&amp;0,BH$6:BH$183,"="&amp;BH176)</f>
        <v>0</v>
      </c>
      <c r="AZ176" s="169">
        <f>IF(AW176&gt;Adjustments!$J$6,Adjustments!$L$6,IF(AW176&gt;Adjustments!$J$7,Adjustments!$L$7,IF(AW176&gt;Adjustments!$J$8,Adjustments!$L$8,IF(AW176&lt;Adjustments!$J$10,Adjustments!$L$10,IF(AW176&lt;Adjustments!$J$9,Adjustments!$L$9,0)))))</f>
        <v>-0.5</v>
      </c>
      <c r="BA176" s="169">
        <f>INDEX(Adjustments!$C$4:$C$2520,MATCH(AR176,Adjustments!$B$4:$B$2520,0))</f>
        <v>0</v>
      </c>
      <c r="BB176" s="153" t="str">
        <f>INDEX(AG$6:AG$182,MATCH($AR176,$AF$6:$AF$182,0))</f>
        <v>9</v>
      </c>
      <c r="BC176" s="153">
        <f>INDEX(AH$6:AH$182,MATCH($AR176,$AF$6:$AF$182,0))</f>
        <v>200</v>
      </c>
      <c r="BD176" s="153">
        <f>INDEX(AI$6:AI$182,MATCH($AR176,$AF$6:$AF$182,0))</f>
        <v>0</v>
      </c>
      <c r="BE176" s="153">
        <f>BC176-AO176</f>
        <v>29</v>
      </c>
      <c r="BF176" s="153"/>
      <c r="BG176" s="153"/>
      <c r="BH176" s="195" t="str">
        <f>INDEX($AE$6:$AE$182,MATCH(AR176,$AF$6:$AF$182,0))</f>
        <v>QB</v>
      </c>
      <c r="BI176" s="195">
        <f>SUMIF($BH$6:BH176,BH176,$BK$6:BK176)</f>
        <v>26</v>
      </c>
      <c r="BJ176" s="194">
        <v>1</v>
      </c>
      <c r="BK176" s="194">
        <f t="shared" si="19"/>
        <v>1</v>
      </c>
      <c r="BL176" s="194" t="str">
        <f>IF('Real Time Draft Tool'!B176="y","y","")</f>
        <v/>
      </c>
      <c r="BM176" s="194" t="str">
        <f t="shared" si="20"/>
        <v>QB 26</v>
      </c>
    </row>
    <row r="177" spans="31:65" x14ac:dyDescent="0.25">
      <c r="AE177" s="195" t="s">
        <v>261</v>
      </c>
      <c r="AF177" s="195" t="str">
        <f t="shared" si="23"/>
        <v>Dwayne Allen</v>
      </c>
      <c r="AG177" s="195" t="str">
        <f t="shared" si="23"/>
        <v>10</v>
      </c>
      <c r="AH177" s="195">
        <f t="shared" si="24"/>
        <v>176</v>
      </c>
      <c r="AI177" s="195">
        <f t="shared" si="22"/>
        <v>41</v>
      </c>
      <c r="AJ177" s="195">
        <f t="shared" si="25"/>
        <v>-1.1990102066666668</v>
      </c>
      <c r="AK177" s="195">
        <f t="shared" si="25"/>
        <v>0.62076665498272998</v>
      </c>
      <c r="AL177" s="195">
        <f t="shared" si="25"/>
        <v>0</v>
      </c>
      <c r="AM177" s="195" t="str">
        <f t="shared" si="25"/>
        <v>6</v>
      </c>
      <c r="AN177" s="153"/>
      <c r="AO177" s="153">
        <v>172</v>
      </c>
      <c r="AP177" s="153">
        <v>172</v>
      </c>
      <c r="AQ177" s="153">
        <f>AP177-AO177</f>
        <v>0</v>
      </c>
      <c r="AR177" s="86" t="s">
        <v>119</v>
      </c>
      <c r="AS177" s="153" t="str">
        <f>BH177&amp;" "&amp;BI177</f>
        <v>QB 27</v>
      </c>
      <c r="AT177" s="153">
        <f>IF(AU177&gt;8,1,IF(AU177&gt;6.4,2,IF(AU177&gt;6,3,IF(AU177&gt;5,4,IF(AU177&gt;3.5,5,IF(AU177&gt;2.5,6,IF(AU177&gt;1.5,7,IF(AU177&gt;0.5,8,IF(AU177&gt;-0.5,9,10)))))))))</f>
        <v>10</v>
      </c>
      <c r="AU177" s="169">
        <f>SUM(AV177,AZ177,BA177)</f>
        <v>-5.7210372199999995</v>
      </c>
      <c r="AV177" s="169">
        <f>INDEX(AJ$6:AJ$182,MATCH($AR177,$AF$6:$AF$182,0))</f>
        <v>-5.2210372199999995</v>
      </c>
      <c r="AW177" s="169">
        <f>INDEX(AK$6:AK$182,MATCH($AR177,$AF$6:$AF$182,0))</f>
        <v>2.1680306330783039</v>
      </c>
      <c r="AX177" s="168">
        <f>SUMIFS(AV178:AV$183,AV178:AV$183,"&gt;"&amp;0,$BH178:$BH$183,"="&amp;$BH177,$BK178:$BK$183,"="&amp;1)/SUMIFS(AV$6:AV$183,AV$6:AV$183,"&gt;"&amp;0,$BH$6:$BH$183,"="&amp;$BH177)</f>
        <v>0</v>
      </c>
      <c r="AY177" s="168">
        <f>SUMIFS(AU178:AU$183,AU178:AU$183,"&gt;"&amp;0,BH178:BH$183,"="&amp;BH177,BK178:BK$183,"="&amp;1)/SUMIFS(AU$6:AU$183,AU$6:AU$183,"&gt;"&amp;0,BH$6:BH$183,"="&amp;BH177)</f>
        <v>0</v>
      </c>
      <c r="AZ177" s="169">
        <f>IF(AW177&gt;Adjustments!$J$6,Adjustments!$L$6,IF(AW177&gt;Adjustments!$J$7,Adjustments!$L$7,IF(AW177&gt;Adjustments!$J$8,Adjustments!$L$8,IF(AW177&lt;Adjustments!$J$10,Adjustments!$L$10,IF(AW177&lt;Adjustments!$J$9,Adjustments!$L$9,0)))))</f>
        <v>-0.5</v>
      </c>
      <c r="BA177" s="169">
        <f>INDEX(Adjustments!$C$4:$C$2520,MATCH(AR177,Adjustments!$B$4:$B$2520,0))</f>
        <v>0</v>
      </c>
      <c r="BB177" s="153" t="str">
        <f>INDEX(AG$6:AG$182,MATCH($AR177,$AF$6:$AF$182,0))</f>
        <v>10</v>
      </c>
      <c r="BC177" s="153">
        <f>INDEX(AH$6:AH$182,MATCH($AR177,$AF$6:$AF$182,0))</f>
        <v>200</v>
      </c>
      <c r="BD177" s="153">
        <f>INDEX(AI$6:AI$182,MATCH($AR177,$AF$6:$AF$182,0))</f>
        <v>0</v>
      </c>
      <c r="BE177" s="153">
        <f>BC177-AO177</f>
        <v>28</v>
      </c>
      <c r="BF177" s="153"/>
      <c r="BG177" s="153"/>
      <c r="BH177" s="195" t="str">
        <f>INDEX($AE$6:$AE$182,MATCH(AR177,$AF$6:$AF$182,0))</f>
        <v>QB</v>
      </c>
      <c r="BI177" s="195">
        <f>SUMIF($BH$6:BH177,BH177,$BK$6:BK177)</f>
        <v>27</v>
      </c>
      <c r="BJ177" s="194">
        <v>1</v>
      </c>
      <c r="BK177" s="194">
        <f t="shared" si="19"/>
        <v>1</v>
      </c>
      <c r="BL177" s="194" t="str">
        <f>IF('Real Time Draft Tool'!B177="y","y","")</f>
        <v/>
      </c>
      <c r="BM177" s="194" t="str">
        <f t="shared" si="20"/>
        <v>QB 27</v>
      </c>
    </row>
    <row r="178" spans="31:65" x14ac:dyDescent="0.25">
      <c r="AE178" s="195" t="s">
        <v>261</v>
      </c>
      <c r="AF178" s="195" t="str">
        <f t="shared" si="23"/>
        <v>Tyler Eifert</v>
      </c>
      <c r="AG178" s="195" t="str">
        <f t="shared" si="23"/>
        <v>4</v>
      </c>
      <c r="AH178" s="195">
        <f t="shared" si="24"/>
        <v>200</v>
      </c>
      <c r="AI178" s="195">
        <f t="shared" si="22"/>
        <v>0</v>
      </c>
      <c r="AJ178" s="195">
        <f t="shared" si="25"/>
        <v>-1.4739945716666669</v>
      </c>
      <c r="AK178" s="195">
        <f t="shared" si="25"/>
        <v>0.91400547994581305</v>
      </c>
      <c r="AL178" s="195">
        <f t="shared" si="25"/>
        <v>0</v>
      </c>
      <c r="AM178" s="195" t="str">
        <f t="shared" si="25"/>
        <v>6+</v>
      </c>
      <c r="AN178" s="153"/>
      <c r="AO178" s="153">
        <v>173</v>
      </c>
      <c r="AP178" s="153">
        <v>173</v>
      </c>
      <c r="AQ178" s="153">
        <f>AP178-AO178</f>
        <v>0</v>
      </c>
      <c r="AR178" s="86" t="s">
        <v>123</v>
      </c>
      <c r="AS178" s="153" t="str">
        <f>BH178&amp;" "&amp;BI178</f>
        <v>QB 28</v>
      </c>
      <c r="AT178" s="153">
        <f>IF(AU178&gt;8,1,IF(AU178&gt;6.4,2,IF(AU178&gt;6,3,IF(AU178&gt;5,4,IF(AU178&gt;3.5,5,IF(AU178&gt;2.5,6,IF(AU178&gt;1.5,7,IF(AU178&gt;0.5,8,IF(AU178&gt;-0.5,9,10)))))))))</f>
        <v>10</v>
      </c>
      <c r="AU178" s="169">
        <f>SUM(AV178,AZ178,BA178)</f>
        <v>-5.8668538666666672</v>
      </c>
      <c r="AV178" s="169">
        <f>INDEX(AJ$6:AJ$182,MATCH($AR178,$AF$6:$AF$182,0))</f>
        <v>-5.3668538666666672</v>
      </c>
      <c r="AW178" s="169">
        <f>INDEX(AK$6:AK$182,MATCH($AR178,$AF$6:$AF$182,0))</f>
        <v>1.5845716027681549</v>
      </c>
      <c r="AX178" s="168">
        <f>SUMIFS(AV179:AV$183,AV179:AV$183,"&gt;"&amp;0,$BH179:$BH$183,"="&amp;$BH178,$BK179:$BK$183,"="&amp;1)/SUMIFS(AV$6:AV$183,AV$6:AV$183,"&gt;"&amp;0,$BH$6:$BH$183,"="&amp;$BH178)</f>
        <v>0</v>
      </c>
      <c r="AY178" s="168">
        <f>SUMIFS(AU179:AU$183,AU179:AU$183,"&gt;"&amp;0,BH179:BH$183,"="&amp;BH178,BK179:BK$183,"="&amp;1)/SUMIFS(AU$6:AU$183,AU$6:AU$183,"&gt;"&amp;0,BH$6:BH$183,"="&amp;BH178)</f>
        <v>0</v>
      </c>
      <c r="AZ178" s="169">
        <f>IF(AW178&gt;Adjustments!$J$6,Adjustments!$L$6,IF(AW178&gt;Adjustments!$J$7,Adjustments!$L$7,IF(AW178&gt;Adjustments!$J$8,Adjustments!$L$8,IF(AW178&lt;Adjustments!$J$10,Adjustments!$L$10,IF(AW178&lt;Adjustments!$J$9,Adjustments!$L$9,0)))))</f>
        <v>-0.5</v>
      </c>
      <c r="BA178" s="169">
        <f>INDEX(Adjustments!$C$4:$C$2520,MATCH(AR178,Adjustments!$B$4:$B$2520,0))</f>
        <v>0</v>
      </c>
      <c r="BB178" s="153" t="str">
        <f>INDEX(AG$6:AG$182,MATCH($AR178,$AF$6:$AF$182,0))</f>
        <v>5</v>
      </c>
      <c r="BC178" s="153">
        <f>INDEX(AH$6:AH$182,MATCH($AR178,$AF$6:$AF$182,0))</f>
        <v>200</v>
      </c>
      <c r="BD178" s="153">
        <f>INDEX(AI$6:AI$182,MATCH($AR178,$AF$6:$AF$182,0))</f>
        <v>0</v>
      </c>
      <c r="BE178" s="153">
        <f>BC178-AO178</f>
        <v>27</v>
      </c>
      <c r="BF178" s="153"/>
      <c r="BG178" s="153"/>
      <c r="BH178" s="195" t="str">
        <f>INDEX($AE$6:$AE$182,MATCH(AR178,$AF$6:$AF$182,0))</f>
        <v>QB</v>
      </c>
      <c r="BI178" s="195">
        <f>SUMIF($BH$6:BH178,BH178,$BK$6:BK178)</f>
        <v>28</v>
      </c>
      <c r="BJ178" s="194">
        <v>1</v>
      </c>
      <c r="BK178" s="194">
        <f t="shared" si="19"/>
        <v>1</v>
      </c>
      <c r="BL178" s="194" t="str">
        <f>IF('Real Time Draft Tool'!B178="y","y","")</f>
        <v/>
      </c>
      <c r="BM178" s="194" t="str">
        <f t="shared" si="20"/>
        <v>QB 28</v>
      </c>
    </row>
    <row r="179" spans="31:65" x14ac:dyDescent="0.25">
      <c r="AE179" s="195" t="s">
        <v>261</v>
      </c>
      <c r="AF179" s="195" t="str">
        <f t="shared" si="23"/>
        <v>Garrett Graham</v>
      </c>
      <c r="AG179" s="195" t="str">
        <f t="shared" si="23"/>
        <v>10</v>
      </c>
      <c r="AH179" s="195">
        <f t="shared" si="24"/>
        <v>200</v>
      </c>
      <c r="AI179" s="195">
        <f t="shared" si="22"/>
        <v>0</v>
      </c>
      <c r="AJ179" s="195">
        <f t="shared" si="25"/>
        <v>-1.5975778950000001</v>
      </c>
      <c r="AK179" s="195">
        <f t="shared" si="25"/>
        <v>0.98633313651967147</v>
      </c>
      <c r="AL179" s="195">
        <f t="shared" si="25"/>
        <v>0</v>
      </c>
      <c r="AM179" s="195" t="str">
        <f t="shared" si="25"/>
        <v>6</v>
      </c>
      <c r="AN179" s="153"/>
      <c r="AO179" s="153">
        <v>174</v>
      </c>
      <c r="AP179" s="153">
        <v>174</v>
      </c>
      <c r="AQ179" s="153">
        <f>AP179-AO179</f>
        <v>0</v>
      </c>
      <c r="AR179" s="86" t="s">
        <v>126</v>
      </c>
      <c r="AS179" s="153" t="str">
        <f>BH179&amp;" "&amp;BI179</f>
        <v>QB 29</v>
      </c>
      <c r="AT179" s="153">
        <f>IF(AU179&gt;8,1,IF(AU179&gt;6.4,2,IF(AU179&gt;6,3,IF(AU179&gt;5,4,IF(AU179&gt;3.5,5,IF(AU179&gt;2.5,6,IF(AU179&gt;1.5,7,IF(AU179&gt;0.5,8,IF(AU179&gt;-0.5,9,10)))))))))</f>
        <v>10</v>
      </c>
      <c r="AU179" s="169">
        <f>SUM(AV179,AZ179,BA179)</f>
        <v>-5.9308455433333327</v>
      </c>
      <c r="AV179" s="169">
        <f>INDEX(AJ$6:AJ$182,MATCH($AR179,$AF$6:$AF$182,0))</f>
        <v>-5.4308455433333327</v>
      </c>
      <c r="AW179" s="169">
        <f>INDEX(AK$6:AK$182,MATCH($AR179,$AF$6:$AF$182,0))</f>
        <v>3.8348816659743918</v>
      </c>
      <c r="AX179" s="168">
        <f>SUMIFS(AV180:AV$183,AV180:AV$183,"&gt;"&amp;0,$BH180:$BH$183,"="&amp;$BH179,$BK180:$BK$183,"="&amp;1)/SUMIFS(AV$6:AV$183,AV$6:AV$183,"&gt;"&amp;0,$BH$6:$BH$183,"="&amp;$BH179)</f>
        <v>0</v>
      </c>
      <c r="AY179" s="168">
        <f>SUMIFS(AU180:AU$183,AU180:AU$183,"&gt;"&amp;0,BH180:BH$183,"="&amp;BH179,BK180:BK$183,"="&amp;1)/SUMIFS(AU$6:AU$183,AU$6:AU$183,"&gt;"&amp;0,BH$6:BH$183,"="&amp;BH179)</f>
        <v>0</v>
      </c>
      <c r="AZ179" s="169">
        <f>IF(AW179&gt;Adjustments!$J$6,Adjustments!$L$6,IF(AW179&gt;Adjustments!$J$7,Adjustments!$L$7,IF(AW179&gt;Adjustments!$J$8,Adjustments!$L$8,IF(AW179&lt;Adjustments!$J$10,Adjustments!$L$10,IF(AW179&lt;Adjustments!$J$9,Adjustments!$L$9,0)))))</f>
        <v>-0.5</v>
      </c>
      <c r="BA179" s="169">
        <f>INDEX(Adjustments!$C$4:$C$2520,MATCH(AR179,Adjustments!$B$4:$B$2520,0))</f>
        <v>0</v>
      </c>
      <c r="BB179" s="153" t="str">
        <f>INDEX(AG$6:AG$182,MATCH($AR179,$AF$6:$AF$182,0))</f>
        <v>4</v>
      </c>
      <c r="BC179" s="153">
        <f>INDEX(AH$6:AH$182,MATCH($AR179,$AF$6:$AF$182,0))</f>
        <v>144</v>
      </c>
      <c r="BD179" s="153">
        <f>INDEX(AI$6:AI$182,MATCH($AR179,$AF$6:$AF$182,0))</f>
        <v>-127</v>
      </c>
      <c r="BE179" s="153">
        <f>BC179-AO179</f>
        <v>-30</v>
      </c>
      <c r="BF179" s="153"/>
      <c r="BG179" s="153"/>
      <c r="BH179" s="195" t="str">
        <f>INDEX($AE$6:$AE$182,MATCH(AR179,$AF$6:$AF$182,0))</f>
        <v>QB</v>
      </c>
      <c r="BI179" s="195">
        <f>SUMIF($BH$6:BH179,BH179,$BK$6:BK179)</f>
        <v>29</v>
      </c>
      <c r="BJ179" s="194">
        <v>1</v>
      </c>
      <c r="BK179" s="194">
        <f t="shared" si="19"/>
        <v>1</v>
      </c>
      <c r="BL179" s="194" t="str">
        <f>IF('Real Time Draft Tool'!B179="y","y","")</f>
        <v/>
      </c>
      <c r="BM179" s="194" t="str">
        <f t="shared" si="20"/>
        <v>QB 29</v>
      </c>
    </row>
    <row r="180" spans="31:65" x14ac:dyDescent="0.25">
      <c r="AE180" s="195" t="s">
        <v>261</v>
      </c>
      <c r="AF180" s="195" t="str">
        <f t="shared" si="23"/>
        <v>Marcedes Lewis</v>
      </c>
      <c r="AG180" s="195" t="str">
        <f t="shared" si="23"/>
        <v>11</v>
      </c>
      <c r="AH180" s="195">
        <f t="shared" si="24"/>
        <v>200</v>
      </c>
      <c r="AI180" s="195">
        <f t="shared" si="22"/>
        <v>0</v>
      </c>
      <c r="AJ180" s="195">
        <f t="shared" si="25"/>
        <v>-2.2032237083333337</v>
      </c>
      <c r="AK180" s="195">
        <f t="shared" si="25"/>
        <v>0.85414905465605862</v>
      </c>
      <c r="AL180" s="195">
        <f t="shared" si="25"/>
        <v>0</v>
      </c>
      <c r="AM180" s="195" t="str">
        <f t="shared" si="25"/>
        <v>7-</v>
      </c>
      <c r="AN180" s="153"/>
      <c r="AO180" s="153">
        <v>175</v>
      </c>
      <c r="AP180" s="153">
        <v>175</v>
      </c>
      <c r="AQ180" s="153">
        <f>AP180-AO180</f>
        <v>0</v>
      </c>
      <c r="AR180" s="86" t="s">
        <v>129</v>
      </c>
      <c r="AS180" s="153" t="str">
        <f>BH180&amp;" "&amp;BI180</f>
        <v>QB 30</v>
      </c>
      <c r="AT180" s="153">
        <f>IF(AU180&gt;8,1,IF(AU180&gt;6.4,2,IF(AU180&gt;6,3,IF(AU180&gt;5,4,IF(AU180&gt;3.5,5,IF(AU180&gt;2.5,6,IF(AU180&gt;1.5,7,IF(AU180&gt;0.5,8,IF(AU180&gt;-0.5,9,10)))))))))</f>
        <v>10</v>
      </c>
      <c r="AU180" s="169">
        <f>SUM(AV180,AZ180,BA180)</f>
        <v>-6.5360486383333329</v>
      </c>
      <c r="AV180" s="169">
        <f>INDEX(AJ$6:AJ$182,MATCH($AR180,$AF$6:$AF$182,0))</f>
        <v>-6.0360486383333329</v>
      </c>
      <c r="AW180" s="169">
        <f>INDEX(AK$6:AK$182,MATCH($AR180,$AF$6:$AF$182,0))</f>
        <v>2.1892955667892426</v>
      </c>
      <c r="AX180" s="168">
        <f>SUMIFS(AV181:AV$183,AV181:AV$183,"&gt;"&amp;0,$BH181:$BH$183,"="&amp;$BH180,$BK181:$BK$183,"="&amp;1)/SUMIFS(AV$6:AV$183,AV$6:AV$183,"&gt;"&amp;0,$BH$6:$BH$183,"="&amp;$BH180)</f>
        <v>0</v>
      </c>
      <c r="AY180" s="168">
        <f>SUMIFS(AU181:AU$183,AU181:AU$183,"&gt;"&amp;0,BH181:BH$183,"="&amp;BH180,BK181:BK$183,"="&amp;1)/SUMIFS(AU$6:AU$183,AU$6:AU$183,"&gt;"&amp;0,BH$6:BH$183,"="&amp;BH180)</f>
        <v>0</v>
      </c>
      <c r="AZ180" s="169">
        <f>IF(AW180&gt;Adjustments!$J$6,Adjustments!$L$6,IF(AW180&gt;Adjustments!$J$7,Adjustments!$L$7,IF(AW180&gt;Adjustments!$J$8,Adjustments!$L$8,IF(AW180&lt;Adjustments!$J$10,Adjustments!$L$10,IF(AW180&lt;Adjustments!$J$9,Adjustments!$L$9,0)))))</f>
        <v>-0.5</v>
      </c>
      <c r="BA180" s="169">
        <f>INDEX(Adjustments!$C$4:$C$2520,MATCH(AR180,Adjustments!$B$4:$B$2520,0))</f>
        <v>0</v>
      </c>
      <c r="BB180" s="153" t="str">
        <f>INDEX(AG$6:AG$182,MATCH($AR180,$AF$6:$AF$182,0))</f>
        <v>11</v>
      </c>
      <c r="BC180" s="153">
        <f>INDEX(AH$6:AH$182,MATCH($AR180,$AF$6:$AF$182,0))</f>
        <v>200</v>
      </c>
      <c r="BD180" s="153">
        <f>INDEX(AI$6:AI$182,MATCH($AR180,$AF$6:$AF$182,0))</f>
        <v>0</v>
      </c>
      <c r="BE180" s="153">
        <f>BC180-AO180</f>
        <v>25</v>
      </c>
      <c r="BF180" s="153"/>
      <c r="BG180" s="153"/>
      <c r="BH180" s="195" t="str">
        <f>INDEX($AE$6:$AE$182,MATCH(AR180,$AF$6:$AF$182,0))</f>
        <v>QB</v>
      </c>
      <c r="BI180" s="195">
        <f>SUMIF($BH$6:BH180,BH180,$BK$6:BK180)</f>
        <v>30</v>
      </c>
      <c r="BJ180" s="194">
        <v>1</v>
      </c>
      <c r="BK180" s="194">
        <f t="shared" si="19"/>
        <v>1</v>
      </c>
      <c r="BL180" s="194" t="str">
        <f>IF('Real Time Draft Tool'!B180="y","y","")</f>
        <v/>
      </c>
      <c r="BM180" s="194" t="str">
        <f t="shared" si="20"/>
        <v>QB 30</v>
      </c>
    </row>
    <row r="181" spans="31:65" x14ac:dyDescent="0.25">
      <c r="AE181" s="195" t="s">
        <v>261</v>
      </c>
      <c r="AF181" s="195" t="str">
        <f t="shared" si="23"/>
        <v>Coby Fleener</v>
      </c>
      <c r="AG181" s="195" t="str">
        <f t="shared" si="23"/>
        <v>10</v>
      </c>
      <c r="AH181" s="195">
        <f t="shared" si="24"/>
        <v>200</v>
      </c>
      <c r="AI181" s="195">
        <f t="shared" si="22"/>
        <v>0</v>
      </c>
      <c r="AJ181" s="195">
        <f t="shared" si="25"/>
        <v>-2.2954841050000003</v>
      </c>
      <c r="AK181" s="195">
        <f t="shared" si="25"/>
        <v>1.1041329010390739</v>
      </c>
      <c r="AL181" s="195">
        <f t="shared" si="25"/>
        <v>0</v>
      </c>
      <c r="AM181" s="195" t="str">
        <f t="shared" si="25"/>
        <v>7</v>
      </c>
      <c r="AN181" s="153"/>
      <c r="AO181" s="153">
        <v>176</v>
      </c>
      <c r="AP181" s="153">
        <v>176</v>
      </c>
      <c r="AQ181" s="153">
        <f>AP181-AO181</f>
        <v>0</v>
      </c>
      <c r="AR181" s="86" t="s">
        <v>133</v>
      </c>
      <c r="AS181" s="153" t="str">
        <f>BH181&amp;" "&amp;BI181</f>
        <v>QB 31</v>
      </c>
      <c r="AT181" s="153">
        <f>IF(AU181&gt;8,1,IF(AU181&gt;6.4,2,IF(AU181&gt;6,3,IF(AU181&gt;5,4,IF(AU181&gt;3.5,5,IF(AU181&gt;2.5,6,IF(AU181&gt;1.5,7,IF(AU181&gt;0.5,8,IF(AU181&gt;-0.5,9,10)))))))))</f>
        <v>10</v>
      </c>
      <c r="AU181" s="169">
        <f>SUM(AV181,AZ181,BA181)</f>
        <v>-7.199962189999999</v>
      </c>
      <c r="AV181" s="169">
        <f>INDEX(AJ$6:AJ$182,MATCH($AR181,$AF$6:$AF$182,0))</f>
        <v>-6.699962189999999</v>
      </c>
      <c r="AW181" s="169">
        <f>INDEX(AK$6:AK$182,MATCH($AR181,$AF$6:$AF$182,0))</f>
        <v>3.0514342873568183</v>
      </c>
      <c r="AX181" s="168">
        <f>SUMIFS(AV182:AV$183,AV182:AV$183,"&gt;"&amp;0,$BH182:$BH$183,"="&amp;$BH181,$BK182:$BK$183,"="&amp;1)/SUMIFS(AV$6:AV$183,AV$6:AV$183,"&gt;"&amp;0,$BH$6:$BH$183,"="&amp;$BH181)</f>
        <v>0</v>
      </c>
      <c r="AY181" s="168">
        <f>SUMIFS(AU182:AU$183,AU182:AU$183,"&gt;"&amp;0,BH182:BH$183,"="&amp;BH181,BK182:BK$183,"="&amp;1)/SUMIFS(AU$6:AU$183,AU$6:AU$183,"&gt;"&amp;0,BH$6:BH$183,"="&amp;BH181)</f>
        <v>0</v>
      </c>
      <c r="AZ181" s="169">
        <f>IF(AW181&gt;Adjustments!$J$6,Adjustments!$L$6,IF(AW181&gt;Adjustments!$J$7,Adjustments!$L$7,IF(AW181&gt;Adjustments!$J$8,Adjustments!$L$8,IF(AW181&lt;Adjustments!$J$10,Adjustments!$L$10,IF(AW181&lt;Adjustments!$J$9,Adjustments!$L$9,0)))))</f>
        <v>-0.5</v>
      </c>
      <c r="BA181" s="169">
        <f>INDEX(Adjustments!$C$4:$C$2520,MATCH(AR181,Adjustments!$B$4:$B$2520,0))</f>
        <v>0</v>
      </c>
      <c r="BB181" s="153" t="str">
        <f>INDEX(AG$6:AG$182,MATCH($AR181,$AF$6:$AF$182,0))</f>
        <v>10</v>
      </c>
      <c r="BC181" s="153">
        <f>INDEX(AH$6:AH$182,MATCH($AR181,$AF$6:$AF$182,0))</f>
        <v>200</v>
      </c>
      <c r="BD181" s="153">
        <f>INDEX(AI$6:AI$182,MATCH($AR181,$AF$6:$AF$182,0))</f>
        <v>0</v>
      </c>
      <c r="BE181" s="153">
        <f>BC181-AO181</f>
        <v>24</v>
      </c>
      <c r="BF181" s="153"/>
      <c r="BG181" s="153"/>
      <c r="BH181" s="195" t="str">
        <f>INDEX($AE$6:$AE$182,MATCH(AR181,$AF$6:$AF$182,0))</f>
        <v>QB</v>
      </c>
      <c r="BI181" s="195">
        <f>SUMIF($BH$6:BH181,BH181,$BK$6:BK181)</f>
        <v>31</v>
      </c>
      <c r="BJ181" s="194">
        <v>1</v>
      </c>
      <c r="BK181" s="194">
        <f t="shared" si="19"/>
        <v>1</v>
      </c>
      <c r="BL181" s="194" t="str">
        <f>IF('Real Time Draft Tool'!B181="y","y","")</f>
        <v/>
      </c>
      <c r="BM181" s="194" t="str">
        <f t="shared" si="20"/>
        <v>QB 31</v>
      </c>
    </row>
    <row r="182" spans="31:65" x14ac:dyDescent="0.25">
      <c r="AE182" s="195" t="s">
        <v>261</v>
      </c>
      <c r="AF182" s="195" t="str">
        <f t="shared" si="23"/>
        <v>Scott Chandler</v>
      </c>
      <c r="AG182" s="195" t="str">
        <f t="shared" si="23"/>
        <v>9</v>
      </c>
      <c r="AH182" s="195">
        <f t="shared" si="24"/>
        <v>200</v>
      </c>
      <c r="AI182" s="195">
        <f t="shared" si="22"/>
        <v>0</v>
      </c>
      <c r="AJ182" s="195">
        <f t="shared" si="25"/>
        <v>-2.3634320016666672</v>
      </c>
      <c r="AK182" s="195">
        <f t="shared" si="25"/>
        <v>1.3106012199955901</v>
      </c>
      <c r="AL182" s="195">
        <f t="shared" si="25"/>
        <v>0</v>
      </c>
      <c r="AM182" s="195" t="str">
        <f t="shared" si="25"/>
        <v>7</v>
      </c>
      <c r="AN182" s="153"/>
      <c r="AO182" s="153">
        <v>177</v>
      </c>
      <c r="AP182" s="153">
        <v>177</v>
      </c>
      <c r="AQ182" s="153">
        <f>AP182-AO182</f>
        <v>0</v>
      </c>
      <c r="AR182" s="86" t="s">
        <v>136</v>
      </c>
      <c r="AS182" s="153" t="str">
        <f>BH182&amp;" "&amp;BI182</f>
        <v>QB 32</v>
      </c>
      <c r="AT182" s="153">
        <f>IF(AU182&gt;8,1,IF(AU182&gt;6.4,2,IF(AU182&gt;6,3,IF(AU182&gt;5,4,IF(AU182&gt;3.5,5,IF(AU182&gt;2.5,6,IF(AU182&gt;1.5,7,IF(AU182&gt;0.5,8,IF(AU182&gt;-0.5,9,10)))))))))</f>
        <v>10</v>
      </c>
      <c r="AU182" s="169">
        <f>SUM(AV182,AZ182,BA182)</f>
        <v>-8.202765294999999</v>
      </c>
      <c r="AV182" s="169">
        <f>INDEX(AJ$6:AJ$182,MATCH($AR182,$AF$6:$AF$182,0))</f>
        <v>-7.702765294999999</v>
      </c>
      <c r="AW182" s="169">
        <f>INDEX(AK$6:AK$182,MATCH($AR182,$AF$6:$AF$182,0))</f>
        <v>1.6315734075363244</v>
      </c>
      <c r="AX182" s="168">
        <f>SUMIFS(AV183:AV$183,AV183:AV$183,"&gt;"&amp;0,$BH183:$BH$183,"="&amp;$BH182,$BK183:$BK$183,"="&amp;1)/SUMIFS(AV$6:AV$183,AV$6:AV$183,"&gt;"&amp;0,$BH$6:$BH$183,"="&amp;$BH182)</f>
        <v>0</v>
      </c>
      <c r="AY182" s="168">
        <f>SUMIFS(AU183:AU$183,AU183:AU$183,"&gt;"&amp;0,BH183:BH$183,"="&amp;BH182,BK183:BK$183,"="&amp;1)/SUMIFS(AU$6:AU$183,AU$6:AU$183,"&gt;"&amp;0,BH$6:BH$183,"="&amp;BH182)</f>
        <v>0</v>
      </c>
      <c r="AZ182" s="169">
        <f>IF(AW182&gt;Adjustments!$J$6,Adjustments!$L$6,IF(AW182&gt;Adjustments!$J$7,Adjustments!$L$7,IF(AW182&gt;Adjustments!$J$8,Adjustments!$L$8,IF(AW182&lt;Adjustments!$J$10,Adjustments!$L$10,IF(AW182&lt;Adjustments!$J$9,Adjustments!$L$9,0)))))</f>
        <v>-0.5</v>
      </c>
      <c r="BA182" s="169">
        <f>INDEX(Adjustments!$C$4:$C$2520,MATCH(AR182,Adjustments!$B$4:$B$2520,0))</f>
        <v>0</v>
      </c>
      <c r="BB182" s="153" t="str">
        <f>INDEX(AG$6:AG$182,MATCH($AR182,$AF$6:$AF$182,0))</f>
        <v>11</v>
      </c>
      <c r="BC182" s="153">
        <f>INDEX(AH$6:AH$182,MATCH($AR182,$AF$6:$AF$182,0))</f>
        <v>200</v>
      </c>
      <c r="BD182" s="153">
        <f>INDEX(AI$6:AI$182,MATCH($AR182,$AF$6:$AF$182,0))</f>
        <v>0</v>
      </c>
      <c r="BE182" s="153">
        <f>BC182-AO182</f>
        <v>23</v>
      </c>
      <c r="BF182" s="153"/>
      <c r="BG182" s="153"/>
      <c r="BH182" s="195" t="str">
        <f>INDEX($AE$6:$AE$182,MATCH(AR182,$AF$6:$AF$182,0))</f>
        <v>QB</v>
      </c>
      <c r="BI182" s="195">
        <f>SUMIF($BH$6:BH182,BH182,$BK$6:BK182)</f>
        <v>32</v>
      </c>
      <c r="BJ182" s="194">
        <v>1</v>
      </c>
      <c r="BK182" s="194">
        <f t="shared" si="19"/>
        <v>1</v>
      </c>
      <c r="BL182" s="194" t="str">
        <f>IF('Real Time Draft Tool'!B182="y","y","")</f>
        <v/>
      </c>
      <c r="BM182" s="194" t="str">
        <f t="shared" si="20"/>
        <v>QB 32</v>
      </c>
    </row>
    <row r="183" spans="31:65" x14ac:dyDescent="0.25">
      <c r="AV183" s="152"/>
    </row>
  </sheetData>
  <autoFilter ref="AP5:BI5">
    <sortState ref="AP6:BI182">
      <sortCondition descending="1" ref="AU5"/>
    </sortState>
  </autoFilter>
  <mergeCells count="6">
    <mergeCell ref="B39:I39"/>
    <mergeCell ref="B1:AC1"/>
    <mergeCell ref="B2:AC2"/>
    <mergeCell ref="B4:I4"/>
    <mergeCell ref="L4:S4"/>
    <mergeCell ref="V4:AC4"/>
  </mergeCells>
  <conditionalFormatting sqref="BE6:BE18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P439"/>
  <sheetViews>
    <sheetView workbookViewId="0">
      <selection activeCell="M14" sqref="M14"/>
    </sheetView>
  </sheetViews>
  <sheetFormatPr defaultRowHeight="15" x14ac:dyDescent="0.25"/>
  <cols>
    <col min="2" max="2" width="20.28515625" bestFit="1" customWidth="1"/>
    <col min="3" max="3" width="5.7109375" bestFit="1" customWidth="1"/>
    <col min="7" max="7" width="2.7109375" style="194" customWidth="1"/>
    <col min="11" max="11" width="15.85546875" bestFit="1" customWidth="1"/>
  </cols>
  <sheetData>
    <row r="2" spans="1:16" s="78" customFormat="1" x14ac:dyDescent="0.25">
      <c r="B2" s="78" t="s">
        <v>273</v>
      </c>
      <c r="G2" s="194"/>
      <c r="I2" s="193" t="s">
        <v>278</v>
      </c>
      <c r="J2" s="193"/>
      <c r="K2" s="193"/>
      <c r="L2" s="193"/>
      <c r="M2" s="193"/>
      <c r="N2" s="193"/>
      <c r="O2" s="193"/>
      <c r="P2" s="193"/>
    </row>
    <row r="3" spans="1:16" s="78" customFormat="1" x14ac:dyDescent="0.25">
      <c r="A3" s="114"/>
      <c r="B3" s="114"/>
      <c r="C3" s="114"/>
      <c r="D3" s="114"/>
      <c r="G3" s="194"/>
      <c r="I3" s="193"/>
      <c r="J3" s="193"/>
      <c r="K3" s="193"/>
      <c r="L3" s="193"/>
      <c r="M3" s="193"/>
      <c r="N3" s="193"/>
      <c r="O3" s="193"/>
      <c r="P3" s="193"/>
    </row>
    <row r="4" spans="1:16" x14ac:dyDescent="0.25">
      <c r="A4" s="114"/>
      <c r="B4" s="114" t="s">
        <v>27</v>
      </c>
      <c r="C4" s="114">
        <v>0</v>
      </c>
      <c r="D4" s="114"/>
    </row>
    <row r="5" spans="1:16" x14ac:dyDescent="0.25">
      <c r="A5" s="114"/>
      <c r="B5" s="114" t="s">
        <v>35</v>
      </c>
      <c r="C5" s="114">
        <v>0</v>
      </c>
      <c r="D5" s="114"/>
      <c r="I5" s="207" t="s">
        <v>274</v>
      </c>
      <c r="J5" s="206"/>
      <c r="K5" s="206"/>
      <c r="L5" s="208"/>
    </row>
    <row r="6" spans="1:16" x14ac:dyDescent="0.25">
      <c r="A6" s="114"/>
      <c r="B6" s="114" t="s">
        <v>39</v>
      </c>
      <c r="C6" s="114">
        <v>0</v>
      </c>
      <c r="D6" s="114"/>
      <c r="I6" s="209" t="s">
        <v>275</v>
      </c>
      <c r="J6" s="211">
        <v>1.5</v>
      </c>
      <c r="K6" s="205" t="s">
        <v>276</v>
      </c>
      <c r="L6" s="214">
        <v>-0.5</v>
      </c>
    </row>
    <row r="7" spans="1:16" x14ac:dyDescent="0.25">
      <c r="A7" s="114"/>
      <c r="B7" s="114" t="s">
        <v>32</v>
      </c>
      <c r="C7" s="114">
        <v>0</v>
      </c>
      <c r="D7" s="114"/>
      <c r="I7" s="207" t="s">
        <v>275</v>
      </c>
      <c r="J7" s="213">
        <v>1.25</v>
      </c>
      <c r="K7" s="205" t="s">
        <v>276</v>
      </c>
      <c r="L7" s="215">
        <v>-0.3</v>
      </c>
    </row>
    <row r="8" spans="1:16" x14ac:dyDescent="0.25">
      <c r="A8" s="114"/>
      <c r="B8" s="114" t="s">
        <v>29</v>
      </c>
      <c r="C8" s="114">
        <v>0</v>
      </c>
      <c r="D8" s="114"/>
      <c r="I8" s="210" t="s">
        <v>275</v>
      </c>
      <c r="J8" s="212">
        <v>1</v>
      </c>
      <c r="K8" s="205" t="s">
        <v>276</v>
      </c>
      <c r="L8" s="216">
        <v>-0.15</v>
      </c>
    </row>
    <row r="9" spans="1:16" x14ac:dyDescent="0.25">
      <c r="A9" s="114"/>
      <c r="B9" s="114" t="s">
        <v>33</v>
      </c>
      <c r="C9" s="114">
        <v>0</v>
      </c>
      <c r="D9" s="114"/>
      <c r="I9" s="207" t="s">
        <v>277</v>
      </c>
      <c r="J9" s="213">
        <v>0.8</v>
      </c>
      <c r="K9" s="205" t="s">
        <v>276</v>
      </c>
      <c r="L9" s="215">
        <v>0.2</v>
      </c>
    </row>
    <row r="10" spans="1:16" x14ac:dyDescent="0.25">
      <c r="A10" s="114"/>
      <c r="B10" s="114" t="s">
        <v>36</v>
      </c>
      <c r="C10" s="114">
        <v>0</v>
      </c>
      <c r="D10" s="114"/>
      <c r="I10" s="207" t="s">
        <v>277</v>
      </c>
      <c r="J10" s="213">
        <v>0.6</v>
      </c>
      <c r="K10" s="205" t="s">
        <v>276</v>
      </c>
      <c r="L10" s="215">
        <v>0.3</v>
      </c>
    </row>
    <row r="11" spans="1:16" x14ac:dyDescent="0.25">
      <c r="A11" s="114"/>
      <c r="B11" s="114" t="s">
        <v>52</v>
      </c>
      <c r="C11" s="114">
        <v>0</v>
      </c>
      <c r="D11" s="114"/>
    </row>
    <row r="12" spans="1:16" x14ac:dyDescent="0.25">
      <c r="A12" s="114"/>
      <c r="B12" s="114" t="s">
        <v>145</v>
      </c>
      <c r="C12" s="114">
        <v>0</v>
      </c>
      <c r="D12" s="114"/>
    </row>
    <row r="13" spans="1:16" x14ac:dyDescent="0.25">
      <c r="A13" s="114"/>
      <c r="B13" s="114" t="s">
        <v>49</v>
      </c>
      <c r="C13" s="114">
        <v>0</v>
      </c>
      <c r="D13" s="114"/>
    </row>
    <row r="14" spans="1:16" x14ac:dyDescent="0.25">
      <c r="A14" s="114"/>
      <c r="B14" s="114" t="s">
        <v>46</v>
      </c>
      <c r="C14" s="114">
        <v>0</v>
      </c>
      <c r="D14" s="114"/>
    </row>
    <row r="15" spans="1:16" x14ac:dyDescent="0.25">
      <c r="A15" s="114"/>
      <c r="B15" s="114" t="s">
        <v>62</v>
      </c>
      <c r="C15" s="114">
        <v>0</v>
      </c>
      <c r="D15" s="114"/>
    </row>
    <row r="16" spans="1:16" x14ac:dyDescent="0.25">
      <c r="A16" s="114"/>
      <c r="B16" s="114" t="s">
        <v>25</v>
      </c>
      <c r="C16" s="114">
        <v>0</v>
      </c>
      <c r="D16" s="114"/>
    </row>
    <row r="17" spans="1:4" x14ac:dyDescent="0.25">
      <c r="A17" s="114"/>
      <c r="B17" s="114" t="s">
        <v>43</v>
      </c>
      <c r="C17" s="114">
        <v>0</v>
      </c>
      <c r="D17" s="114"/>
    </row>
    <row r="18" spans="1:4" x14ac:dyDescent="0.25">
      <c r="A18" s="114"/>
      <c r="B18" s="114" t="s">
        <v>41</v>
      </c>
      <c r="C18" s="114">
        <v>0</v>
      </c>
      <c r="D18" s="114"/>
    </row>
    <row r="19" spans="1:4" x14ac:dyDescent="0.25">
      <c r="A19" s="114"/>
      <c r="B19" s="114" t="s">
        <v>70</v>
      </c>
      <c r="C19" s="114">
        <v>0</v>
      </c>
      <c r="D19" s="114"/>
    </row>
    <row r="20" spans="1:4" x14ac:dyDescent="0.25">
      <c r="A20" s="114"/>
      <c r="B20" s="114" t="s">
        <v>34</v>
      </c>
      <c r="C20" s="114">
        <v>0</v>
      </c>
      <c r="D20" s="114"/>
    </row>
    <row r="21" spans="1:4" x14ac:dyDescent="0.25">
      <c r="A21" s="114"/>
      <c r="B21" s="114" t="s">
        <v>30</v>
      </c>
      <c r="C21" s="114">
        <v>0</v>
      </c>
      <c r="D21" s="114"/>
    </row>
    <row r="22" spans="1:4" x14ac:dyDescent="0.25">
      <c r="A22" s="114"/>
      <c r="B22" s="114" t="s">
        <v>44</v>
      </c>
      <c r="C22" s="114">
        <v>0</v>
      </c>
      <c r="D22" s="114"/>
    </row>
    <row r="23" spans="1:4" x14ac:dyDescent="0.25">
      <c r="A23" s="114"/>
      <c r="B23" s="114" t="s">
        <v>47</v>
      </c>
      <c r="C23" s="114">
        <v>0</v>
      </c>
      <c r="D23" s="114"/>
    </row>
    <row r="24" spans="1:4" x14ac:dyDescent="0.25">
      <c r="A24" s="114"/>
      <c r="B24" s="114" t="s">
        <v>59</v>
      </c>
      <c r="C24" s="114">
        <v>0</v>
      </c>
      <c r="D24" s="114"/>
    </row>
    <row r="25" spans="1:4" x14ac:dyDescent="0.25">
      <c r="A25" s="114"/>
      <c r="B25" s="114" t="s">
        <v>53</v>
      </c>
      <c r="C25" s="114">
        <v>0</v>
      </c>
      <c r="D25" s="114"/>
    </row>
    <row r="26" spans="1:4" x14ac:dyDescent="0.25">
      <c r="A26" s="114"/>
      <c r="B26" s="114" t="s">
        <v>106</v>
      </c>
      <c r="C26" s="114">
        <v>0</v>
      </c>
      <c r="D26" s="114"/>
    </row>
    <row r="27" spans="1:4" x14ac:dyDescent="0.25">
      <c r="A27" s="114"/>
      <c r="B27" s="114" t="s">
        <v>50</v>
      </c>
      <c r="C27" s="114">
        <v>0</v>
      </c>
      <c r="D27" s="114"/>
    </row>
    <row r="28" spans="1:4" x14ac:dyDescent="0.25">
      <c r="A28" s="114"/>
      <c r="B28" s="114" t="s">
        <v>55</v>
      </c>
      <c r="C28" s="114">
        <v>0</v>
      </c>
      <c r="D28" s="114"/>
    </row>
    <row r="29" spans="1:4" x14ac:dyDescent="0.25">
      <c r="A29" s="114"/>
      <c r="B29" s="114" t="s">
        <v>56</v>
      </c>
      <c r="C29" s="114">
        <v>0</v>
      </c>
      <c r="D29" s="114"/>
    </row>
    <row r="30" spans="1:4" x14ac:dyDescent="0.25">
      <c r="A30" s="114"/>
      <c r="B30" s="114" t="s">
        <v>60</v>
      </c>
      <c r="C30" s="114">
        <v>0</v>
      </c>
      <c r="D30" s="114"/>
    </row>
    <row r="31" spans="1:4" x14ac:dyDescent="0.25">
      <c r="A31" s="114"/>
      <c r="B31" s="114" t="s">
        <v>88</v>
      </c>
      <c r="C31" s="114">
        <v>0</v>
      </c>
      <c r="D31" s="114"/>
    </row>
    <row r="32" spans="1:4" x14ac:dyDescent="0.25">
      <c r="A32" s="114"/>
      <c r="B32" s="114" t="s">
        <v>77</v>
      </c>
      <c r="C32" s="114">
        <v>0</v>
      </c>
      <c r="D32" s="114"/>
    </row>
    <row r="33" spans="1:4" x14ac:dyDescent="0.25">
      <c r="A33" s="114"/>
      <c r="B33" s="114" t="s">
        <v>74</v>
      </c>
      <c r="C33" s="114">
        <v>0</v>
      </c>
      <c r="D33" s="114"/>
    </row>
    <row r="34" spans="1:4" x14ac:dyDescent="0.25">
      <c r="A34" s="114"/>
      <c r="B34" s="114" t="s">
        <v>71</v>
      </c>
      <c r="C34" s="114">
        <v>0</v>
      </c>
      <c r="D34" s="114"/>
    </row>
    <row r="35" spans="1:4" x14ac:dyDescent="0.25">
      <c r="A35" s="114"/>
      <c r="B35" s="114" t="s">
        <v>152</v>
      </c>
      <c r="C35" s="114">
        <v>0</v>
      </c>
      <c r="D35" s="114"/>
    </row>
    <row r="36" spans="1:4" x14ac:dyDescent="0.25">
      <c r="A36" s="114"/>
      <c r="B36" s="114" t="s">
        <v>149</v>
      </c>
      <c r="C36" s="114">
        <v>0</v>
      </c>
      <c r="D36" s="114"/>
    </row>
    <row r="37" spans="1:4" x14ac:dyDescent="0.25">
      <c r="A37" s="114"/>
      <c r="B37" s="114" t="s">
        <v>66</v>
      </c>
      <c r="C37" s="114">
        <v>0</v>
      </c>
      <c r="D37" s="114"/>
    </row>
    <row r="38" spans="1:4" x14ac:dyDescent="0.25">
      <c r="A38" s="114"/>
      <c r="B38" s="114" t="s">
        <v>86</v>
      </c>
      <c r="C38" s="114">
        <v>0</v>
      </c>
      <c r="D38" s="114"/>
    </row>
    <row r="39" spans="1:4" x14ac:dyDescent="0.25">
      <c r="A39" s="114"/>
      <c r="B39" s="114" t="s">
        <v>102</v>
      </c>
      <c r="C39" s="114">
        <v>0</v>
      </c>
      <c r="D39" s="114"/>
    </row>
    <row r="40" spans="1:4" x14ac:dyDescent="0.25">
      <c r="A40" s="114"/>
      <c r="B40" s="114" t="s">
        <v>117</v>
      </c>
      <c r="C40" s="114">
        <v>0</v>
      </c>
      <c r="D40" s="114"/>
    </row>
    <row r="41" spans="1:4" x14ac:dyDescent="0.25">
      <c r="A41" s="114"/>
      <c r="B41" s="114" t="s">
        <v>63</v>
      </c>
      <c r="C41" s="114">
        <v>0</v>
      </c>
      <c r="D41" s="114"/>
    </row>
    <row r="42" spans="1:4" x14ac:dyDescent="0.25">
      <c r="A42" s="114"/>
      <c r="B42" s="114" t="s">
        <v>78</v>
      </c>
      <c r="C42" s="114">
        <v>0</v>
      </c>
      <c r="D42" s="114"/>
    </row>
    <row r="43" spans="1:4" x14ac:dyDescent="0.25">
      <c r="A43" s="114"/>
      <c r="B43" s="114" t="s">
        <v>92</v>
      </c>
      <c r="C43" s="114">
        <v>0</v>
      </c>
      <c r="D43" s="114"/>
    </row>
    <row r="44" spans="1:4" x14ac:dyDescent="0.25">
      <c r="A44" s="114"/>
      <c r="B44" s="114" t="s">
        <v>81</v>
      </c>
      <c r="C44" s="114">
        <v>0</v>
      </c>
      <c r="D44" s="114"/>
    </row>
    <row r="45" spans="1:4" x14ac:dyDescent="0.25">
      <c r="A45" s="114"/>
      <c r="B45" s="114" t="s">
        <v>93</v>
      </c>
      <c r="C45" s="114">
        <v>0</v>
      </c>
      <c r="D45" s="114"/>
    </row>
    <row r="46" spans="1:4" x14ac:dyDescent="0.25">
      <c r="A46" s="114"/>
      <c r="B46" s="114" t="s">
        <v>67</v>
      </c>
      <c r="C46" s="114">
        <v>0</v>
      </c>
      <c r="D46" s="114"/>
    </row>
    <row r="47" spans="1:4" x14ac:dyDescent="0.25">
      <c r="A47" s="114"/>
      <c r="B47" s="114" t="s">
        <v>75</v>
      </c>
      <c r="C47" s="114">
        <v>0</v>
      </c>
      <c r="D47" s="114"/>
    </row>
    <row r="48" spans="1:4" x14ac:dyDescent="0.25">
      <c r="A48" s="114"/>
      <c r="B48" s="114" t="s">
        <v>150</v>
      </c>
      <c r="C48" s="114">
        <v>0</v>
      </c>
      <c r="D48" s="114"/>
    </row>
    <row r="49" spans="1:4" x14ac:dyDescent="0.25">
      <c r="A49" s="114"/>
      <c r="B49" s="114" t="s">
        <v>110</v>
      </c>
      <c r="C49" s="114">
        <v>0</v>
      </c>
      <c r="D49" s="114"/>
    </row>
    <row r="50" spans="1:4" x14ac:dyDescent="0.25">
      <c r="A50" s="114"/>
      <c r="B50" s="114" t="s">
        <v>114</v>
      </c>
      <c r="C50" s="114">
        <v>0</v>
      </c>
      <c r="D50" s="114"/>
    </row>
    <row r="51" spans="1:4" x14ac:dyDescent="0.25">
      <c r="A51" s="114"/>
      <c r="B51" s="114" t="s">
        <v>99</v>
      </c>
      <c r="C51" s="114">
        <v>0</v>
      </c>
      <c r="D51" s="114"/>
    </row>
    <row r="52" spans="1:4" x14ac:dyDescent="0.25">
      <c r="A52" s="114"/>
      <c r="B52" s="114" t="s">
        <v>111</v>
      </c>
      <c r="C52" s="114">
        <v>0</v>
      </c>
      <c r="D52" s="114"/>
    </row>
    <row r="53" spans="1:4" x14ac:dyDescent="0.25">
      <c r="A53" s="114"/>
      <c r="B53" s="114" t="s">
        <v>107</v>
      </c>
      <c r="C53" s="114">
        <v>0</v>
      </c>
      <c r="D53" s="114"/>
    </row>
    <row r="54" spans="1:4" x14ac:dyDescent="0.25">
      <c r="A54" s="114"/>
      <c r="B54" s="114" t="s">
        <v>37</v>
      </c>
      <c r="C54" s="114">
        <v>0</v>
      </c>
      <c r="D54" s="114"/>
    </row>
    <row r="55" spans="1:4" x14ac:dyDescent="0.25">
      <c r="A55" s="114"/>
      <c r="B55" s="114" t="s">
        <v>48</v>
      </c>
      <c r="C55" s="114">
        <v>0</v>
      </c>
      <c r="D55" s="114"/>
    </row>
    <row r="56" spans="1:4" x14ac:dyDescent="0.25">
      <c r="A56" s="114"/>
      <c r="B56" s="114" t="s">
        <v>84</v>
      </c>
      <c r="C56" s="114">
        <v>0</v>
      </c>
      <c r="D56" s="114"/>
    </row>
    <row r="57" spans="1:4" x14ac:dyDescent="0.25">
      <c r="A57" s="114"/>
      <c r="B57" s="114" t="s">
        <v>42</v>
      </c>
      <c r="C57" s="114">
        <v>0</v>
      </c>
      <c r="D57" s="114"/>
    </row>
    <row r="58" spans="1:4" x14ac:dyDescent="0.25">
      <c r="A58" s="114"/>
      <c r="B58" s="114" t="s">
        <v>124</v>
      </c>
      <c r="C58" s="114">
        <v>0</v>
      </c>
      <c r="D58" s="114"/>
    </row>
    <row r="59" spans="1:4" x14ac:dyDescent="0.25">
      <c r="A59" s="114"/>
      <c r="B59" s="114" t="s">
        <v>45</v>
      </c>
      <c r="C59" s="114">
        <v>0</v>
      </c>
      <c r="D59" s="114"/>
    </row>
    <row r="60" spans="1:4" x14ac:dyDescent="0.25">
      <c r="A60" s="114"/>
      <c r="B60" s="114" t="s">
        <v>115</v>
      </c>
      <c r="C60" s="114">
        <v>0</v>
      </c>
      <c r="D60" s="114"/>
    </row>
    <row r="61" spans="1:4" x14ac:dyDescent="0.25">
      <c r="A61" s="114"/>
      <c r="B61" s="114" t="s">
        <v>57</v>
      </c>
      <c r="C61" s="114">
        <v>0</v>
      </c>
      <c r="D61" s="114"/>
    </row>
    <row r="62" spans="1:4" x14ac:dyDescent="0.25">
      <c r="A62" s="114"/>
      <c r="B62" s="114" t="s">
        <v>159</v>
      </c>
      <c r="C62" s="114">
        <v>0</v>
      </c>
      <c r="D62" s="114"/>
    </row>
    <row r="63" spans="1:4" x14ac:dyDescent="0.25">
      <c r="A63" s="114"/>
      <c r="B63" s="114" t="s">
        <v>80</v>
      </c>
      <c r="C63" s="114">
        <v>0</v>
      </c>
      <c r="D63" s="114"/>
    </row>
    <row r="64" spans="1:4" x14ac:dyDescent="0.25">
      <c r="A64" s="114"/>
      <c r="B64" s="114" t="s">
        <v>89</v>
      </c>
      <c r="C64" s="114">
        <v>0</v>
      </c>
      <c r="D64" s="114"/>
    </row>
    <row r="65" spans="1:4" x14ac:dyDescent="0.25">
      <c r="A65" s="114"/>
      <c r="B65" s="114" t="s">
        <v>51</v>
      </c>
      <c r="C65" s="114">
        <v>0</v>
      </c>
      <c r="D65" s="114"/>
    </row>
    <row r="66" spans="1:4" x14ac:dyDescent="0.25">
      <c r="A66" s="114"/>
      <c r="B66" s="114" t="s">
        <v>54</v>
      </c>
      <c r="C66" s="114">
        <v>0</v>
      </c>
      <c r="D66" s="114"/>
    </row>
    <row r="67" spans="1:4" x14ac:dyDescent="0.25">
      <c r="A67" s="114"/>
      <c r="B67" s="114" t="s">
        <v>127</v>
      </c>
      <c r="C67" s="114">
        <v>0</v>
      </c>
      <c r="D67" s="114"/>
    </row>
    <row r="68" spans="1:4" x14ac:dyDescent="0.25">
      <c r="A68" s="114"/>
      <c r="B68" s="114" t="s">
        <v>128</v>
      </c>
      <c r="C68" s="114">
        <v>0</v>
      </c>
      <c r="D68" s="114"/>
    </row>
    <row r="69" spans="1:4" x14ac:dyDescent="0.25">
      <c r="A69" s="114"/>
      <c r="B69" s="114" t="s">
        <v>100</v>
      </c>
      <c r="C69" s="114">
        <v>0</v>
      </c>
      <c r="D69" s="114"/>
    </row>
    <row r="70" spans="1:4" x14ac:dyDescent="0.25">
      <c r="A70" s="114"/>
      <c r="B70" s="114" t="s">
        <v>125</v>
      </c>
      <c r="C70" s="114">
        <v>0</v>
      </c>
      <c r="D70" s="114"/>
    </row>
    <row r="71" spans="1:4" x14ac:dyDescent="0.25">
      <c r="A71" s="114"/>
      <c r="B71" s="114" t="s">
        <v>95</v>
      </c>
      <c r="C71" s="114">
        <v>0</v>
      </c>
      <c r="D71" s="114"/>
    </row>
    <row r="72" spans="1:4" x14ac:dyDescent="0.25">
      <c r="A72" s="114"/>
      <c r="B72" s="114" t="s">
        <v>155</v>
      </c>
      <c r="C72" s="114">
        <v>0</v>
      </c>
      <c r="D72" s="114"/>
    </row>
    <row r="73" spans="1:4" x14ac:dyDescent="0.25">
      <c r="A73" s="114"/>
      <c r="B73" s="114" t="s">
        <v>61</v>
      </c>
      <c r="C73" s="114">
        <v>0</v>
      </c>
      <c r="D73" s="114"/>
    </row>
    <row r="74" spans="1:4" x14ac:dyDescent="0.25">
      <c r="A74" s="114"/>
      <c r="B74" s="114" t="s">
        <v>118</v>
      </c>
      <c r="C74" s="114">
        <v>0</v>
      </c>
      <c r="D74" s="114"/>
    </row>
    <row r="75" spans="1:4" x14ac:dyDescent="0.25">
      <c r="A75" s="114"/>
      <c r="B75" s="114" t="s">
        <v>65</v>
      </c>
      <c r="C75" s="114">
        <v>0</v>
      </c>
      <c r="D75" s="114"/>
    </row>
    <row r="76" spans="1:4" x14ac:dyDescent="0.25">
      <c r="A76" s="114"/>
      <c r="B76" s="114" t="s">
        <v>172</v>
      </c>
      <c r="C76" s="114">
        <v>0</v>
      </c>
      <c r="D76" s="114"/>
    </row>
    <row r="77" spans="1:4" x14ac:dyDescent="0.25">
      <c r="A77" s="114"/>
      <c r="B77" s="114" t="s">
        <v>162</v>
      </c>
      <c r="C77" s="114">
        <v>0</v>
      </c>
      <c r="D77" s="114"/>
    </row>
    <row r="78" spans="1:4" x14ac:dyDescent="0.25">
      <c r="A78" s="114"/>
      <c r="B78" s="114" t="s">
        <v>68</v>
      </c>
      <c r="C78" s="114">
        <v>0</v>
      </c>
      <c r="D78" s="114"/>
    </row>
    <row r="79" spans="1:4" x14ac:dyDescent="0.25">
      <c r="A79" s="114"/>
      <c r="B79" s="114" t="s">
        <v>166</v>
      </c>
      <c r="C79" s="114">
        <v>0</v>
      </c>
      <c r="D79" s="114"/>
    </row>
    <row r="80" spans="1:4" x14ac:dyDescent="0.25">
      <c r="A80" s="114"/>
      <c r="B80" s="114" t="s">
        <v>140</v>
      </c>
      <c r="C80" s="114">
        <v>0</v>
      </c>
      <c r="D80" s="114"/>
    </row>
    <row r="81" spans="1:4" x14ac:dyDescent="0.25">
      <c r="A81" s="114"/>
      <c r="B81" s="114" t="s">
        <v>132</v>
      </c>
      <c r="C81" s="114">
        <v>0</v>
      </c>
      <c r="D81" s="114"/>
    </row>
    <row r="82" spans="1:4" x14ac:dyDescent="0.25">
      <c r="A82" s="114"/>
      <c r="B82" s="114" t="s">
        <v>142</v>
      </c>
      <c r="C82" s="114">
        <v>0</v>
      </c>
      <c r="D82" s="114"/>
    </row>
    <row r="83" spans="1:4" x14ac:dyDescent="0.25">
      <c r="A83" s="114"/>
      <c r="B83" s="114" t="s">
        <v>96</v>
      </c>
      <c r="C83" s="114">
        <v>0</v>
      </c>
      <c r="D83" s="114"/>
    </row>
    <row r="84" spans="1:4" x14ac:dyDescent="0.25">
      <c r="A84" s="114"/>
      <c r="B84" s="114" t="s">
        <v>134</v>
      </c>
      <c r="C84" s="114">
        <v>0</v>
      </c>
      <c r="D84" s="114"/>
    </row>
    <row r="85" spans="1:4" x14ac:dyDescent="0.25">
      <c r="A85" s="114"/>
      <c r="B85" s="114" t="s">
        <v>169</v>
      </c>
      <c r="C85" s="114">
        <v>0</v>
      </c>
      <c r="D85" s="114"/>
    </row>
    <row r="86" spans="1:4" x14ac:dyDescent="0.25">
      <c r="A86" s="114"/>
      <c r="B86" s="114" t="s">
        <v>138</v>
      </c>
      <c r="C86" s="114">
        <v>0</v>
      </c>
      <c r="D86" s="114"/>
    </row>
    <row r="87" spans="1:4" x14ac:dyDescent="0.25">
      <c r="A87" s="114"/>
      <c r="B87" s="114" t="s">
        <v>175</v>
      </c>
      <c r="C87" s="114">
        <v>0</v>
      </c>
      <c r="D87" s="114"/>
    </row>
    <row r="88" spans="1:4" x14ac:dyDescent="0.25">
      <c r="A88" s="114"/>
      <c r="B88" s="114" t="s">
        <v>122</v>
      </c>
      <c r="C88" s="114">
        <v>0</v>
      </c>
      <c r="D88" s="114"/>
    </row>
    <row r="89" spans="1:4" x14ac:dyDescent="0.25">
      <c r="A89" s="114"/>
      <c r="B89" s="114" t="s">
        <v>137</v>
      </c>
      <c r="C89" s="114">
        <v>0</v>
      </c>
      <c r="D89" s="114"/>
    </row>
    <row r="90" spans="1:4" x14ac:dyDescent="0.25">
      <c r="A90" s="114"/>
      <c r="B90" s="114" t="s">
        <v>187</v>
      </c>
      <c r="C90" s="114">
        <v>0</v>
      </c>
      <c r="D90" s="114"/>
    </row>
    <row r="91" spans="1:4" x14ac:dyDescent="0.25">
      <c r="A91" s="114"/>
      <c r="B91" s="114" t="s">
        <v>168</v>
      </c>
      <c r="C91" s="114">
        <v>0</v>
      </c>
      <c r="D91" s="114"/>
    </row>
    <row r="92" spans="1:4" x14ac:dyDescent="0.25">
      <c r="A92" s="114"/>
      <c r="B92" s="114" t="s">
        <v>76</v>
      </c>
      <c r="C92" s="114">
        <v>0</v>
      </c>
      <c r="D92" s="114"/>
    </row>
    <row r="93" spans="1:4" x14ac:dyDescent="0.25">
      <c r="A93" s="114"/>
      <c r="B93" s="114" t="s">
        <v>143</v>
      </c>
      <c r="C93" s="114">
        <v>0</v>
      </c>
      <c r="D93" s="114"/>
    </row>
    <row r="94" spans="1:4" x14ac:dyDescent="0.25">
      <c r="A94" s="114"/>
      <c r="B94" s="114" t="s">
        <v>161</v>
      </c>
      <c r="C94" s="114">
        <v>0</v>
      </c>
      <c r="D94" s="114"/>
    </row>
    <row r="95" spans="1:4" x14ac:dyDescent="0.25">
      <c r="A95" s="114"/>
      <c r="B95" s="114" t="s">
        <v>131</v>
      </c>
      <c r="C95" s="114">
        <v>0</v>
      </c>
      <c r="D95" s="114"/>
    </row>
    <row r="96" spans="1:4" x14ac:dyDescent="0.25">
      <c r="A96" s="114"/>
      <c r="B96" s="114" t="s">
        <v>154</v>
      </c>
      <c r="C96" s="114">
        <v>0</v>
      </c>
      <c r="D96" s="114"/>
    </row>
    <row r="97" spans="1:4" x14ac:dyDescent="0.25">
      <c r="A97" s="114"/>
      <c r="B97" s="114" t="s">
        <v>144</v>
      </c>
      <c r="C97" s="114">
        <v>0</v>
      </c>
      <c r="D97" s="114"/>
    </row>
    <row r="98" spans="1:4" x14ac:dyDescent="0.25">
      <c r="A98" s="114"/>
      <c r="B98" s="114" t="s">
        <v>79</v>
      </c>
      <c r="C98" s="114">
        <v>0</v>
      </c>
      <c r="D98" s="114"/>
    </row>
    <row r="99" spans="1:4" x14ac:dyDescent="0.25">
      <c r="A99" s="114"/>
      <c r="B99" s="114" t="s">
        <v>72</v>
      </c>
      <c r="C99" s="114">
        <v>0</v>
      </c>
      <c r="D99" s="114"/>
    </row>
    <row r="100" spans="1:4" x14ac:dyDescent="0.25">
      <c r="A100" s="114"/>
      <c r="B100" s="114" t="s">
        <v>135</v>
      </c>
      <c r="C100" s="114">
        <v>0</v>
      </c>
      <c r="D100" s="114"/>
    </row>
    <row r="101" spans="1:4" x14ac:dyDescent="0.25">
      <c r="A101" s="114"/>
      <c r="B101" s="114" t="s">
        <v>103</v>
      </c>
      <c r="C101" s="114">
        <v>0</v>
      </c>
      <c r="D101" s="114"/>
    </row>
    <row r="102" spans="1:4" x14ac:dyDescent="0.25">
      <c r="A102" s="114"/>
      <c r="B102" s="114" t="s">
        <v>179</v>
      </c>
      <c r="C102" s="114">
        <v>0</v>
      </c>
      <c r="D102" s="114"/>
    </row>
    <row r="103" spans="1:4" x14ac:dyDescent="0.25">
      <c r="A103" s="114"/>
      <c r="B103" s="114" t="s">
        <v>139</v>
      </c>
      <c r="C103" s="114">
        <v>0</v>
      </c>
      <c r="D103" s="114"/>
    </row>
    <row r="104" spans="1:4" x14ac:dyDescent="0.25">
      <c r="A104" s="114"/>
      <c r="B104" s="114" t="s">
        <v>178</v>
      </c>
      <c r="C104" s="114">
        <v>0</v>
      </c>
      <c r="D104" s="114"/>
    </row>
    <row r="105" spans="1:4" x14ac:dyDescent="0.25">
      <c r="A105" s="114"/>
      <c r="B105" s="114" t="s">
        <v>171</v>
      </c>
      <c r="C105" s="114">
        <v>0</v>
      </c>
      <c r="D105" s="114"/>
    </row>
    <row r="106" spans="1:4" x14ac:dyDescent="0.25">
      <c r="A106" s="114"/>
      <c r="B106" s="114" t="s">
        <v>170</v>
      </c>
      <c r="C106" s="114">
        <v>0</v>
      </c>
      <c r="D106" s="114"/>
    </row>
    <row r="107" spans="1:4" x14ac:dyDescent="0.25">
      <c r="A107" s="114"/>
      <c r="B107" s="114" t="s">
        <v>192</v>
      </c>
      <c r="C107" s="114">
        <v>0</v>
      </c>
      <c r="D107" s="114"/>
    </row>
    <row r="108" spans="1:4" x14ac:dyDescent="0.25">
      <c r="A108" s="114"/>
      <c r="B108" s="114" t="s">
        <v>189</v>
      </c>
      <c r="C108" s="114">
        <v>0</v>
      </c>
      <c r="D108" s="114"/>
    </row>
    <row r="109" spans="1:4" x14ac:dyDescent="0.25">
      <c r="A109" s="114"/>
      <c r="B109" s="114" t="s">
        <v>205</v>
      </c>
      <c r="C109" s="114">
        <v>0</v>
      </c>
      <c r="D109" s="114"/>
    </row>
    <row r="110" spans="1:4" x14ac:dyDescent="0.25">
      <c r="A110" s="114"/>
      <c r="B110" s="114" t="s">
        <v>151</v>
      </c>
      <c r="C110" s="114">
        <v>0</v>
      </c>
      <c r="D110" s="114"/>
    </row>
    <row r="111" spans="1:4" x14ac:dyDescent="0.25">
      <c r="A111" s="114"/>
      <c r="B111" s="114" t="s">
        <v>200</v>
      </c>
      <c r="C111" s="114">
        <v>0</v>
      </c>
      <c r="D111" s="114"/>
    </row>
    <row r="112" spans="1:4" x14ac:dyDescent="0.25">
      <c r="A112" s="114"/>
      <c r="B112" s="114" t="s">
        <v>174</v>
      </c>
      <c r="C112" s="114">
        <v>0</v>
      </c>
      <c r="D112" s="114"/>
    </row>
    <row r="113" spans="1:4" x14ac:dyDescent="0.25">
      <c r="A113" s="114"/>
      <c r="B113" s="114" t="s">
        <v>182</v>
      </c>
      <c r="C113" s="114">
        <v>0</v>
      </c>
      <c r="D113" s="114"/>
    </row>
    <row r="114" spans="1:4" x14ac:dyDescent="0.25">
      <c r="A114" s="114"/>
      <c r="B114" s="114" t="s">
        <v>141</v>
      </c>
      <c r="C114" s="114">
        <v>0</v>
      </c>
      <c r="D114" s="114"/>
    </row>
    <row r="115" spans="1:4" x14ac:dyDescent="0.25">
      <c r="A115" s="114"/>
      <c r="B115" s="114" t="s">
        <v>146</v>
      </c>
      <c r="C115" s="114">
        <v>0</v>
      </c>
      <c r="D115" s="114"/>
    </row>
    <row r="116" spans="1:4" x14ac:dyDescent="0.25">
      <c r="A116" s="114"/>
      <c r="B116" s="114" t="s">
        <v>198</v>
      </c>
      <c r="C116" s="114">
        <v>0</v>
      </c>
      <c r="D116" s="114"/>
    </row>
    <row r="117" spans="1:4" x14ac:dyDescent="0.25">
      <c r="A117" s="114"/>
      <c r="B117" s="114" t="s">
        <v>190</v>
      </c>
      <c r="C117" s="114">
        <v>0</v>
      </c>
      <c r="D117" s="114"/>
    </row>
    <row r="118" spans="1:4" x14ac:dyDescent="0.25">
      <c r="A118" s="114"/>
      <c r="B118" s="114" t="s">
        <v>193</v>
      </c>
      <c r="C118" s="114">
        <v>0</v>
      </c>
      <c r="D118" s="114"/>
    </row>
    <row r="119" spans="1:4" x14ac:dyDescent="0.25">
      <c r="A119" s="114"/>
      <c r="B119" s="114" t="s">
        <v>167</v>
      </c>
      <c r="C119" s="114">
        <v>0</v>
      </c>
      <c r="D119" s="114"/>
    </row>
    <row r="120" spans="1:4" x14ac:dyDescent="0.25">
      <c r="A120" s="114"/>
      <c r="B120" s="114" t="s">
        <v>148</v>
      </c>
      <c r="C120" s="114">
        <v>0</v>
      </c>
      <c r="D120" s="114"/>
    </row>
    <row r="121" spans="1:4" x14ac:dyDescent="0.25">
      <c r="A121" s="114"/>
      <c r="B121" s="114" t="s">
        <v>164</v>
      </c>
      <c r="C121" s="114">
        <v>0</v>
      </c>
      <c r="D121" s="114"/>
    </row>
    <row r="122" spans="1:4" x14ac:dyDescent="0.25">
      <c r="A122" s="114"/>
      <c r="B122" s="114" t="s">
        <v>173</v>
      </c>
      <c r="C122" s="114">
        <v>0</v>
      </c>
      <c r="D122" s="114"/>
    </row>
    <row r="123" spans="1:4" x14ac:dyDescent="0.25">
      <c r="A123" s="114"/>
      <c r="B123" s="114" t="s">
        <v>186</v>
      </c>
      <c r="C123" s="114">
        <v>0</v>
      </c>
      <c r="D123" s="114"/>
    </row>
    <row r="124" spans="1:4" x14ac:dyDescent="0.25">
      <c r="A124" s="114"/>
      <c r="B124" s="114" t="s">
        <v>121</v>
      </c>
      <c r="C124" s="114">
        <v>0</v>
      </c>
      <c r="D124" s="114"/>
    </row>
    <row r="125" spans="1:4" x14ac:dyDescent="0.25">
      <c r="A125" s="114"/>
      <c r="B125" s="114" t="s">
        <v>153</v>
      </c>
      <c r="C125" s="114">
        <v>0</v>
      </c>
      <c r="D125" s="114"/>
    </row>
    <row r="126" spans="1:4" x14ac:dyDescent="0.25">
      <c r="A126" s="114"/>
      <c r="B126" s="114" t="s">
        <v>158</v>
      </c>
      <c r="C126" s="114">
        <v>0</v>
      </c>
      <c r="D126" s="114"/>
    </row>
    <row r="127" spans="1:4" x14ac:dyDescent="0.25">
      <c r="A127" s="114"/>
      <c r="B127" s="114" t="s">
        <v>196</v>
      </c>
      <c r="C127" s="114">
        <v>0</v>
      </c>
      <c r="D127" s="114"/>
    </row>
    <row r="128" spans="1:4" x14ac:dyDescent="0.25">
      <c r="A128" s="114"/>
      <c r="B128" s="114" t="s">
        <v>165</v>
      </c>
      <c r="C128" s="114">
        <v>0</v>
      </c>
      <c r="D128" s="114"/>
    </row>
    <row r="129" spans="1:4" x14ac:dyDescent="0.25">
      <c r="A129" s="114"/>
      <c r="B129" s="114" t="s">
        <v>82</v>
      </c>
      <c r="C129" s="114">
        <v>0</v>
      </c>
      <c r="D129" s="114"/>
    </row>
    <row r="130" spans="1:4" x14ac:dyDescent="0.25">
      <c r="A130" s="114"/>
      <c r="B130" s="114" t="s">
        <v>208</v>
      </c>
      <c r="C130" s="114">
        <v>0</v>
      </c>
      <c r="D130" s="114"/>
    </row>
    <row r="131" spans="1:4" x14ac:dyDescent="0.25">
      <c r="A131" s="114"/>
      <c r="B131" s="114" t="s">
        <v>195</v>
      </c>
      <c r="C131" s="114">
        <v>0</v>
      </c>
      <c r="D131" s="114"/>
    </row>
    <row r="132" spans="1:4" x14ac:dyDescent="0.25">
      <c r="A132" s="114"/>
      <c r="B132" s="114" t="s">
        <v>184</v>
      </c>
      <c r="C132" s="114">
        <v>0</v>
      </c>
      <c r="D132" s="114"/>
    </row>
    <row r="133" spans="1:4" x14ac:dyDescent="0.25">
      <c r="A133" s="114"/>
      <c r="B133" s="114" t="s">
        <v>231</v>
      </c>
      <c r="C133" s="114">
        <v>0</v>
      </c>
      <c r="D133" s="114"/>
    </row>
    <row r="134" spans="1:4" x14ac:dyDescent="0.25">
      <c r="A134" s="114"/>
      <c r="B134" s="114" t="s">
        <v>211</v>
      </c>
      <c r="C134" s="114">
        <v>0</v>
      </c>
      <c r="D134" s="114"/>
    </row>
    <row r="135" spans="1:4" x14ac:dyDescent="0.25">
      <c r="A135" s="114"/>
      <c r="B135" s="114" t="s">
        <v>217</v>
      </c>
      <c r="C135" s="114">
        <v>0</v>
      </c>
      <c r="D135" s="114"/>
    </row>
    <row r="136" spans="1:4" x14ac:dyDescent="0.25">
      <c r="A136" s="114"/>
      <c r="B136" s="114" t="s">
        <v>225</v>
      </c>
      <c r="C136" s="114">
        <v>0</v>
      </c>
      <c r="D136" s="114"/>
    </row>
    <row r="137" spans="1:4" x14ac:dyDescent="0.25">
      <c r="A137" s="114"/>
      <c r="B137" s="114" t="s">
        <v>160</v>
      </c>
      <c r="C137" s="114">
        <v>0</v>
      </c>
      <c r="D137" s="114"/>
    </row>
    <row r="138" spans="1:4" x14ac:dyDescent="0.25">
      <c r="A138" s="114"/>
      <c r="B138" s="114" t="s">
        <v>180</v>
      </c>
      <c r="C138" s="114">
        <v>0</v>
      </c>
      <c r="D138" s="114"/>
    </row>
    <row r="139" spans="1:4" x14ac:dyDescent="0.25">
      <c r="A139" s="114"/>
      <c r="B139" s="114" t="s">
        <v>202</v>
      </c>
      <c r="C139" s="114">
        <v>0</v>
      </c>
      <c r="D139" s="114"/>
    </row>
    <row r="140" spans="1:4" x14ac:dyDescent="0.25">
      <c r="A140" s="114"/>
      <c r="B140" s="114" t="s">
        <v>87</v>
      </c>
      <c r="C140" s="114">
        <v>0</v>
      </c>
      <c r="D140" s="114"/>
    </row>
    <row r="141" spans="1:4" x14ac:dyDescent="0.25">
      <c r="A141" s="114"/>
      <c r="B141" s="114" t="s">
        <v>214</v>
      </c>
      <c r="C141" s="114">
        <v>0</v>
      </c>
      <c r="D141" s="114"/>
    </row>
    <row r="142" spans="1:4" x14ac:dyDescent="0.25">
      <c r="A142" s="114"/>
      <c r="B142" s="114" t="s">
        <v>209</v>
      </c>
      <c r="C142" s="114">
        <v>0</v>
      </c>
      <c r="D142" s="114"/>
    </row>
    <row r="143" spans="1:4" x14ac:dyDescent="0.25">
      <c r="A143" s="114"/>
      <c r="B143" s="114" t="s">
        <v>206</v>
      </c>
      <c r="C143" s="114">
        <v>0</v>
      </c>
      <c r="D143" s="114"/>
    </row>
    <row r="144" spans="1:4" x14ac:dyDescent="0.25">
      <c r="A144" s="114"/>
      <c r="B144" s="114" t="s">
        <v>185</v>
      </c>
      <c r="C144" s="114">
        <v>0</v>
      </c>
      <c r="D144" s="114"/>
    </row>
    <row r="145" spans="1:4" x14ac:dyDescent="0.25">
      <c r="A145" s="114"/>
      <c r="B145" s="114" t="s">
        <v>90</v>
      </c>
      <c r="C145" s="114">
        <v>0</v>
      </c>
      <c r="D145" s="114"/>
    </row>
    <row r="146" spans="1:4" x14ac:dyDescent="0.25">
      <c r="A146" s="114"/>
      <c r="B146" s="114" t="s">
        <v>203</v>
      </c>
      <c r="C146" s="114">
        <v>0</v>
      </c>
      <c r="D146" s="114"/>
    </row>
    <row r="147" spans="1:4" x14ac:dyDescent="0.25">
      <c r="A147" s="114"/>
      <c r="B147" s="114" t="s">
        <v>237</v>
      </c>
      <c r="C147" s="114">
        <v>0</v>
      </c>
      <c r="D147" s="114"/>
    </row>
    <row r="148" spans="1:4" x14ac:dyDescent="0.25">
      <c r="A148" s="114"/>
      <c r="B148" s="114" t="s">
        <v>212</v>
      </c>
      <c r="C148" s="114">
        <v>0</v>
      </c>
      <c r="D148" s="114"/>
    </row>
    <row r="149" spans="1:4" x14ac:dyDescent="0.25">
      <c r="A149" s="114"/>
      <c r="B149" s="114" t="s">
        <v>226</v>
      </c>
      <c r="C149" s="114">
        <v>0</v>
      </c>
      <c r="D149" s="114"/>
    </row>
    <row r="150" spans="1:4" x14ac:dyDescent="0.25">
      <c r="A150" s="114"/>
      <c r="B150" s="114" t="s">
        <v>215</v>
      </c>
      <c r="C150" s="114">
        <v>0</v>
      </c>
      <c r="D150" s="114"/>
    </row>
    <row r="151" spans="1:4" x14ac:dyDescent="0.25">
      <c r="A151" s="114"/>
      <c r="B151" s="114" t="s">
        <v>157</v>
      </c>
      <c r="C151" s="114">
        <v>0</v>
      </c>
      <c r="D151" s="114"/>
    </row>
    <row r="152" spans="1:4" x14ac:dyDescent="0.25">
      <c r="A152" s="114"/>
      <c r="B152" s="114" t="s">
        <v>94</v>
      </c>
      <c r="C152" s="114">
        <v>0</v>
      </c>
      <c r="D152" s="114"/>
    </row>
    <row r="153" spans="1:4" x14ac:dyDescent="0.25">
      <c r="A153" s="114"/>
      <c r="B153" s="114" t="s">
        <v>97</v>
      </c>
      <c r="C153" s="114">
        <v>0</v>
      </c>
      <c r="D153" s="114"/>
    </row>
    <row r="154" spans="1:4" x14ac:dyDescent="0.25">
      <c r="A154" s="114"/>
      <c r="B154" s="114" t="s">
        <v>218</v>
      </c>
      <c r="C154" s="114">
        <v>0</v>
      </c>
      <c r="D154" s="114"/>
    </row>
    <row r="155" spans="1:4" x14ac:dyDescent="0.25">
      <c r="A155" s="114"/>
      <c r="B155" s="114" t="s">
        <v>228</v>
      </c>
      <c r="C155" s="114">
        <v>0</v>
      </c>
      <c r="D155" s="114"/>
    </row>
    <row r="156" spans="1:4" x14ac:dyDescent="0.25">
      <c r="A156" s="114"/>
      <c r="B156" s="114" t="s">
        <v>101</v>
      </c>
      <c r="C156" s="114">
        <v>0</v>
      </c>
      <c r="D156" s="114"/>
    </row>
    <row r="157" spans="1:4" x14ac:dyDescent="0.25">
      <c r="A157" s="114"/>
      <c r="B157" s="114" t="s">
        <v>221</v>
      </c>
      <c r="C157" s="114">
        <v>0</v>
      </c>
      <c r="D157" s="114"/>
    </row>
    <row r="158" spans="1:4" x14ac:dyDescent="0.25">
      <c r="A158" s="114"/>
      <c r="B158" s="114" t="s">
        <v>104</v>
      </c>
      <c r="C158" s="114">
        <v>0</v>
      </c>
      <c r="D158" s="114"/>
    </row>
    <row r="159" spans="1:4" x14ac:dyDescent="0.25">
      <c r="A159" s="114"/>
      <c r="B159" s="114" t="s">
        <v>213</v>
      </c>
      <c r="C159" s="114">
        <v>0</v>
      </c>
      <c r="D159" s="114"/>
    </row>
    <row r="160" spans="1:4" x14ac:dyDescent="0.25">
      <c r="A160" s="114"/>
      <c r="B160" s="114" t="s">
        <v>207</v>
      </c>
      <c r="C160" s="114">
        <v>0</v>
      </c>
      <c r="D160" s="114"/>
    </row>
    <row r="161" spans="1:4" x14ac:dyDescent="0.25">
      <c r="A161" s="114"/>
      <c r="B161" s="114" t="s">
        <v>224</v>
      </c>
      <c r="C161" s="114">
        <v>0</v>
      </c>
      <c r="D161" s="114"/>
    </row>
    <row r="162" spans="1:4" x14ac:dyDescent="0.25">
      <c r="A162" s="114"/>
      <c r="B162" s="114" t="s">
        <v>210</v>
      </c>
      <c r="C162" s="114">
        <v>0</v>
      </c>
      <c r="D162" s="114"/>
    </row>
    <row r="163" spans="1:4" x14ac:dyDescent="0.25">
      <c r="A163" s="114"/>
      <c r="B163" s="114" t="s">
        <v>194</v>
      </c>
      <c r="C163" s="114">
        <v>0</v>
      </c>
      <c r="D163" s="114"/>
    </row>
    <row r="164" spans="1:4" x14ac:dyDescent="0.25">
      <c r="A164" s="114"/>
      <c r="B164" s="114" t="s">
        <v>238</v>
      </c>
      <c r="C164" s="114">
        <v>0</v>
      </c>
      <c r="D164" s="114"/>
    </row>
    <row r="165" spans="1:4" x14ac:dyDescent="0.25">
      <c r="A165" s="114"/>
      <c r="B165" s="114" t="s">
        <v>188</v>
      </c>
      <c r="C165" s="114">
        <v>0</v>
      </c>
      <c r="D165" s="114"/>
    </row>
    <row r="166" spans="1:4" x14ac:dyDescent="0.25">
      <c r="A166" s="114"/>
      <c r="B166" s="114" t="s">
        <v>201</v>
      </c>
      <c r="C166" s="114">
        <v>0</v>
      </c>
      <c r="D166" s="114"/>
    </row>
    <row r="167" spans="1:4" x14ac:dyDescent="0.25">
      <c r="A167" s="114"/>
      <c r="B167" s="114" t="s">
        <v>197</v>
      </c>
      <c r="C167" s="114">
        <v>0</v>
      </c>
      <c r="D167" s="114"/>
    </row>
    <row r="168" spans="1:4" x14ac:dyDescent="0.25">
      <c r="A168" s="114"/>
      <c r="B168" s="114" t="s">
        <v>229</v>
      </c>
      <c r="C168" s="114">
        <v>0</v>
      </c>
      <c r="D168" s="114"/>
    </row>
    <row r="169" spans="1:4" x14ac:dyDescent="0.25">
      <c r="A169" s="114"/>
      <c r="B169" s="114" t="s">
        <v>222</v>
      </c>
      <c r="C169" s="114">
        <v>0</v>
      </c>
      <c r="D169" s="114"/>
    </row>
    <row r="170" spans="1:4" x14ac:dyDescent="0.25">
      <c r="A170" s="114"/>
      <c r="B170" s="114" t="s">
        <v>219</v>
      </c>
      <c r="C170" s="114">
        <v>0</v>
      </c>
      <c r="D170" s="114"/>
    </row>
    <row r="171" spans="1:4" x14ac:dyDescent="0.25">
      <c r="A171" s="114"/>
      <c r="B171" s="114" t="s">
        <v>176</v>
      </c>
      <c r="C171" s="114">
        <v>0</v>
      </c>
      <c r="D171" s="114"/>
    </row>
    <row r="172" spans="1:4" x14ac:dyDescent="0.25">
      <c r="A172" s="114"/>
      <c r="B172" s="114" t="s">
        <v>108</v>
      </c>
      <c r="C172" s="114">
        <v>0</v>
      </c>
      <c r="D172" s="114"/>
    </row>
    <row r="173" spans="1:4" x14ac:dyDescent="0.25">
      <c r="A173" s="114"/>
      <c r="B173" s="114" t="s">
        <v>112</v>
      </c>
      <c r="C173" s="114">
        <v>0</v>
      </c>
      <c r="D173" s="114"/>
    </row>
    <row r="174" spans="1:4" x14ac:dyDescent="0.25">
      <c r="A174" s="114"/>
      <c r="B174" s="114" t="s">
        <v>129</v>
      </c>
      <c r="C174" s="114">
        <v>0</v>
      </c>
      <c r="D174" s="114"/>
    </row>
    <row r="175" spans="1:4" x14ac:dyDescent="0.25">
      <c r="A175" s="114"/>
      <c r="B175" s="114" t="s">
        <v>116</v>
      </c>
      <c r="C175" s="114">
        <v>0</v>
      </c>
      <c r="D175" s="114"/>
    </row>
    <row r="176" spans="1:4" x14ac:dyDescent="0.25">
      <c r="A176" s="114"/>
      <c r="B176" s="114" t="s">
        <v>126</v>
      </c>
      <c r="C176" s="114">
        <v>0</v>
      </c>
      <c r="D176" s="114"/>
    </row>
    <row r="177" spans="1:4" x14ac:dyDescent="0.25">
      <c r="A177" s="114"/>
      <c r="B177" s="114" t="s">
        <v>119</v>
      </c>
      <c r="C177" s="114">
        <v>0</v>
      </c>
      <c r="D177" s="114"/>
    </row>
    <row r="178" spans="1:4" x14ac:dyDescent="0.25">
      <c r="A178" s="114"/>
      <c r="B178" s="114" t="s">
        <v>123</v>
      </c>
      <c r="C178" s="114">
        <v>0</v>
      </c>
      <c r="D178" s="114"/>
    </row>
    <row r="179" spans="1:4" x14ac:dyDescent="0.25">
      <c r="A179" s="114"/>
      <c r="B179" s="114" t="s">
        <v>133</v>
      </c>
      <c r="C179" s="114">
        <v>0</v>
      </c>
      <c r="D179" s="114"/>
    </row>
    <row r="180" spans="1:4" x14ac:dyDescent="0.25">
      <c r="A180" s="114"/>
      <c r="B180" s="114" t="s">
        <v>258</v>
      </c>
      <c r="C180" s="114">
        <v>0</v>
      </c>
      <c r="D180" s="114"/>
    </row>
    <row r="181" spans="1:4" x14ac:dyDescent="0.25">
      <c r="A181" s="114"/>
      <c r="B181" s="114" t="s">
        <v>220</v>
      </c>
      <c r="C181" s="114">
        <v>0</v>
      </c>
      <c r="D181" s="114"/>
    </row>
    <row r="182" spans="1:4" x14ac:dyDescent="0.25">
      <c r="A182" s="114"/>
      <c r="B182" s="114" t="s">
        <v>223</v>
      </c>
      <c r="C182" s="114">
        <v>0</v>
      </c>
      <c r="D182" s="114"/>
    </row>
    <row r="183" spans="1:4" x14ac:dyDescent="0.25">
      <c r="A183" s="114"/>
      <c r="B183" s="114" t="s">
        <v>136</v>
      </c>
      <c r="C183" s="114">
        <v>0</v>
      </c>
      <c r="D183" s="114"/>
    </row>
    <row r="184" spans="1:4" x14ac:dyDescent="0.25">
      <c r="A184" s="114"/>
      <c r="B184" s="114" t="s">
        <v>216</v>
      </c>
      <c r="C184" s="114">
        <v>0</v>
      </c>
      <c r="D184" s="114"/>
    </row>
    <row r="185" spans="1:4" x14ac:dyDescent="0.25">
      <c r="A185" s="114"/>
      <c r="B185" s="114" t="s">
        <v>191</v>
      </c>
      <c r="C185" s="114">
        <v>0</v>
      </c>
      <c r="D185" s="114"/>
    </row>
    <row r="186" spans="1:4" x14ac:dyDescent="0.25">
      <c r="A186" s="114"/>
      <c r="B186" s="114" t="s">
        <v>204</v>
      </c>
      <c r="C186" s="114">
        <v>0</v>
      </c>
      <c r="D186" s="114"/>
    </row>
    <row r="187" spans="1:4" x14ac:dyDescent="0.25">
      <c r="A187" s="114"/>
      <c r="B187" s="114"/>
      <c r="C187" s="114">
        <v>0</v>
      </c>
      <c r="D187" s="114"/>
    </row>
    <row r="188" spans="1:4" x14ac:dyDescent="0.25">
      <c r="A188" s="114"/>
      <c r="B188" s="114"/>
      <c r="C188" s="114">
        <v>0</v>
      </c>
      <c r="D188" s="114"/>
    </row>
    <row r="189" spans="1:4" x14ac:dyDescent="0.25">
      <c r="A189" s="114"/>
      <c r="B189" s="114"/>
      <c r="C189" s="114">
        <v>0</v>
      </c>
      <c r="D189" s="114"/>
    </row>
    <row r="190" spans="1:4" x14ac:dyDescent="0.25">
      <c r="A190" s="114"/>
      <c r="B190" s="114"/>
      <c r="C190" s="114">
        <v>0</v>
      </c>
      <c r="D190" s="114"/>
    </row>
    <row r="191" spans="1:4" x14ac:dyDescent="0.25">
      <c r="A191" s="114"/>
      <c r="B191" s="114"/>
      <c r="C191" s="114">
        <v>0</v>
      </c>
      <c r="D191" s="114"/>
    </row>
    <row r="192" spans="1:4" x14ac:dyDescent="0.25">
      <c r="A192" s="114"/>
      <c r="B192" s="114"/>
      <c r="C192" s="114">
        <v>0</v>
      </c>
      <c r="D192" s="114"/>
    </row>
    <row r="193" spans="1:4" x14ac:dyDescent="0.25">
      <c r="A193" s="114"/>
      <c r="B193" s="114"/>
      <c r="C193" s="114">
        <v>0</v>
      </c>
      <c r="D193" s="114"/>
    </row>
    <row r="194" spans="1:4" x14ac:dyDescent="0.25">
      <c r="A194" s="114"/>
      <c r="B194" s="114"/>
      <c r="C194" s="114">
        <v>0</v>
      </c>
      <c r="D194" s="114"/>
    </row>
    <row r="195" spans="1:4" x14ac:dyDescent="0.25">
      <c r="A195" s="114"/>
      <c r="B195" s="114"/>
      <c r="C195" s="114">
        <v>0</v>
      </c>
      <c r="D195" s="114"/>
    </row>
    <row r="196" spans="1:4" x14ac:dyDescent="0.25">
      <c r="C196" s="114">
        <v>0</v>
      </c>
    </row>
    <row r="197" spans="1:4" x14ac:dyDescent="0.25">
      <c r="C197" s="114">
        <v>0</v>
      </c>
    </row>
    <row r="198" spans="1:4" x14ac:dyDescent="0.25">
      <c r="C198" s="114">
        <v>0</v>
      </c>
    </row>
    <row r="199" spans="1:4" x14ac:dyDescent="0.25">
      <c r="C199" s="114">
        <v>0</v>
      </c>
    </row>
    <row r="200" spans="1:4" x14ac:dyDescent="0.25">
      <c r="C200" s="114">
        <v>0</v>
      </c>
    </row>
    <row r="201" spans="1:4" x14ac:dyDescent="0.25">
      <c r="C201" s="114">
        <v>0</v>
      </c>
    </row>
    <row r="202" spans="1:4" x14ac:dyDescent="0.25">
      <c r="C202" s="114">
        <v>0</v>
      </c>
    </row>
    <row r="203" spans="1:4" x14ac:dyDescent="0.25">
      <c r="C203" s="114">
        <v>0</v>
      </c>
    </row>
    <row r="204" spans="1:4" x14ac:dyDescent="0.25">
      <c r="C204" s="114">
        <v>0</v>
      </c>
    </row>
    <row r="205" spans="1:4" x14ac:dyDescent="0.25">
      <c r="C205" s="114">
        <v>0</v>
      </c>
    </row>
    <row r="206" spans="1:4" x14ac:dyDescent="0.25">
      <c r="C206" s="114">
        <v>0</v>
      </c>
    </row>
    <row r="207" spans="1:4" x14ac:dyDescent="0.25">
      <c r="C207" s="114">
        <v>0</v>
      </c>
    </row>
    <row r="208" spans="1:4" x14ac:dyDescent="0.25">
      <c r="C208" s="114">
        <v>0</v>
      </c>
    </row>
    <row r="209" spans="3:3" x14ac:dyDescent="0.25">
      <c r="C209" s="114">
        <v>0</v>
      </c>
    </row>
    <row r="210" spans="3:3" x14ac:dyDescent="0.25">
      <c r="C210" s="114">
        <v>0</v>
      </c>
    </row>
    <row r="211" spans="3:3" x14ac:dyDescent="0.25">
      <c r="C211" s="114">
        <v>0</v>
      </c>
    </row>
    <row r="212" spans="3:3" x14ac:dyDescent="0.25">
      <c r="C212" s="114">
        <v>0</v>
      </c>
    </row>
    <row r="213" spans="3:3" x14ac:dyDescent="0.25">
      <c r="C213" s="114">
        <v>0</v>
      </c>
    </row>
    <row r="214" spans="3:3" x14ac:dyDescent="0.25">
      <c r="C214" s="114">
        <v>0</v>
      </c>
    </row>
    <row r="215" spans="3:3" x14ac:dyDescent="0.25">
      <c r="C215" s="114">
        <v>0</v>
      </c>
    </row>
    <row r="216" spans="3:3" x14ac:dyDescent="0.25">
      <c r="C216" s="114">
        <v>0</v>
      </c>
    </row>
    <row r="217" spans="3:3" x14ac:dyDescent="0.25">
      <c r="C217" s="114">
        <v>0</v>
      </c>
    </row>
    <row r="218" spans="3:3" x14ac:dyDescent="0.25">
      <c r="C218" s="114">
        <v>0</v>
      </c>
    </row>
    <row r="219" spans="3:3" x14ac:dyDescent="0.25">
      <c r="C219" s="114">
        <v>0</v>
      </c>
    </row>
    <row r="220" spans="3:3" x14ac:dyDescent="0.25">
      <c r="C220" s="114">
        <v>0</v>
      </c>
    </row>
    <row r="221" spans="3:3" x14ac:dyDescent="0.25">
      <c r="C221" s="114">
        <v>0</v>
      </c>
    </row>
    <row r="222" spans="3:3" x14ac:dyDescent="0.25">
      <c r="C222" s="114">
        <v>0</v>
      </c>
    </row>
    <row r="223" spans="3:3" x14ac:dyDescent="0.25">
      <c r="C223" s="114">
        <v>0</v>
      </c>
    </row>
    <row r="224" spans="3:3" x14ac:dyDescent="0.25">
      <c r="C224" s="114">
        <v>0</v>
      </c>
    </row>
    <row r="225" spans="3:3" x14ac:dyDescent="0.25">
      <c r="C225" s="114">
        <v>0</v>
      </c>
    </row>
    <row r="226" spans="3:3" x14ac:dyDescent="0.25">
      <c r="C226" s="114">
        <v>0</v>
      </c>
    </row>
    <row r="227" spans="3:3" x14ac:dyDescent="0.25">
      <c r="C227" s="114">
        <v>0</v>
      </c>
    </row>
    <row r="228" spans="3:3" x14ac:dyDescent="0.25">
      <c r="C228" s="114">
        <v>0</v>
      </c>
    </row>
    <row r="229" spans="3:3" x14ac:dyDescent="0.25">
      <c r="C229" s="114">
        <v>0</v>
      </c>
    </row>
    <row r="230" spans="3:3" x14ac:dyDescent="0.25">
      <c r="C230" s="114">
        <v>0</v>
      </c>
    </row>
    <row r="231" spans="3:3" x14ac:dyDescent="0.25">
      <c r="C231" s="114">
        <v>0</v>
      </c>
    </row>
    <row r="232" spans="3:3" x14ac:dyDescent="0.25">
      <c r="C232" s="114">
        <v>0</v>
      </c>
    </row>
    <row r="233" spans="3:3" x14ac:dyDescent="0.25">
      <c r="C233" s="114">
        <v>0</v>
      </c>
    </row>
    <row r="234" spans="3:3" x14ac:dyDescent="0.25">
      <c r="C234" s="114">
        <v>0</v>
      </c>
    </row>
    <row r="235" spans="3:3" x14ac:dyDescent="0.25">
      <c r="C235" s="114">
        <v>0</v>
      </c>
    </row>
    <row r="236" spans="3:3" x14ac:dyDescent="0.25">
      <c r="C236" s="114">
        <v>0</v>
      </c>
    </row>
    <row r="237" spans="3:3" x14ac:dyDescent="0.25">
      <c r="C237" s="114">
        <v>0</v>
      </c>
    </row>
    <row r="238" spans="3:3" x14ac:dyDescent="0.25">
      <c r="C238" s="114">
        <v>0</v>
      </c>
    </row>
    <row r="239" spans="3:3" x14ac:dyDescent="0.25">
      <c r="C239" s="114">
        <v>0</v>
      </c>
    </row>
    <row r="240" spans="3:3" x14ac:dyDescent="0.25">
      <c r="C240" s="114">
        <v>0</v>
      </c>
    </row>
    <row r="241" spans="3:3" x14ac:dyDescent="0.25">
      <c r="C241" s="114">
        <v>0</v>
      </c>
    </row>
    <row r="242" spans="3:3" x14ac:dyDescent="0.25">
      <c r="C242" s="114">
        <v>0</v>
      </c>
    </row>
    <row r="243" spans="3:3" x14ac:dyDescent="0.25">
      <c r="C243" s="114">
        <v>0</v>
      </c>
    </row>
    <row r="244" spans="3:3" x14ac:dyDescent="0.25">
      <c r="C244" s="114">
        <v>0</v>
      </c>
    </row>
    <row r="245" spans="3:3" x14ac:dyDescent="0.25">
      <c r="C245" s="114">
        <v>0</v>
      </c>
    </row>
    <row r="246" spans="3:3" x14ac:dyDescent="0.25">
      <c r="C246" s="114">
        <v>0</v>
      </c>
    </row>
    <row r="247" spans="3:3" x14ac:dyDescent="0.25">
      <c r="C247" s="114">
        <v>0</v>
      </c>
    </row>
    <row r="248" spans="3:3" x14ac:dyDescent="0.25">
      <c r="C248" s="114">
        <v>0</v>
      </c>
    </row>
    <row r="249" spans="3:3" x14ac:dyDescent="0.25">
      <c r="C249" s="114">
        <v>0</v>
      </c>
    </row>
    <row r="250" spans="3:3" x14ac:dyDescent="0.25">
      <c r="C250" s="114">
        <v>0</v>
      </c>
    </row>
    <row r="251" spans="3:3" x14ac:dyDescent="0.25">
      <c r="C251" s="114">
        <v>0</v>
      </c>
    </row>
    <row r="252" spans="3:3" x14ac:dyDescent="0.25">
      <c r="C252" s="114">
        <v>0</v>
      </c>
    </row>
    <row r="253" spans="3:3" x14ac:dyDescent="0.25">
      <c r="C253" s="114">
        <v>0</v>
      </c>
    </row>
    <row r="254" spans="3:3" x14ac:dyDescent="0.25">
      <c r="C254" s="114">
        <v>0</v>
      </c>
    </row>
    <row r="255" spans="3:3" x14ac:dyDescent="0.25">
      <c r="C255" s="114">
        <v>0</v>
      </c>
    </row>
    <row r="256" spans="3:3" x14ac:dyDescent="0.25">
      <c r="C256" s="114">
        <v>0</v>
      </c>
    </row>
    <row r="257" spans="3:3" x14ac:dyDescent="0.25">
      <c r="C257" s="114">
        <v>0</v>
      </c>
    </row>
    <row r="258" spans="3:3" x14ac:dyDescent="0.25">
      <c r="C258" s="114">
        <v>0</v>
      </c>
    </row>
    <row r="259" spans="3:3" x14ac:dyDescent="0.25">
      <c r="C259" s="114">
        <v>0</v>
      </c>
    </row>
    <row r="260" spans="3:3" x14ac:dyDescent="0.25">
      <c r="C260" s="114">
        <v>0</v>
      </c>
    </row>
    <row r="261" spans="3:3" x14ac:dyDescent="0.25">
      <c r="C261" s="114">
        <v>0</v>
      </c>
    </row>
    <row r="262" spans="3:3" x14ac:dyDescent="0.25">
      <c r="C262" s="114">
        <v>0</v>
      </c>
    </row>
    <row r="263" spans="3:3" x14ac:dyDescent="0.25">
      <c r="C263" s="114">
        <v>0</v>
      </c>
    </row>
    <row r="264" spans="3:3" x14ac:dyDescent="0.25">
      <c r="C264" s="114">
        <v>0</v>
      </c>
    </row>
    <row r="265" spans="3:3" x14ac:dyDescent="0.25">
      <c r="C265" s="114">
        <v>0</v>
      </c>
    </row>
    <row r="266" spans="3:3" x14ac:dyDescent="0.25">
      <c r="C266" s="114">
        <v>0</v>
      </c>
    </row>
    <row r="267" spans="3:3" x14ac:dyDescent="0.25">
      <c r="C267" s="114">
        <v>0</v>
      </c>
    </row>
    <row r="268" spans="3:3" x14ac:dyDescent="0.25">
      <c r="C268" s="114">
        <v>0</v>
      </c>
    </row>
    <row r="269" spans="3:3" x14ac:dyDescent="0.25">
      <c r="C269" s="114">
        <v>0</v>
      </c>
    </row>
    <row r="270" spans="3:3" x14ac:dyDescent="0.25">
      <c r="C270" s="114">
        <v>0</v>
      </c>
    </row>
    <row r="271" spans="3:3" x14ac:dyDescent="0.25">
      <c r="C271" s="114">
        <v>0</v>
      </c>
    </row>
    <row r="272" spans="3:3" x14ac:dyDescent="0.25">
      <c r="C272" s="114">
        <v>0</v>
      </c>
    </row>
    <row r="273" spans="3:3" x14ac:dyDescent="0.25">
      <c r="C273" s="114">
        <v>0</v>
      </c>
    </row>
    <row r="274" spans="3:3" x14ac:dyDescent="0.25">
      <c r="C274" s="114">
        <v>0</v>
      </c>
    </row>
    <row r="275" spans="3:3" x14ac:dyDescent="0.25">
      <c r="C275" s="114">
        <v>0</v>
      </c>
    </row>
    <row r="276" spans="3:3" x14ac:dyDescent="0.25">
      <c r="C276" s="114">
        <v>0</v>
      </c>
    </row>
    <row r="277" spans="3:3" x14ac:dyDescent="0.25">
      <c r="C277" s="114">
        <v>0</v>
      </c>
    </row>
    <row r="278" spans="3:3" x14ac:dyDescent="0.25">
      <c r="C278" s="114">
        <v>0</v>
      </c>
    </row>
    <row r="279" spans="3:3" x14ac:dyDescent="0.25">
      <c r="C279" s="114">
        <v>0</v>
      </c>
    </row>
    <row r="280" spans="3:3" x14ac:dyDescent="0.25">
      <c r="C280" s="114">
        <v>0</v>
      </c>
    </row>
    <row r="281" spans="3:3" x14ac:dyDescent="0.25">
      <c r="C281" s="114">
        <v>0</v>
      </c>
    </row>
    <row r="282" spans="3:3" x14ac:dyDescent="0.25">
      <c r="C282" s="114">
        <v>0</v>
      </c>
    </row>
    <row r="283" spans="3:3" x14ac:dyDescent="0.25">
      <c r="C283" s="114">
        <v>0</v>
      </c>
    </row>
    <row r="284" spans="3:3" x14ac:dyDescent="0.25">
      <c r="C284" s="114">
        <v>0</v>
      </c>
    </row>
    <row r="285" spans="3:3" x14ac:dyDescent="0.25">
      <c r="C285" s="114">
        <v>0</v>
      </c>
    </row>
    <row r="286" spans="3:3" x14ac:dyDescent="0.25">
      <c r="C286" s="114">
        <v>0</v>
      </c>
    </row>
    <row r="287" spans="3:3" x14ac:dyDescent="0.25">
      <c r="C287" s="114">
        <v>0</v>
      </c>
    </row>
    <row r="288" spans="3:3" x14ac:dyDescent="0.25">
      <c r="C288" s="114">
        <v>0</v>
      </c>
    </row>
    <row r="289" spans="3:3" x14ac:dyDescent="0.25">
      <c r="C289" s="114">
        <v>0</v>
      </c>
    </row>
    <row r="290" spans="3:3" x14ac:dyDescent="0.25">
      <c r="C290" s="114">
        <v>0</v>
      </c>
    </row>
    <row r="291" spans="3:3" x14ac:dyDescent="0.25">
      <c r="C291" s="114">
        <v>0</v>
      </c>
    </row>
    <row r="292" spans="3:3" x14ac:dyDescent="0.25">
      <c r="C292" s="114">
        <v>0</v>
      </c>
    </row>
    <row r="293" spans="3:3" x14ac:dyDescent="0.25">
      <c r="C293" s="114">
        <v>0</v>
      </c>
    </row>
    <row r="294" spans="3:3" x14ac:dyDescent="0.25">
      <c r="C294" s="114">
        <v>0</v>
      </c>
    </row>
    <row r="295" spans="3:3" x14ac:dyDescent="0.25">
      <c r="C295" s="114">
        <v>0</v>
      </c>
    </row>
    <row r="296" spans="3:3" x14ac:dyDescent="0.25">
      <c r="C296" s="114">
        <v>0</v>
      </c>
    </row>
    <row r="297" spans="3:3" x14ac:dyDescent="0.25">
      <c r="C297" s="114">
        <v>0</v>
      </c>
    </row>
    <row r="298" spans="3:3" x14ac:dyDescent="0.25">
      <c r="C298" s="114">
        <v>0</v>
      </c>
    </row>
    <row r="299" spans="3:3" x14ac:dyDescent="0.25">
      <c r="C299" s="114">
        <v>0</v>
      </c>
    </row>
    <row r="300" spans="3:3" x14ac:dyDescent="0.25">
      <c r="C300" s="114">
        <v>0</v>
      </c>
    </row>
    <row r="301" spans="3:3" x14ac:dyDescent="0.25">
      <c r="C301" s="114">
        <v>0</v>
      </c>
    </row>
    <row r="302" spans="3:3" x14ac:dyDescent="0.25">
      <c r="C302" s="114">
        <v>0</v>
      </c>
    </row>
    <row r="303" spans="3:3" x14ac:dyDescent="0.25">
      <c r="C303" s="114">
        <v>0</v>
      </c>
    </row>
    <row r="304" spans="3:3" x14ac:dyDescent="0.25">
      <c r="C304" s="114">
        <v>0</v>
      </c>
    </row>
    <row r="305" spans="3:3" x14ac:dyDescent="0.25">
      <c r="C305" s="114">
        <v>0</v>
      </c>
    </row>
    <row r="306" spans="3:3" x14ac:dyDescent="0.25">
      <c r="C306" s="114">
        <v>0</v>
      </c>
    </row>
    <row r="307" spans="3:3" x14ac:dyDescent="0.25">
      <c r="C307" s="114">
        <v>0</v>
      </c>
    </row>
    <row r="308" spans="3:3" x14ac:dyDescent="0.25">
      <c r="C308" s="114">
        <v>0</v>
      </c>
    </row>
    <row r="309" spans="3:3" x14ac:dyDescent="0.25">
      <c r="C309" s="114">
        <v>0</v>
      </c>
    </row>
    <row r="310" spans="3:3" x14ac:dyDescent="0.25">
      <c r="C310" s="114">
        <v>0</v>
      </c>
    </row>
    <row r="311" spans="3:3" x14ac:dyDescent="0.25">
      <c r="C311" s="114">
        <v>0</v>
      </c>
    </row>
    <row r="312" spans="3:3" x14ac:dyDescent="0.25">
      <c r="C312" s="114">
        <v>0</v>
      </c>
    </row>
    <row r="313" spans="3:3" x14ac:dyDescent="0.25">
      <c r="C313" s="114">
        <v>0</v>
      </c>
    </row>
    <row r="314" spans="3:3" x14ac:dyDescent="0.25">
      <c r="C314" s="114">
        <v>0</v>
      </c>
    </row>
    <row r="315" spans="3:3" x14ac:dyDescent="0.25">
      <c r="C315" s="114">
        <v>0</v>
      </c>
    </row>
    <row r="316" spans="3:3" x14ac:dyDescent="0.25">
      <c r="C316" s="114">
        <v>0</v>
      </c>
    </row>
    <row r="317" spans="3:3" x14ac:dyDescent="0.25">
      <c r="C317" s="114">
        <v>0</v>
      </c>
    </row>
    <row r="318" spans="3:3" x14ac:dyDescent="0.25">
      <c r="C318" s="114">
        <v>0</v>
      </c>
    </row>
    <row r="319" spans="3:3" x14ac:dyDescent="0.25">
      <c r="C319" s="114">
        <v>0</v>
      </c>
    </row>
    <row r="320" spans="3:3" x14ac:dyDescent="0.25">
      <c r="C320" s="114">
        <v>0</v>
      </c>
    </row>
    <row r="321" spans="3:3" x14ac:dyDescent="0.25">
      <c r="C321" s="114">
        <v>0</v>
      </c>
    </row>
    <row r="322" spans="3:3" x14ac:dyDescent="0.25">
      <c r="C322" s="114">
        <v>0</v>
      </c>
    </row>
    <row r="323" spans="3:3" x14ac:dyDescent="0.25">
      <c r="C323" s="114">
        <v>0</v>
      </c>
    </row>
    <row r="324" spans="3:3" x14ac:dyDescent="0.25">
      <c r="C324" s="114">
        <v>0</v>
      </c>
    </row>
    <row r="325" spans="3:3" x14ac:dyDescent="0.25">
      <c r="C325" s="114">
        <v>0</v>
      </c>
    </row>
    <row r="326" spans="3:3" x14ac:dyDescent="0.25">
      <c r="C326" s="114">
        <v>0</v>
      </c>
    </row>
    <row r="327" spans="3:3" x14ac:dyDescent="0.25">
      <c r="C327" s="114">
        <v>0</v>
      </c>
    </row>
    <row r="328" spans="3:3" x14ac:dyDescent="0.25">
      <c r="C328" s="114">
        <v>0</v>
      </c>
    </row>
    <row r="329" spans="3:3" x14ac:dyDescent="0.25">
      <c r="C329" s="114">
        <v>0</v>
      </c>
    </row>
    <row r="330" spans="3:3" x14ac:dyDescent="0.25">
      <c r="C330" s="114">
        <v>0</v>
      </c>
    </row>
    <row r="331" spans="3:3" x14ac:dyDescent="0.25">
      <c r="C331" s="114">
        <v>0</v>
      </c>
    </row>
    <row r="332" spans="3:3" x14ac:dyDescent="0.25">
      <c r="C332" s="114">
        <v>0</v>
      </c>
    </row>
    <row r="333" spans="3:3" x14ac:dyDescent="0.25">
      <c r="C333" s="114">
        <v>0</v>
      </c>
    </row>
    <row r="334" spans="3:3" x14ac:dyDescent="0.25">
      <c r="C334" s="114">
        <v>0</v>
      </c>
    </row>
    <row r="335" spans="3:3" x14ac:dyDescent="0.25">
      <c r="C335" s="114">
        <v>0</v>
      </c>
    </row>
    <row r="336" spans="3:3" x14ac:dyDescent="0.25">
      <c r="C336" s="114">
        <v>0</v>
      </c>
    </row>
    <row r="337" spans="3:3" x14ac:dyDescent="0.25">
      <c r="C337" s="114">
        <v>0</v>
      </c>
    </row>
    <row r="338" spans="3:3" x14ac:dyDescent="0.25">
      <c r="C338" s="114">
        <v>0</v>
      </c>
    </row>
    <row r="339" spans="3:3" x14ac:dyDescent="0.25">
      <c r="C339" s="114">
        <v>0</v>
      </c>
    </row>
    <row r="340" spans="3:3" x14ac:dyDescent="0.25">
      <c r="C340" s="114">
        <v>0</v>
      </c>
    </row>
    <row r="341" spans="3:3" x14ac:dyDescent="0.25">
      <c r="C341" s="114">
        <v>0</v>
      </c>
    </row>
    <row r="342" spans="3:3" x14ac:dyDescent="0.25">
      <c r="C342" s="114">
        <v>0</v>
      </c>
    </row>
    <row r="343" spans="3:3" x14ac:dyDescent="0.25">
      <c r="C343" s="114">
        <v>0</v>
      </c>
    </row>
    <row r="344" spans="3:3" x14ac:dyDescent="0.25">
      <c r="C344" s="114">
        <v>0</v>
      </c>
    </row>
    <row r="345" spans="3:3" x14ac:dyDescent="0.25">
      <c r="C345" s="114">
        <v>0</v>
      </c>
    </row>
    <row r="346" spans="3:3" x14ac:dyDescent="0.25">
      <c r="C346" s="114">
        <v>0</v>
      </c>
    </row>
    <row r="347" spans="3:3" x14ac:dyDescent="0.25">
      <c r="C347" s="114">
        <v>0</v>
      </c>
    </row>
    <row r="348" spans="3:3" x14ac:dyDescent="0.25">
      <c r="C348" s="114">
        <v>0</v>
      </c>
    </row>
    <row r="349" spans="3:3" x14ac:dyDescent="0.25">
      <c r="C349" s="114">
        <v>0</v>
      </c>
    </row>
    <row r="350" spans="3:3" x14ac:dyDescent="0.25">
      <c r="C350" s="114">
        <v>0</v>
      </c>
    </row>
    <row r="351" spans="3:3" x14ac:dyDescent="0.25">
      <c r="C351" s="114">
        <v>0</v>
      </c>
    </row>
    <row r="352" spans="3:3" x14ac:dyDescent="0.25">
      <c r="C352" s="114">
        <v>0</v>
      </c>
    </row>
    <row r="353" spans="3:3" x14ac:dyDescent="0.25">
      <c r="C353" s="114">
        <v>0</v>
      </c>
    </row>
    <row r="354" spans="3:3" x14ac:dyDescent="0.25">
      <c r="C354" s="114">
        <v>0</v>
      </c>
    </row>
    <row r="355" spans="3:3" x14ac:dyDescent="0.25">
      <c r="C355" s="114">
        <v>0</v>
      </c>
    </row>
    <row r="356" spans="3:3" x14ac:dyDescent="0.25">
      <c r="C356" s="114">
        <v>0</v>
      </c>
    </row>
    <row r="357" spans="3:3" x14ac:dyDescent="0.25">
      <c r="C357" s="114">
        <v>0</v>
      </c>
    </row>
    <row r="358" spans="3:3" x14ac:dyDescent="0.25">
      <c r="C358" s="114">
        <v>0</v>
      </c>
    </row>
    <row r="359" spans="3:3" x14ac:dyDescent="0.25">
      <c r="C359" s="114">
        <v>0</v>
      </c>
    </row>
    <row r="360" spans="3:3" x14ac:dyDescent="0.25">
      <c r="C360" s="114">
        <v>0</v>
      </c>
    </row>
    <row r="361" spans="3:3" x14ac:dyDescent="0.25">
      <c r="C361" s="114">
        <v>0</v>
      </c>
    </row>
    <row r="362" spans="3:3" x14ac:dyDescent="0.25">
      <c r="C362" s="114">
        <v>0</v>
      </c>
    </row>
    <row r="363" spans="3:3" x14ac:dyDescent="0.25">
      <c r="C363" s="114">
        <v>0</v>
      </c>
    </row>
    <row r="364" spans="3:3" x14ac:dyDescent="0.25">
      <c r="C364" s="114">
        <v>0</v>
      </c>
    </row>
    <row r="365" spans="3:3" x14ac:dyDescent="0.25">
      <c r="C365" s="114">
        <v>0</v>
      </c>
    </row>
    <row r="366" spans="3:3" x14ac:dyDescent="0.25">
      <c r="C366" s="114">
        <v>0</v>
      </c>
    </row>
    <row r="367" spans="3:3" x14ac:dyDescent="0.25">
      <c r="C367" s="114">
        <v>0</v>
      </c>
    </row>
    <row r="368" spans="3:3" x14ac:dyDescent="0.25">
      <c r="C368" s="114">
        <v>0</v>
      </c>
    </row>
    <row r="369" spans="3:3" x14ac:dyDescent="0.25">
      <c r="C369" s="114">
        <v>0</v>
      </c>
    </row>
    <row r="370" spans="3:3" x14ac:dyDescent="0.25">
      <c r="C370" s="114">
        <v>0</v>
      </c>
    </row>
    <row r="371" spans="3:3" x14ac:dyDescent="0.25">
      <c r="C371" s="114">
        <v>0</v>
      </c>
    </row>
    <row r="372" spans="3:3" x14ac:dyDescent="0.25">
      <c r="C372" s="114">
        <v>0</v>
      </c>
    </row>
    <row r="373" spans="3:3" x14ac:dyDescent="0.25">
      <c r="C373" s="114">
        <v>0</v>
      </c>
    </row>
    <row r="374" spans="3:3" x14ac:dyDescent="0.25">
      <c r="C374" s="114">
        <v>0</v>
      </c>
    </row>
    <row r="375" spans="3:3" x14ac:dyDescent="0.25">
      <c r="C375" s="114">
        <v>0</v>
      </c>
    </row>
    <row r="376" spans="3:3" x14ac:dyDescent="0.25">
      <c r="C376" s="114">
        <v>0</v>
      </c>
    </row>
    <row r="377" spans="3:3" x14ac:dyDescent="0.25">
      <c r="C377" s="114">
        <v>0</v>
      </c>
    </row>
    <row r="378" spans="3:3" x14ac:dyDescent="0.25">
      <c r="C378" s="114">
        <v>0</v>
      </c>
    </row>
    <row r="379" spans="3:3" x14ac:dyDescent="0.25">
      <c r="C379" s="114">
        <v>0</v>
      </c>
    </row>
    <row r="380" spans="3:3" x14ac:dyDescent="0.25">
      <c r="C380" s="114">
        <v>0</v>
      </c>
    </row>
    <row r="381" spans="3:3" x14ac:dyDescent="0.25">
      <c r="C381" s="114">
        <v>0</v>
      </c>
    </row>
    <row r="382" spans="3:3" x14ac:dyDescent="0.25">
      <c r="C382" s="114">
        <v>0</v>
      </c>
    </row>
    <row r="383" spans="3:3" x14ac:dyDescent="0.25">
      <c r="C383" s="114">
        <v>0</v>
      </c>
    </row>
    <row r="384" spans="3:3" x14ac:dyDescent="0.25">
      <c r="C384" s="114">
        <v>0</v>
      </c>
    </row>
    <row r="385" spans="3:3" x14ac:dyDescent="0.25">
      <c r="C385" s="114">
        <v>0</v>
      </c>
    </row>
    <row r="386" spans="3:3" x14ac:dyDescent="0.25">
      <c r="C386" s="114">
        <v>0</v>
      </c>
    </row>
    <row r="387" spans="3:3" x14ac:dyDescent="0.25">
      <c r="C387" s="114">
        <v>0</v>
      </c>
    </row>
    <row r="388" spans="3:3" x14ac:dyDescent="0.25">
      <c r="C388" s="114">
        <v>0</v>
      </c>
    </row>
    <row r="389" spans="3:3" x14ac:dyDescent="0.25">
      <c r="C389" s="114">
        <v>0</v>
      </c>
    </row>
    <row r="390" spans="3:3" x14ac:dyDescent="0.25">
      <c r="C390" s="114">
        <v>0</v>
      </c>
    </row>
    <row r="391" spans="3:3" x14ac:dyDescent="0.25">
      <c r="C391" s="114">
        <v>0</v>
      </c>
    </row>
    <row r="392" spans="3:3" x14ac:dyDescent="0.25">
      <c r="C392" s="114">
        <v>0</v>
      </c>
    </row>
    <row r="393" spans="3:3" x14ac:dyDescent="0.25">
      <c r="C393" s="114">
        <v>0</v>
      </c>
    </row>
    <row r="394" spans="3:3" x14ac:dyDescent="0.25">
      <c r="C394" s="114">
        <v>0</v>
      </c>
    </row>
    <row r="395" spans="3:3" x14ac:dyDescent="0.25">
      <c r="C395" s="114">
        <v>0</v>
      </c>
    </row>
    <row r="396" spans="3:3" x14ac:dyDescent="0.25">
      <c r="C396" s="114">
        <v>0</v>
      </c>
    </row>
    <row r="397" spans="3:3" x14ac:dyDescent="0.25">
      <c r="C397" s="114">
        <v>0</v>
      </c>
    </row>
    <row r="398" spans="3:3" x14ac:dyDescent="0.25">
      <c r="C398" s="114">
        <v>0</v>
      </c>
    </row>
    <row r="399" spans="3:3" x14ac:dyDescent="0.25">
      <c r="C399" s="114">
        <v>0</v>
      </c>
    </row>
    <row r="400" spans="3:3" x14ac:dyDescent="0.25">
      <c r="C400" s="114">
        <v>0</v>
      </c>
    </row>
    <row r="401" spans="3:3" x14ac:dyDescent="0.25">
      <c r="C401" s="114">
        <v>0</v>
      </c>
    </row>
    <row r="402" spans="3:3" x14ac:dyDescent="0.25">
      <c r="C402" s="114">
        <v>0</v>
      </c>
    </row>
    <row r="403" spans="3:3" x14ac:dyDescent="0.25">
      <c r="C403" s="114">
        <v>0</v>
      </c>
    </row>
    <row r="404" spans="3:3" x14ac:dyDescent="0.25">
      <c r="C404" s="114">
        <v>0</v>
      </c>
    </row>
    <row r="405" spans="3:3" x14ac:dyDescent="0.25">
      <c r="C405" s="114">
        <v>0</v>
      </c>
    </row>
    <row r="406" spans="3:3" x14ac:dyDescent="0.25">
      <c r="C406" s="114">
        <v>0</v>
      </c>
    </row>
    <row r="407" spans="3:3" x14ac:dyDescent="0.25">
      <c r="C407" s="114">
        <v>0</v>
      </c>
    </row>
    <row r="408" spans="3:3" x14ac:dyDescent="0.25">
      <c r="C408" s="114">
        <v>0</v>
      </c>
    </row>
    <row r="409" spans="3:3" x14ac:dyDescent="0.25">
      <c r="C409" s="114">
        <v>0</v>
      </c>
    </row>
    <row r="410" spans="3:3" x14ac:dyDescent="0.25">
      <c r="C410" s="114">
        <v>0</v>
      </c>
    </row>
    <row r="411" spans="3:3" x14ac:dyDescent="0.25">
      <c r="C411" s="114">
        <v>0</v>
      </c>
    </row>
    <row r="412" spans="3:3" x14ac:dyDescent="0.25">
      <c r="C412" s="114">
        <v>0</v>
      </c>
    </row>
    <row r="413" spans="3:3" x14ac:dyDescent="0.25">
      <c r="C413" s="114">
        <v>0</v>
      </c>
    </row>
    <row r="414" spans="3:3" x14ac:dyDescent="0.25">
      <c r="C414" s="114">
        <v>0</v>
      </c>
    </row>
    <row r="415" spans="3:3" x14ac:dyDescent="0.25">
      <c r="C415" s="114">
        <v>0</v>
      </c>
    </row>
    <row r="416" spans="3:3" x14ac:dyDescent="0.25">
      <c r="C416" s="114">
        <v>0</v>
      </c>
    </row>
    <row r="417" spans="3:3" x14ac:dyDescent="0.25">
      <c r="C417" s="114">
        <v>0</v>
      </c>
    </row>
    <row r="418" spans="3:3" x14ac:dyDescent="0.25">
      <c r="C418" s="114">
        <v>0</v>
      </c>
    </row>
    <row r="419" spans="3:3" x14ac:dyDescent="0.25">
      <c r="C419" s="114">
        <v>0</v>
      </c>
    </row>
    <row r="420" spans="3:3" x14ac:dyDescent="0.25">
      <c r="C420" s="114">
        <v>0</v>
      </c>
    </row>
    <row r="421" spans="3:3" x14ac:dyDescent="0.25">
      <c r="C421" s="114">
        <v>0</v>
      </c>
    </row>
    <row r="422" spans="3:3" x14ac:dyDescent="0.25">
      <c r="C422" s="114">
        <v>0</v>
      </c>
    </row>
    <row r="423" spans="3:3" x14ac:dyDescent="0.25">
      <c r="C423" s="114">
        <v>0</v>
      </c>
    </row>
    <row r="424" spans="3:3" x14ac:dyDescent="0.25">
      <c r="C424" s="114">
        <v>0</v>
      </c>
    </row>
    <row r="425" spans="3:3" x14ac:dyDescent="0.25">
      <c r="C425" s="114">
        <v>0</v>
      </c>
    </row>
    <row r="426" spans="3:3" x14ac:dyDescent="0.25">
      <c r="C426" s="114">
        <v>0</v>
      </c>
    </row>
    <row r="427" spans="3:3" x14ac:dyDescent="0.25">
      <c r="C427" s="114">
        <v>0</v>
      </c>
    </row>
    <row r="428" spans="3:3" x14ac:dyDescent="0.25">
      <c r="C428" s="114">
        <v>0</v>
      </c>
    </row>
    <row r="429" spans="3:3" x14ac:dyDescent="0.25">
      <c r="C429" s="114">
        <v>0</v>
      </c>
    </row>
    <row r="430" spans="3:3" x14ac:dyDescent="0.25">
      <c r="C430" s="114">
        <v>0</v>
      </c>
    </row>
    <row r="431" spans="3:3" x14ac:dyDescent="0.25">
      <c r="C431" s="114">
        <v>0</v>
      </c>
    </row>
    <row r="432" spans="3:3" x14ac:dyDescent="0.25">
      <c r="C432" s="114">
        <v>0</v>
      </c>
    </row>
    <row r="433" spans="3:3" x14ac:dyDescent="0.25">
      <c r="C433" s="114">
        <v>0</v>
      </c>
    </row>
    <row r="434" spans="3:3" x14ac:dyDescent="0.25">
      <c r="C434" s="114">
        <v>0</v>
      </c>
    </row>
    <row r="435" spans="3:3" x14ac:dyDescent="0.25">
      <c r="C435" s="114">
        <v>0</v>
      </c>
    </row>
    <row r="436" spans="3:3" x14ac:dyDescent="0.25">
      <c r="C436" s="114">
        <v>0</v>
      </c>
    </row>
    <row r="437" spans="3:3" x14ac:dyDescent="0.25">
      <c r="C437" s="114">
        <v>0</v>
      </c>
    </row>
    <row r="438" spans="3:3" x14ac:dyDescent="0.25">
      <c r="C438" s="114">
        <v>0</v>
      </c>
    </row>
    <row r="439" spans="3:3" x14ac:dyDescent="0.25">
      <c r="C439" s="114">
        <v>0</v>
      </c>
    </row>
  </sheetData>
  <mergeCells count="1">
    <mergeCell ref="I2:P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3:T182"/>
  <sheetViews>
    <sheetView workbookViewId="0">
      <selection activeCell="G7" sqref="G7"/>
    </sheetView>
  </sheetViews>
  <sheetFormatPr defaultRowHeight="15" x14ac:dyDescent="0.25"/>
  <cols>
    <col min="1" max="1" width="0.85546875" style="78" customWidth="1"/>
    <col min="2" max="2" width="13.42578125" style="78" bestFit="1" customWidth="1"/>
    <col min="3" max="3" width="20.28515625" style="78" bestFit="1" customWidth="1"/>
    <col min="4" max="4" width="0.85546875" style="78" customWidth="1"/>
    <col min="5" max="5" width="3" style="78" bestFit="1" customWidth="1"/>
    <col min="6" max="6" width="15.7109375" style="78" bestFit="1" customWidth="1"/>
    <col min="7" max="7" width="6.140625" style="78" customWidth="1"/>
    <col min="8" max="8" width="9.5703125" style="78" bestFit="1" customWidth="1"/>
    <col min="9" max="9" width="0.85546875" style="78" customWidth="1"/>
    <col min="10" max="10" width="18" style="78" bestFit="1" customWidth="1"/>
    <col min="11" max="11" width="6.140625" style="78" customWidth="1"/>
    <col min="12" max="12" width="9.5703125" style="78" bestFit="1" customWidth="1"/>
    <col min="13" max="13" width="0.85546875" style="78" customWidth="1"/>
    <col min="14" max="14" width="16.7109375" style="78" bestFit="1" customWidth="1"/>
    <col min="15" max="15" width="6.140625" style="78" customWidth="1"/>
    <col min="16" max="16" width="9.5703125" style="78" bestFit="1" customWidth="1"/>
    <col min="17" max="17" width="0.85546875" style="78" customWidth="1"/>
    <col min="18" max="18" width="15.42578125" style="78" bestFit="1" customWidth="1"/>
    <col min="19" max="19" width="6.140625" style="78" customWidth="1"/>
    <col min="20" max="20" width="9.5703125" style="78" bestFit="1" customWidth="1"/>
    <col min="21" max="16384" width="9.140625" style="78"/>
  </cols>
  <sheetData>
    <row r="3" spans="2:20" x14ac:dyDescent="0.25">
      <c r="B3" s="78" t="s">
        <v>268</v>
      </c>
    </row>
    <row r="4" spans="2:20" ht="15.75" thickBot="1" x14ac:dyDescent="0.3"/>
    <row r="5" spans="2:20" ht="15.75" thickBot="1" x14ac:dyDescent="0.3">
      <c r="B5" s="171" t="s">
        <v>262</v>
      </c>
      <c r="C5" s="156" t="s">
        <v>4</v>
      </c>
      <c r="F5" s="187" t="s">
        <v>259</v>
      </c>
      <c r="G5" s="190"/>
      <c r="H5" s="191"/>
      <c r="I5" s="157"/>
      <c r="J5" s="187" t="s">
        <v>260</v>
      </c>
      <c r="K5" s="190"/>
      <c r="L5" s="191"/>
      <c r="M5" s="157"/>
      <c r="N5" s="187" t="s">
        <v>257</v>
      </c>
      <c r="O5" s="190"/>
      <c r="P5" s="191"/>
      <c r="Q5" s="157"/>
      <c r="R5" s="187" t="s">
        <v>261</v>
      </c>
      <c r="S5" s="190"/>
      <c r="T5" s="191"/>
    </row>
    <row r="6" spans="2:20" x14ac:dyDescent="0.25">
      <c r="C6" s="153" t="str">
        <f>'MASTER SHEET'!AR6</f>
        <v>Jamaal Charles</v>
      </c>
      <c r="F6" s="149" t="s">
        <v>263</v>
      </c>
      <c r="G6" s="157" t="s">
        <v>264</v>
      </c>
      <c r="H6" s="167" t="s">
        <v>265</v>
      </c>
      <c r="I6" s="172"/>
      <c r="J6" s="149" t="s">
        <v>263</v>
      </c>
      <c r="K6" s="157" t="s">
        <v>264</v>
      </c>
      <c r="L6" s="167" t="s">
        <v>265</v>
      </c>
      <c r="M6" s="172"/>
      <c r="N6" s="149" t="s">
        <v>263</v>
      </c>
      <c r="O6" s="157" t="s">
        <v>264</v>
      </c>
      <c r="P6" s="167" t="s">
        <v>265</v>
      </c>
      <c r="Q6" s="172"/>
      <c r="R6" s="149" t="s">
        <v>263</v>
      </c>
      <c r="S6" s="157" t="s">
        <v>264</v>
      </c>
      <c r="T6" s="167" t="s">
        <v>265</v>
      </c>
    </row>
    <row r="7" spans="2:20" ht="15.75" thickBot="1" x14ac:dyDescent="0.3">
      <c r="C7" s="153" t="str">
        <f>'MASTER SHEET'!AR7</f>
        <v>LeSean McCoy</v>
      </c>
      <c r="F7" s="173">
        <f>G7+H7-G9</f>
        <v>10.432784885980622</v>
      </c>
      <c r="G7" s="174">
        <f>G9-H9*0.5+0.5*AVERAGE($H$9,$L$9,$P$9,$T$9)</f>
        <v>10.780922284348833</v>
      </c>
      <c r="H7" s="175">
        <f>G9*(AVERAGE($H$17,$L$17,$P$13,$T$13)+1.5)/(1.5+H17)</f>
        <v>10.46404074663179</v>
      </c>
      <c r="I7" s="158"/>
      <c r="J7" s="173">
        <f>K7+L7-K9</f>
        <v>8.157190220324539</v>
      </c>
      <c r="K7" s="174">
        <f>K9-L9*0.5+0.5*AVERAGE($H$9,$L$9,$P$9,$T$9)</f>
        <v>8.5077881299759994</v>
      </c>
      <c r="L7" s="175">
        <f>K9*(AVERAGE($H$17,$L$17,$P$13,$T$13)+1.5)/(1.5+L17)</f>
        <v>8.1942562770152083</v>
      </c>
      <c r="M7" s="166"/>
      <c r="N7" s="173">
        <f>O7+P7-O9</f>
        <v>6.4788836509803742</v>
      </c>
      <c r="O7" s="174">
        <f>O9-P9*0.5+0.5*AVERAGE($H$9,$L$9,$P$9,$T$9)</f>
        <v>6.4409900503217079</v>
      </c>
      <c r="P7" s="175">
        <f>O9*(AVERAGE($H$17,$L$17,$P$13,$T$13)+1.5)/(1.5+P13)</f>
        <v>6.4661170581586669</v>
      </c>
      <c r="Q7" s="166"/>
      <c r="R7" s="173">
        <f>S7+T7-S9</f>
        <v>8.0215992546005204</v>
      </c>
      <c r="S7" s="174">
        <f>S9-T9*0.5+0.5*AVERAGE($H$9,$L$9,$P$9,$T$9)</f>
        <v>7.4624199278534569</v>
      </c>
      <c r="T7" s="175">
        <f>S9*(AVERAGE($H$17,$L$17,$P$13,$T$13)+1.5)/(1.5+T13)</f>
        <v>7.9660439300803967</v>
      </c>
    </row>
    <row r="8" spans="2:20" ht="15.75" thickBot="1" x14ac:dyDescent="0.3">
      <c r="C8" s="153" t="str">
        <f>'MASTER SHEET'!AR8</f>
        <v>Matt Forte</v>
      </c>
      <c r="F8" s="87" t="s">
        <v>259</v>
      </c>
      <c r="G8" s="159" t="s">
        <v>266</v>
      </c>
      <c r="H8" s="160" t="s">
        <v>267</v>
      </c>
      <c r="I8" s="159"/>
      <c r="J8" s="87" t="s">
        <v>260</v>
      </c>
      <c r="K8" s="159" t="s">
        <v>266</v>
      </c>
      <c r="L8" s="160" t="s">
        <v>267</v>
      </c>
      <c r="M8" s="159"/>
      <c r="N8" s="87" t="s">
        <v>257</v>
      </c>
      <c r="O8" s="159" t="s">
        <v>266</v>
      </c>
      <c r="P8" s="160" t="s">
        <v>267</v>
      </c>
      <c r="Q8" s="159"/>
      <c r="R8" s="87" t="s">
        <v>261</v>
      </c>
      <c r="S8" s="159" t="s">
        <v>266</v>
      </c>
      <c r="T8" s="160" t="s">
        <v>267</v>
      </c>
    </row>
    <row r="9" spans="2:20" x14ac:dyDescent="0.25">
      <c r="C9" s="153" t="str">
        <f>'MASTER SHEET'!AR9</f>
        <v>Calvin Johnson</v>
      </c>
      <c r="E9" s="78">
        <v>1</v>
      </c>
      <c r="F9" s="164" t="str">
        <f>INDEX('MASTER SHEET'!$AR$6:$AR$182,MATCH("RB 1",'MASTER SHEET'!$BM$6:$BM$182,0))</f>
        <v>Jamaal Charles</v>
      </c>
      <c r="G9" s="154">
        <f>INDEX('MASTER SHEET'!$AU$6:$AU$182,MATCH(F9,'MASTER SHEET'!$AR$6:$AR$182,0))</f>
        <v>10.812178144999999</v>
      </c>
      <c r="H9" s="161">
        <f>INDEX('MASTER SHEET'!$AY$6:$AY$182,MATCH(F9,'MASTER SHEET'!$AR$6:$AR$182,0))</f>
        <v>0.92524428480125143</v>
      </c>
      <c r="I9" s="121"/>
      <c r="J9" s="164" t="str">
        <f>INDEX('MASTER SHEET'!$AR$6:$AR$182,MATCH("WR 1",'MASTER SHEET'!$BM$6:$BM$182,0))</f>
        <v>Calvin Johnson</v>
      </c>
      <c r="K9" s="154">
        <f>INDEX('MASTER SHEET'!$AU$6:$AU$182,MATCH(J9,'MASTER SHEET'!$AR$6:$AR$182,0))</f>
        <v>8.544854186666667</v>
      </c>
      <c r="L9" s="161">
        <f>INDEX('MASTER SHEET'!$AY$6:$AY$182,MATCH(J9,'MASTER SHEET'!$AR$6:$AR$182,0))</f>
        <v>0.93686467688025432</v>
      </c>
      <c r="M9" s="121"/>
      <c r="N9" s="164" t="str">
        <f>INDEX('MASTER SHEET'!$AR$6:$AR$182,MATCH("QB 1",'MASTER SHEET'!$BM$6:$BM$182,0))</f>
        <v>Peyton Manning</v>
      </c>
      <c r="O9" s="154">
        <f>INDEX('MASTER SHEET'!$AU$6:$AU$182,MATCH(N9,'MASTER SHEET'!$AR$6:$AR$182,0))</f>
        <v>6.4282234575000006</v>
      </c>
      <c r="P9" s="161">
        <f>INDEX('MASTER SHEET'!$AY$6:$AY$182,MATCH(N9,'MASTER SHEET'!$AR$6:$AR$182,0))</f>
        <v>0.8371993778555048</v>
      </c>
      <c r="Q9" s="121"/>
      <c r="R9" s="164" t="str">
        <f>INDEX('MASTER SHEET'!$AR$6:$AR$182,MATCH("TE 1",'MASTER SHEET'!$BM$6:$BM$182,0))</f>
        <v>Jimmy Graham</v>
      </c>
      <c r="S9" s="154">
        <f>INDEX('MASTER SHEET'!$AU$6:$AU$182,MATCH(R9,'MASTER SHEET'!$AR$6:$AR$182,0))</f>
        <v>7.4068646033333323</v>
      </c>
      <c r="T9" s="161">
        <f>INDEX('MASTER SHEET'!$AY$6:$AY$182,MATCH(R9,'MASTER SHEET'!$AR$6:$AR$182,0))</f>
        <v>0.7516219144586701</v>
      </c>
    </row>
    <row r="10" spans="2:20" x14ac:dyDescent="0.25">
      <c r="C10" s="153" t="str">
        <f>'MASTER SHEET'!AR10</f>
        <v>Adrian Peterson</v>
      </c>
      <c r="E10" s="78">
        <v>2</v>
      </c>
      <c r="F10" s="164" t="str">
        <f>INDEX('MASTER SHEET'!$AR$6:$AR$182,MATCH("RB 2",'MASTER SHEET'!$BM$6:$BM$182,0))</f>
        <v>LeSean McCoy</v>
      </c>
      <c r="G10" s="154">
        <f>INDEX('MASTER SHEET'!$AU$6:$AU$182,MATCH(F10,'MASTER SHEET'!$AR$6:$AR$182,0))</f>
        <v>9.0998979466666672</v>
      </c>
      <c r="H10" s="161">
        <f>INDEX('MASTER SHEET'!$AY$6:$AY$182,MATCH(F10,'MASTER SHEET'!$AR$6:$AR$182,0))</f>
        <v>0.86232732485888575</v>
      </c>
      <c r="I10" s="121"/>
      <c r="J10" s="164" t="str">
        <f>INDEX('MASTER SHEET'!$AR$6:$AR$182,MATCH("WR 2",'MASTER SHEET'!$BM$6:$BM$182,0))</f>
        <v>Demaryius Thomas</v>
      </c>
      <c r="K10" s="154">
        <f>INDEX('MASTER SHEET'!$AU$6:$AU$182,MATCH(J10,'MASTER SHEET'!$AR$6:$AR$182,0))</f>
        <v>7.9523021233333333</v>
      </c>
      <c r="L10" s="161">
        <f>INDEX('MASTER SHEET'!$AY$6:$AY$182,MATCH(J10,'MASTER SHEET'!$AR$6:$AR$182,0))</f>
        <v>0.87810754034702676</v>
      </c>
      <c r="M10" s="121"/>
      <c r="N10" s="164" t="str">
        <f>INDEX('MASTER SHEET'!$AR$6:$AR$182,MATCH("QB 2",'MASTER SHEET'!$BM$6:$BM$182,0))</f>
        <v>Aaron Rodgers</v>
      </c>
      <c r="O10" s="154">
        <f>INDEX('MASTER SHEET'!$AU$6:$AU$182,MATCH(N10,'MASTER SHEET'!$AR$6:$AR$182,0))</f>
        <v>4.9355896233333327</v>
      </c>
      <c r="P10" s="161">
        <f>INDEX('MASTER SHEET'!$AY$6:$AY$182,MATCH(N10,'MASTER SHEET'!$AR$6:$AR$182,0))</f>
        <v>0.71220106896954116</v>
      </c>
      <c r="Q10" s="121"/>
      <c r="R10" s="164" t="str">
        <f>INDEX('MASTER SHEET'!$AR$6:$AR$182,MATCH("TE 2",'MASTER SHEET'!$BM$6:$BM$182,0))</f>
        <v>Julius Thomas</v>
      </c>
      <c r="S10" s="154">
        <f>INDEX('MASTER SHEET'!$AU$6:$AU$182,MATCH(R10,'MASTER SHEET'!$AR$6:$AR$182,0))</f>
        <v>4.2969791966666655</v>
      </c>
      <c r="T10" s="161">
        <f>INDEX('MASTER SHEET'!$AY$6:$AY$182,MATCH(R10,'MASTER SHEET'!$AR$6:$AR$182,0))</f>
        <v>0.60752916757644992</v>
      </c>
    </row>
    <row r="11" spans="2:20" x14ac:dyDescent="0.25">
      <c r="C11" s="153" t="str">
        <f>'MASTER SHEET'!AR11</f>
        <v>Demaryius Thomas</v>
      </c>
      <c r="E11" s="78">
        <v>3</v>
      </c>
      <c r="F11" s="164" t="str">
        <f>INDEX('MASTER SHEET'!$AR$6:$AR$182,MATCH("RB 3",'MASTER SHEET'!$BM$6:$BM$182,0))</f>
        <v>Matt Forte</v>
      </c>
      <c r="G11" s="154">
        <f>INDEX('MASTER SHEET'!$AU$6:$AU$182,MATCH(F11,'MASTER SHEET'!$AR$6:$AR$182,0))</f>
        <v>8.6624354666666648</v>
      </c>
      <c r="H11" s="161">
        <f>INDEX('MASTER SHEET'!$AY$6:$AY$182,MATCH(F11,'MASTER SHEET'!$AR$6:$AR$182,0))</f>
        <v>0.80243499326859169</v>
      </c>
      <c r="I11" s="121"/>
      <c r="J11" s="164" t="str">
        <f>INDEX('MASTER SHEET'!$AR$6:$AR$182,MATCH("WR 3",'MASTER SHEET'!$BM$6:$BM$182,0))</f>
        <v>Dez Bryant</v>
      </c>
      <c r="K11" s="154">
        <f>INDEX('MASTER SHEET'!$AU$6:$AU$182,MATCH(J11,'MASTER SHEET'!$AR$6:$AR$182,0))</f>
        <v>7.3164688000000009</v>
      </c>
      <c r="L11" s="161">
        <f>INDEX('MASTER SHEET'!$AY$6:$AY$182,MATCH(J11,'MASTER SHEET'!$AR$6:$AR$182,0))</f>
        <v>0.82404838243836054</v>
      </c>
      <c r="M11" s="121"/>
      <c r="N11" s="164" t="str">
        <f>INDEX('MASTER SHEET'!$AR$6:$AR$182,MATCH("QB 3",'MASTER SHEET'!$BM$6:$BM$182,0))</f>
        <v>Drew Brees</v>
      </c>
      <c r="O11" s="154">
        <f>INDEX('MASTER SHEET'!$AU$6:$AU$182,MATCH(N11,'MASTER SHEET'!$AR$6:$AR$182,0))</f>
        <v>4.7943791966666662</v>
      </c>
      <c r="P11" s="161">
        <f>INDEX('MASTER SHEET'!$AY$6:$AY$182,MATCH(N11,'MASTER SHEET'!$AR$6:$AR$182,0))</f>
        <v>0.59077904293475958</v>
      </c>
      <c r="Q11" s="121"/>
      <c r="R11" s="164" t="str">
        <f>INDEX('MASTER SHEET'!$AR$6:$AR$182,MATCH("TE 3",'MASTER SHEET'!$BM$6:$BM$182,0))</f>
        <v>Rob Gronkowski</v>
      </c>
      <c r="S11" s="154">
        <f>INDEX('MASTER SHEET'!$AU$6:$AU$182,MATCH(R11,'MASTER SHEET'!$AR$6:$AR$182,0))</f>
        <v>3.4321354566666669</v>
      </c>
      <c r="T11" s="161">
        <f>INDEX('MASTER SHEET'!$AY$6:$AY$182,MATCH(R11,'MASTER SHEET'!$AR$6:$AR$182,0))</f>
        <v>0.49243765724132837</v>
      </c>
    </row>
    <row r="12" spans="2:20" x14ac:dyDescent="0.25">
      <c r="C12" s="153" t="str">
        <f>'MASTER SHEET'!AR12</f>
        <v>Jimmy Graham</v>
      </c>
      <c r="E12" s="78">
        <v>4</v>
      </c>
      <c r="F12" s="164" t="str">
        <f>INDEX('MASTER SHEET'!$AR$6:$AR$182,MATCH("RB 4",'MASTER SHEET'!$BM$6:$BM$182,0))</f>
        <v>Adrian Peterson</v>
      </c>
      <c r="G12" s="154">
        <f>INDEX('MASTER SHEET'!$AU$6:$AU$182,MATCH(F12,'MASTER SHEET'!$AR$6:$AR$182,0))</f>
        <v>8.0119114983333333</v>
      </c>
      <c r="H12" s="161">
        <f>INDEX('MASTER SHEET'!$AY$6:$AY$182,MATCH(F12,'MASTER SHEET'!$AR$6:$AR$182,0))</f>
        <v>0.74704040337793609</v>
      </c>
      <c r="I12" s="121"/>
      <c r="J12" s="164" t="str">
        <f>INDEX('MASTER SHEET'!$AR$6:$AR$182,MATCH("WR 4",'MASTER SHEET'!$BM$6:$BM$182,0))</f>
        <v>A.J. Green</v>
      </c>
      <c r="K12" s="154">
        <f>INDEX('MASTER SHEET'!$AU$6:$AU$182,MATCH(J12,'MASTER SHEET'!$AR$6:$AR$182,0))</f>
        <v>6.9903409390909097</v>
      </c>
      <c r="L12" s="161">
        <f>INDEX('MASTER SHEET'!$AY$6:$AY$182,MATCH(J12,'MASTER SHEET'!$AR$6:$AR$182,0))</f>
        <v>0.77239888389040945</v>
      </c>
      <c r="M12" s="121"/>
      <c r="N12" s="164" t="str">
        <f>INDEX('MASTER SHEET'!$AR$6:$AR$182,MATCH("QB 4",'MASTER SHEET'!$BM$6:$BM$182,0))</f>
        <v>Andrew Luck</v>
      </c>
      <c r="O12" s="154">
        <f>INDEX('MASTER SHEET'!$AU$6:$AU$182,MATCH(N12,'MASTER SHEET'!$AR$6:$AR$182,0))</f>
        <v>2.885890675000002</v>
      </c>
      <c r="P12" s="161">
        <f>INDEX('MASTER SHEET'!$AY$6:$AY$182,MATCH(N12,'MASTER SHEET'!$AR$6:$AR$182,0))</f>
        <v>0.5176912294140833</v>
      </c>
      <c r="Q12" s="121"/>
      <c r="R12" s="164" t="str">
        <f>INDEX('MASTER SHEET'!$AR$6:$AR$182,MATCH("TE 4",'MASTER SHEET'!$BM$6:$BM$182,0))</f>
        <v>Jason Witten</v>
      </c>
      <c r="S12" s="154">
        <f>INDEX('MASTER SHEET'!$AU$6:$AU$182,MATCH(R12,'MASTER SHEET'!$AR$6:$AR$182,0))</f>
        <v>2.5805417366666665</v>
      </c>
      <c r="T12" s="161">
        <f>INDEX('MASTER SHEET'!$AY$6:$AY$182,MATCH(R12,'MASTER SHEET'!$AR$6:$AR$182,0))</f>
        <v>0.40590306392308201</v>
      </c>
    </row>
    <row r="13" spans="2:20" x14ac:dyDescent="0.25">
      <c r="C13" s="153" t="str">
        <f>'MASTER SHEET'!AR13</f>
        <v>Dez Bryant</v>
      </c>
      <c r="E13" s="78">
        <v>5</v>
      </c>
      <c r="F13" s="164" t="str">
        <f>INDEX('MASTER SHEET'!$AR$6:$AR$182,MATCH("RB 5",'MASTER SHEET'!$BM$6:$BM$182,0))</f>
        <v>Eddie Lacy</v>
      </c>
      <c r="G13" s="154">
        <f>INDEX('MASTER SHEET'!$AU$6:$AU$182,MATCH(F13,'MASTER SHEET'!$AR$6:$AR$182,0))</f>
        <v>6.8330521433333349</v>
      </c>
      <c r="H13" s="161">
        <f>INDEX('MASTER SHEET'!$AY$6:$AY$182,MATCH(F13,'MASTER SHEET'!$AR$6:$AR$182,0))</f>
        <v>0.69979648146739637</v>
      </c>
      <c r="I13" s="121"/>
      <c r="J13" s="164" t="str">
        <f>INDEX('MASTER SHEET'!$AR$6:$AR$182,MATCH("WR 5",'MASTER SHEET'!$BM$6:$BM$182,0))</f>
        <v>Julio Jones</v>
      </c>
      <c r="K13" s="154">
        <f>INDEX('MASTER SHEET'!$AU$6:$AU$182,MATCH(J13,'MASTER SHEET'!$AR$6:$AR$182,0))</f>
        <v>6.7022292366666667</v>
      </c>
      <c r="L13" s="161">
        <f>INDEX('MASTER SHEET'!$AY$6:$AY$182,MATCH(J13,'MASTER SHEET'!$AR$6:$AR$182,0))</f>
        <v>0.72287815489542739</v>
      </c>
      <c r="M13" s="121"/>
      <c r="N13" s="164" t="str">
        <f>INDEX('MASTER SHEET'!$AR$6:$AR$182,MATCH("QB 5",'MASTER SHEET'!$BM$6:$BM$182,0))</f>
        <v>Matthew Stafford</v>
      </c>
      <c r="O13" s="154">
        <f>INDEX('MASTER SHEET'!$AU$6:$AU$182,MATCH(N13,'MASTER SHEET'!$AR$6:$AR$182,0))</f>
        <v>2.6426646433333341</v>
      </c>
      <c r="P13" s="161">
        <f>INDEX('MASTER SHEET'!$AY$6:$AY$182,MATCH(N13,'MASTER SHEET'!$AR$6:$AR$182,0))</f>
        <v>0.45076333698807108</v>
      </c>
      <c r="Q13" s="121"/>
      <c r="R13" s="164" t="str">
        <f>INDEX('MASTER SHEET'!$AR$6:$AR$182,MATCH("TE 5",'MASTER SHEET'!$BM$6:$BM$182,0))</f>
        <v>Jordan Cameron</v>
      </c>
      <c r="S13" s="154">
        <f>INDEX('MASTER SHEET'!$AU$6:$AU$182,MATCH(R13,'MASTER SHEET'!$AR$6:$AR$182,0))</f>
        <v>2.4268854766666665</v>
      </c>
      <c r="T13" s="161">
        <f>INDEX('MASTER SHEET'!$AY$6:$AY$182,MATCH(R13,'MASTER SHEET'!$AR$6:$AR$182,0))</f>
        <v>0.32452110262042089</v>
      </c>
    </row>
    <row r="14" spans="2:20" x14ac:dyDescent="0.25">
      <c r="C14" s="153" t="str">
        <f>'MASTER SHEET'!AR14</f>
        <v>A.J. Green</v>
      </c>
      <c r="E14" s="78">
        <v>6</v>
      </c>
      <c r="F14" s="164" t="str">
        <f>INDEX('MASTER SHEET'!$AR$6:$AR$182,MATCH("RB 6",'MASTER SHEET'!$BM$6:$BM$182,0))</f>
        <v>Montee Ball</v>
      </c>
      <c r="G14" s="154">
        <f>INDEX('MASTER SHEET'!$AU$6:$AU$182,MATCH(F14,'MASTER SHEET'!$AR$6:$AR$182,0))</f>
        <v>6.4396906949999986</v>
      </c>
      <c r="H14" s="161">
        <f>INDEX('MASTER SHEET'!$AY$6:$AY$182,MATCH(F14,'MASTER SHEET'!$AR$6:$AR$182,0))</f>
        <v>0.65527227208909744</v>
      </c>
      <c r="I14" s="121"/>
      <c r="J14" s="164" t="str">
        <f>INDEX('MASTER SHEET'!$AR$6:$AR$182,MATCH("WR 6",'MASTER SHEET'!$BM$6:$BM$182,0))</f>
        <v>Brandon Marshall</v>
      </c>
      <c r="K14" s="154">
        <f>INDEX('MASTER SHEET'!$AU$6:$AU$182,MATCH(J14,'MASTER SHEET'!$AR$6:$AR$182,0))</f>
        <v>6.69743756</v>
      </c>
      <c r="L14" s="161">
        <f>INDEX('MASTER SHEET'!$AY$6:$AY$182,MATCH(J14,'MASTER SHEET'!$AR$6:$AR$182,0))</f>
        <v>0.67339283013883555</v>
      </c>
      <c r="M14" s="121"/>
      <c r="N14" s="164" t="str">
        <f>INDEX('MASTER SHEET'!$AR$6:$AR$182,MATCH("QB 6",'MASTER SHEET'!$BM$6:$BM$182,0))</f>
        <v>Nick Foles</v>
      </c>
      <c r="O14" s="154">
        <f>INDEX('MASTER SHEET'!$AU$6:$AU$182,MATCH(N14,'MASTER SHEET'!$AR$6:$AR$182,0))</f>
        <v>2.6270354966666667</v>
      </c>
      <c r="P14" s="161">
        <f>INDEX('MASTER SHEET'!$AY$6:$AY$182,MATCH(N14,'MASTER SHEET'!$AR$6:$AR$182,0))</f>
        <v>0.38423126695649562</v>
      </c>
      <c r="Q14" s="121"/>
      <c r="R14" s="164" t="str">
        <f>INDEX('MASTER SHEET'!$AR$6:$AR$182,MATCH("TE 6",'MASTER SHEET'!$BM$6:$BM$182,0))</f>
        <v>Vernon Davis</v>
      </c>
      <c r="S14" s="154">
        <f>INDEX('MASTER SHEET'!$AU$6:$AU$182,MATCH(R14,'MASTER SHEET'!$AR$6:$AR$182,0))</f>
        <v>2.0414010916666663</v>
      </c>
      <c r="T14" s="161">
        <f>INDEX('MASTER SHEET'!$AY$6:$AY$182,MATCH(R14,'MASTER SHEET'!$AR$6:$AR$182,0))</f>
        <v>0.25606578149277909</v>
      </c>
    </row>
    <row r="15" spans="2:20" x14ac:dyDescent="0.25">
      <c r="C15" s="153" t="str">
        <f>'MASTER SHEET'!AR15</f>
        <v>Eddie Lacy</v>
      </c>
      <c r="E15" s="78">
        <v>7</v>
      </c>
      <c r="F15" s="164" t="str">
        <f>INDEX('MASTER SHEET'!$AR$6:$AR$182,MATCH("RB 7",'MASTER SHEET'!$BM$6:$BM$182,0))</f>
        <v>DeMarco Murray</v>
      </c>
      <c r="G15" s="154">
        <f>INDEX('MASTER SHEET'!$AU$6:$AU$182,MATCH(F15,'MASTER SHEET'!$AR$6:$AR$182,0))</f>
        <v>6.397823016666667</v>
      </c>
      <c r="H15" s="161">
        <f>INDEX('MASTER SHEET'!$AY$6:$AY$182,MATCH(F15,'MASTER SHEET'!$AR$6:$AR$182,0))</f>
        <v>0.61103753706051256</v>
      </c>
      <c r="I15" s="121"/>
      <c r="J15" s="164" t="str">
        <f>INDEX('MASTER SHEET'!$AR$6:$AR$182,MATCH("WR 7",'MASTER SHEET'!$BM$6:$BM$182,0))</f>
        <v>Antonio Brown</v>
      </c>
      <c r="K15" s="154">
        <f>INDEX('MASTER SHEET'!$AU$6:$AU$182,MATCH(J15,'MASTER SHEET'!$AR$6:$AR$182,0))</f>
        <v>5.9340844550000007</v>
      </c>
      <c r="L15" s="161">
        <f>INDEX('MASTER SHEET'!$AY$6:$AY$182,MATCH(J15,'MASTER SHEET'!$AR$6:$AR$182,0))</f>
        <v>0.62954768880560019</v>
      </c>
      <c r="M15" s="121"/>
      <c r="N15" s="164" t="str">
        <f>INDEX('MASTER SHEET'!$AR$6:$AR$182,MATCH("QB 7",'MASTER SHEET'!$BM$6:$BM$182,0))</f>
        <v>Cam Newton</v>
      </c>
      <c r="O15" s="154">
        <f>INDEX('MASTER SHEET'!$AU$6:$AU$182,MATCH(N15,'MASTER SHEET'!$AR$6:$AR$182,0))</f>
        <v>2.4876594650000001</v>
      </c>
      <c r="P15" s="161">
        <f>INDEX('MASTER SHEET'!$AY$6:$AY$182,MATCH(N15,'MASTER SHEET'!$AR$6:$AR$182,0))</f>
        <v>0.32122902204960374</v>
      </c>
      <c r="Q15" s="121"/>
      <c r="R15" s="164" t="str">
        <f>INDEX('MASTER SHEET'!$AR$6:$AR$182,MATCH("TE 7",'MASTER SHEET'!$BM$6:$BM$182,0))</f>
        <v>Greg Olsen</v>
      </c>
      <c r="S15" s="154">
        <f>INDEX('MASTER SHEET'!$AU$6:$AU$182,MATCH(R15,'MASTER SHEET'!$AR$6:$AR$182,0))</f>
        <v>2.0219948716666662</v>
      </c>
      <c r="T15" s="161">
        <f>INDEX('MASTER SHEET'!$AY$6:$AY$182,MATCH(R15,'MASTER SHEET'!$AR$6:$AR$182,0))</f>
        <v>0.1882612188208844</v>
      </c>
    </row>
    <row r="16" spans="2:20" x14ac:dyDescent="0.25">
      <c r="C16" s="153" t="str">
        <f>'MASTER SHEET'!AR16</f>
        <v>Julio Jones</v>
      </c>
      <c r="E16" s="78">
        <v>8</v>
      </c>
      <c r="F16" s="164" t="str">
        <f>INDEX('MASTER SHEET'!$AR$6:$AR$182,MATCH("RB 8",'MASTER SHEET'!$BM$6:$BM$182,0))</f>
        <v>Arian Foster</v>
      </c>
      <c r="G16" s="154">
        <f>INDEX('MASTER SHEET'!$AU$6:$AU$182,MATCH(F16,'MASTER SHEET'!$AR$6:$AR$182,0))</f>
        <v>6.2370938400000018</v>
      </c>
      <c r="H16" s="161">
        <f>INDEX('MASTER SHEET'!$AY$6:$AY$182,MATCH(F16,'MASTER SHEET'!$AR$6:$AR$182,0))</f>
        <v>0.5679140882495507</v>
      </c>
      <c r="I16" s="121"/>
      <c r="J16" s="164" t="str">
        <f>INDEX('MASTER SHEET'!$AR$6:$AR$182,MATCH("WR 8",'MASTER SHEET'!$BM$6:$BM$182,0))</f>
        <v>Jordy Nelson</v>
      </c>
      <c r="K16" s="154">
        <f>INDEX('MASTER SHEET'!$AU$6:$AU$182,MATCH(J16,'MASTER SHEET'!$AR$6:$AR$182,0))</f>
        <v>5.7371146833333331</v>
      </c>
      <c r="L16" s="161">
        <f>INDEX('MASTER SHEET'!$AY$6:$AY$182,MATCH(J16,'MASTER SHEET'!$AR$6:$AR$182,0))</f>
        <v>0.58715789707896238</v>
      </c>
      <c r="M16" s="121"/>
      <c r="N16" s="164" t="str">
        <f>INDEX('MASTER SHEET'!$AR$6:$AR$182,MATCH("QB 8",'MASTER SHEET'!$BM$6:$BM$182,0))</f>
        <v>Robert Griffin III</v>
      </c>
      <c r="O16" s="154">
        <f>INDEX('MASTER SHEET'!$AU$6:$AU$182,MATCH(N16,'MASTER SHEET'!$AR$6:$AR$182,0))</f>
        <v>2.1184740283333334</v>
      </c>
      <c r="P16" s="161">
        <f>INDEX('MASTER SHEET'!$AY$6:$AY$182,MATCH(N16,'MASTER SHEET'!$AR$6:$AR$182,0))</f>
        <v>0.26757673505462853</v>
      </c>
      <c r="Q16" s="121"/>
      <c r="R16" s="164" t="str">
        <f>INDEX('MASTER SHEET'!$AR$6:$AR$182,MATCH("TE 8",'MASTER SHEET'!$BM$6:$BM$182,0))</f>
        <v>Dennis Pitta</v>
      </c>
      <c r="S16" s="154">
        <f>INDEX('MASTER SHEET'!$AU$6:$AU$182,MATCH(R16,'MASTER SHEET'!$AR$6:$AR$182,0))</f>
        <v>1.4808073916666664</v>
      </c>
      <c r="T16" s="161">
        <f>INDEX('MASTER SHEET'!$AY$6:$AY$182,MATCH(R16,'MASTER SHEET'!$AR$6:$AR$182,0))</f>
        <v>0.13860456587868072</v>
      </c>
    </row>
    <row r="17" spans="3:20" x14ac:dyDescent="0.25">
      <c r="C17" s="153" t="str">
        <f>'MASTER SHEET'!AR17</f>
        <v>Brandon Marshall</v>
      </c>
      <c r="E17" s="78">
        <v>9</v>
      </c>
      <c r="F17" s="164" t="str">
        <f>INDEX('MASTER SHEET'!$AR$6:$AR$182,MATCH("RB 9",'MASTER SHEET'!$BM$6:$BM$182,0))</f>
        <v>Giovani Bernard</v>
      </c>
      <c r="G17" s="154">
        <f>INDEX('MASTER SHEET'!$AU$6:$AU$182,MATCH(F17,'MASTER SHEET'!$AR$6:$AR$182,0))</f>
        <v>5.8384167866666674</v>
      </c>
      <c r="H17" s="161">
        <f>INDEX('MASTER SHEET'!$AY$6:$AY$182,MATCH(F17,'MASTER SHEET'!$AR$6:$AR$182,0))</f>
        <v>0.52754710421891116</v>
      </c>
      <c r="I17" s="121"/>
      <c r="J17" s="164" t="str">
        <f>INDEX('MASTER SHEET'!$AR$6:$AR$182,MATCH("WR 9",'MASTER SHEET'!$BM$6:$BM$182,0))</f>
        <v>Alshon Jeffery</v>
      </c>
      <c r="K17" s="154">
        <f>INDEX('MASTER SHEET'!$AU$6:$AU$182,MATCH(J17,'MASTER SHEET'!$AR$6:$AR$182,0))</f>
        <v>5.5406313400000009</v>
      </c>
      <c r="L17" s="161">
        <f>INDEX('MASTER SHEET'!$AY$6:$AY$182,MATCH(J17,'MASTER SHEET'!$AR$6:$AR$182,0))</f>
        <v>0.54621986088822971</v>
      </c>
      <c r="M17" s="121"/>
      <c r="N17" s="164" t="str">
        <f>INDEX('MASTER SHEET'!$AR$6:$AR$182,MATCH("QB 9",'MASTER SHEET'!$BM$6:$BM$182,0))</f>
        <v>Colin Kaepernick</v>
      </c>
      <c r="O17" s="154">
        <f>INDEX('MASTER SHEET'!$AU$6:$AU$182,MATCH(N17,'MASTER SHEET'!$AR$6:$AR$182,0))</f>
        <v>2.0890990783333336</v>
      </c>
      <c r="P17" s="161">
        <f>INDEX('MASTER SHEET'!$AY$6:$AY$182,MATCH(N17,'MASTER SHEET'!$AR$6:$AR$182,0))</f>
        <v>0.2146683954608414</v>
      </c>
      <c r="Q17" s="121"/>
      <c r="R17" s="164" t="str">
        <f>INDEX('MASTER SHEET'!$AR$6:$AR$182,MATCH("TE 9",'MASTER SHEET'!$BM$6:$BM$182,0))</f>
        <v>Jordan Reed</v>
      </c>
      <c r="S17" s="154">
        <f>INDEX('MASTER SHEET'!$AU$6:$AU$182,MATCH(R17,'MASTER SHEET'!$AR$6:$AR$182,0))</f>
        <v>1.4241302983333328</v>
      </c>
      <c r="T17" s="161">
        <f>INDEX('MASTER SHEET'!$AY$6:$AY$182,MATCH(R17,'MASTER SHEET'!$AR$6:$AR$182,0))</f>
        <v>9.0848494179699091E-2</v>
      </c>
    </row>
    <row r="18" spans="3:20" ht="15.75" thickBot="1" x14ac:dyDescent="0.3">
      <c r="C18" s="153" t="str">
        <f>'MASTER SHEET'!AR18</f>
        <v>Montee Ball</v>
      </c>
      <c r="E18" s="78">
        <v>10</v>
      </c>
      <c r="F18" s="165" t="str">
        <f>INDEX('MASTER SHEET'!$AR$6:$AR$182,MATCH("RB 10",'MASTER SHEET'!$BM$6:$BM$182,0))</f>
        <v>Marshawn Lynch</v>
      </c>
      <c r="G18" s="155">
        <f>INDEX('MASTER SHEET'!$AU$6:$AU$182,MATCH(F18,'MASTER SHEET'!$AR$6:$AR$182,0))</f>
        <v>5.7511323716666674</v>
      </c>
      <c r="H18" s="162">
        <f>INDEX('MASTER SHEET'!$AY$6:$AY$182,MATCH(F18,'MASTER SHEET'!$AR$6:$AR$182,0))</f>
        <v>0.48778360718058</v>
      </c>
      <c r="I18" s="163"/>
      <c r="J18" s="165" t="str">
        <f>INDEX('MASTER SHEET'!$AR$6:$AR$182,MATCH("WR 10",'MASTER SHEET'!$BM$6:$BM$182,0))</f>
        <v>Randall Cobb</v>
      </c>
      <c r="K18" s="155">
        <f>INDEX('MASTER SHEET'!$AU$6:$AU$182,MATCH(J18,'MASTER SHEET'!$AR$6:$AR$182,0))</f>
        <v>4.7457032349999997</v>
      </c>
      <c r="L18" s="162">
        <f>INDEX('MASTER SHEET'!$AY$6:$AY$182,MATCH(J18,'MASTER SHEET'!$AR$6:$AR$182,0))</f>
        <v>0.51115530617181615</v>
      </c>
      <c r="M18" s="163"/>
      <c r="N18" s="165" t="str">
        <f>INDEX('MASTER SHEET'!$AR$6:$AR$182,MATCH("QB 10",'MASTER SHEET'!$BM$6:$BM$182,0))</f>
        <v>Tom Brady</v>
      </c>
      <c r="O18" s="155">
        <f>INDEX('MASTER SHEET'!$AU$6:$AU$182,MATCH(N18,'MASTER SHEET'!$AR$6:$AR$182,0))</f>
        <v>1.9733938600000014</v>
      </c>
      <c r="P18" s="162">
        <f>INDEX('MASTER SHEET'!$AY$6:$AY$182,MATCH(N18,'MASTER SHEET'!$AR$6:$AR$182,0))</f>
        <v>0.16469039605428806</v>
      </c>
      <c r="Q18" s="163"/>
      <c r="R18" s="165" t="str">
        <f>INDEX('MASTER SHEET'!$AR$6:$AR$182,MATCH("TE 10",'MASTER SHEET'!$BM$6:$BM$182,0))</f>
        <v>Kyle Rudolph</v>
      </c>
      <c r="S18" s="155">
        <f>INDEX('MASTER SHEET'!$AU$6:$AU$182,MATCH(R18,'MASTER SHEET'!$AR$6:$AR$182,0))</f>
        <v>1.2150990683333329</v>
      </c>
      <c r="T18" s="162">
        <f>INDEX('MASTER SHEET'!$AY$6:$AY$182,MATCH(R18,'MASTER SHEET'!$AR$6:$AR$182,0))</f>
        <v>5.0101970988244385E-2</v>
      </c>
    </row>
    <row r="19" spans="3:20" x14ac:dyDescent="0.25">
      <c r="C19" s="153" t="str">
        <f>'MASTER SHEET'!AR19</f>
        <v>Peyton Manning</v>
      </c>
    </row>
    <row r="20" spans="3:20" x14ac:dyDescent="0.25">
      <c r="C20" s="153" t="str">
        <f>'MASTER SHEET'!AR20</f>
        <v>DeMarco Murray</v>
      </c>
    </row>
    <row r="21" spans="3:20" x14ac:dyDescent="0.25">
      <c r="C21" s="153" t="str">
        <f>'MASTER SHEET'!AR21</f>
        <v>Arian Foster</v>
      </c>
    </row>
    <row r="22" spans="3:20" x14ac:dyDescent="0.25">
      <c r="C22" s="153" t="str">
        <f>'MASTER SHEET'!AR22</f>
        <v>Antonio Brown</v>
      </c>
    </row>
    <row r="23" spans="3:20" x14ac:dyDescent="0.25">
      <c r="C23" s="153" t="str">
        <f>'MASTER SHEET'!AR23</f>
        <v>Giovani Bernard</v>
      </c>
    </row>
    <row r="24" spans="3:20" x14ac:dyDescent="0.25">
      <c r="C24" s="153" t="str">
        <f>'MASTER SHEET'!AR24</f>
        <v>Marshawn Lynch</v>
      </c>
    </row>
    <row r="25" spans="3:20" x14ac:dyDescent="0.25">
      <c r="C25" s="153" t="str">
        <f>'MASTER SHEET'!AR25</f>
        <v>Jordy Nelson</v>
      </c>
    </row>
    <row r="26" spans="3:20" x14ac:dyDescent="0.25">
      <c r="C26" s="153" t="str">
        <f>'MASTER SHEET'!AR26</f>
        <v>LeVeon Bell</v>
      </c>
    </row>
    <row r="27" spans="3:20" x14ac:dyDescent="0.25">
      <c r="C27" s="153" t="str">
        <f>'MASTER SHEET'!AR27</f>
        <v>Alshon Jeffery</v>
      </c>
    </row>
    <row r="28" spans="3:20" x14ac:dyDescent="0.25">
      <c r="C28" s="153" t="str">
        <f>'MASTER SHEET'!AR28</f>
        <v>Aaron Rodgers</v>
      </c>
    </row>
    <row r="29" spans="3:20" x14ac:dyDescent="0.25">
      <c r="C29" s="153" t="str">
        <f>'MASTER SHEET'!AR29</f>
        <v>Doug Martin</v>
      </c>
    </row>
    <row r="30" spans="3:20" x14ac:dyDescent="0.25">
      <c r="C30" s="153" t="str">
        <f>'MASTER SHEET'!AR30</f>
        <v>Drew Brees</v>
      </c>
    </row>
    <row r="31" spans="3:20" x14ac:dyDescent="0.25">
      <c r="C31" s="153" t="str">
        <f>'MASTER SHEET'!AR31</f>
        <v>Randall Cobb</v>
      </c>
    </row>
    <row r="32" spans="3:20" x14ac:dyDescent="0.25">
      <c r="C32" s="153" t="str">
        <f>'MASTER SHEET'!AR32</f>
        <v>Andre Ellington</v>
      </c>
    </row>
    <row r="33" spans="3:3" x14ac:dyDescent="0.25">
      <c r="C33" s="153" t="str">
        <f>'MASTER SHEET'!AR33</f>
        <v>Vincent Jackson</v>
      </c>
    </row>
    <row r="34" spans="3:3" x14ac:dyDescent="0.25">
      <c r="C34" s="153" t="str">
        <f>'MASTER SHEET'!AR34</f>
        <v>Zac Stacy</v>
      </c>
    </row>
    <row r="35" spans="3:3" x14ac:dyDescent="0.25">
      <c r="C35" s="153" t="str">
        <f>'MASTER SHEET'!AR35</f>
        <v>Julius Thomas</v>
      </c>
    </row>
    <row r="36" spans="3:3" x14ac:dyDescent="0.25">
      <c r="C36" s="153" t="str">
        <f>'MASTER SHEET'!AR36</f>
        <v>Pierre Garcon</v>
      </c>
    </row>
    <row r="37" spans="3:3" x14ac:dyDescent="0.25">
      <c r="C37" s="153" t="str">
        <f>'MASTER SHEET'!AR37</f>
        <v>Andre Johnson</v>
      </c>
    </row>
    <row r="38" spans="3:3" x14ac:dyDescent="0.25">
      <c r="C38" s="153" t="str">
        <f>'MASTER SHEET'!AR38</f>
        <v>Reggie Bush</v>
      </c>
    </row>
    <row r="39" spans="3:3" x14ac:dyDescent="0.25">
      <c r="C39" s="153" t="str">
        <f>'MASTER SHEET'!AR39</f>
        <v>Keenan Allen</v>
      </c>
    </row>
    <row r="40" spans="3:3" x14ac:dyDescent="0.25">
      <c r="C40" s="153" t="str">
        <f>'MASTER SHEET'!AR40</f>
        <v>Toby Gerhart</v>
      </c>
    </row>
    <row r="41" spans="3:3" x14ac:dyDescent="0.25">
      <c r="C41" s="153" t="str">
        <f>'MASTER SHEET'!AR41</f>
        <v>Alfred Morris</v>
      </c>
    </row>
    <row r="42" spans="3:3" x14ac:dyDescent="0.25">
      <c r="C42" s="153" t="str">
        <f>'MASTER SHEET'!AR42</f>
        <v>C.J. Spiller</v>
      </c>
    </row>
    <row r="43" spans="3:3" x14ac:dyDescent="0.25">
      <c r="C43" s="153" t="str">
        <f>'MASTER SHEET'!AR43</f>
        <v>Roddy White</v>
      </c>
    </row>
    <row r="44" spans="3:3" x14ac:dyDescent="0.25">
      <c r="C44" s="153" t="str">
        <f>'MASTER SHEET'!AR44</f>
        <v>Larry Fitzgerald</v>
      </c>
    </row>
    <row r="45" spans="3:3" x14ac:dyDescent="0.25">
      <c r="C45" s="153" t="str">
        <f>'MASTER SHEET'!AR45</f>
        <v>Rob Gronkowski</v>
      </c>
    </row>
    <row r="46" spans="3:3" x14ac:dyDescent="0.25">
      <c r="C46" s="153" t="str">
        <f>'MASTER SHEET'!AR46</f>
        <v>Victor Cruz</v>
      </c>
    </row>
    <row r="47" spans="3:3" x14ac:dyDescent="0.25">
      <c r="C47" s="153" t="str">
        <f>'MASTER SHEET'!AR47</f>
        <v>Ryan Mathews</v>
      </c>
    </row>
    <row r="48" spans="3:3" x14ac:dyDescent="0.25">
      <c r="C48" s="153" t="str">
        <f>'MASTER SHEET'!AR48</f>
        <v>Joique Bell</v>
      </c>
    </row>
    <row r="49" spans="3:3" x14ac:dyDescent="0.25">
      <c r="C49" s="153" t="str">
        <f>'MASTER SHEET'!AR49</f>
        <v>Rashad Jennings</v>
      </c>
    </row>
    <row r="50" spans="3:3" x14ac:dyDescent="0.25">
      <c r="C50" s="153" t="str">
        <f>'MASTER SHEET'!AR50</f>
        <v>Michael Floyd</v>
      </c>
    </row>
    <row r="51" spans="3:3" x14ac:dyDescent="0.25">
      <c r="C51" s="153" t="str">
        <f>'MASTER SHEET'!AR51</f>
        <v>Andrew Luck</v>
      </c>
    </row>
    <row r="52" spans="3:3" x14ac:dyDescent="0.25">
      <c r="C52" s="153" t="str">
        <f>'MASTER SHEET'!AR52</f>
        <v>Michael Crabtree</v>
      </c>
    </row>
    <row r="53" spans="3:3" x14ac:dyDescent="0.25">
      <c r="C53" s="153" t="str">
        <f>'MASTER SHEET'!AR53</f>
        <v>Wes Welker</v>
      </c>
    </row>
    <row r="54" spans="3:3" x14ac:dyDescent="0.25">
      <c r="C54" s="153" t="str">
        <f>'MASTER SHEET'!AR54</f>
        <v>Chris Johnson</v>
      </c>
    </row>
    <row r="55" spans="3:3" x14ac:dyDescent="0.25">
      <c r="C55" s="153" t="str">
        <f>'MASTER SHEET'!AR55</f>
        <v>Shane Vereen</v>
      </c>
    </row>
    <row r="56" spans="3:3" x14ac:dyDescent="0.25">
      <c r="C56" s="153" t="str">
        <f>'MASTER SHEET'!AR56</f>
        <v>Bishop Sankey</v>
      </c>
    </row>
    <row r="57" spans="3:3" x14ac:dyDescent="0.25">
      <c r="C57" s="153" t="str">
        <f>'MASTER SHEET'!AR57</f>
        <v>Matthew Stafford</v>
      </c>
    </row>
    <row r="58" spans="3:3" x14ac:dyDescent="0.25">
      <c r="C58" s="153" t="str">
        <f>'MASTER SHEET'!AR58</f>
        <v>Nick Foles</v>
      </c>
    </row>
    <row r="59" spans="3:3" x14ac:dyDescent="0.25">
      <c r="C59" s="153" t="str">
        <f>'MASTER SHEET'!AR59</f>
        <v>Cordarrelle Patterson</v>
      </c>
    </row>
    <row r="60" spans="3:3" x14ac:dyDescent="0.25">
      <c r="C60" s="153" t="str">
        <f>'MASTER SHEET'!AR60</f>
        <v>Trent Richardson</v>
      </c>
    </row>
    <row r="61" spans="3:3" x14ac:dyDescent="0.25">
      <c r="C61" s="153" t="str">
        <f>'MASTER SHEET'!AR61</f>
        <v>Jason Witten</v>
      </c>
    </row>
    <row r="62" spans="3:3" x14ac:dyDescent="0.25">
      <c r="C62" s="153" t="str">
        <f>'MASTER SHEET'!AR62</f>
        <v>DeSean Jackson</v>
      </c>
    </row>
    <row r="63" spans="3:3" x14ac:dyDescent="0.25">
      <c r="C63" s="153" t="str">
        <f>'MASTER SHEET'!AR63</f>
        <v>Cam Newton</v>
      </c>
    </row>
    <row r="64" spans="3:3" x14ac:dyDescent="0.25">
      <c r="C64" s="153" t="str">
        <f>'MASTER SHEET'!AR64</f>
        <v>Mike Wallace</v>
      </c>
    </row>
    <row r="65" spans="3:3" x14ac:dyDescent="0.25">
      <c r="C65" s="153" t="str">
        <f>'MASTER SHEET'!AR65</f>
        <v>Kendall Wright</v>
      </c>
    </row>
    <row r="66" spans="3:3" x14ac:dyDescent="0.25">
      <c r="C66" s="153" t="str">
        <f>'MASTER SHEET'!AR66</f>
        <v>Jordan Cameron</v>
      </c>
    </row>
    <row r="67" spans="3:3" x14ac:dyDescent="0.25">
      <c r="C67" s="153" t="str">
        <f>'MASTER SHEET'!AR67</f>
        <v>Pierre Thomas</v>
      </c>
    </row>
    <row r="68" spans="3:3" x14ac:dyDescent="0.25">
      <c r="C68" s="153" t="str">
        <f>'MASTER SHEET'!AR68</f>
        <v>Frank Gore</v>
      </c>
    </row>
    <row r="69" spans="3:3" x14ac:dyDescent="0.25">
      <c r="C69" s="153" t="str">
        <f>'MASTER SHEET'!AR69</f>
        <v>Percy Harvin</v>
      </c>
    </row>
    <row r="70" spans="3:3" x14ac:dyDescent="0.25">
      <c r="C70" s="153" t="str">
        <f>'MASTER SHEET'!AR70</f>
        <v>Ray Rice</v>
      </c>
    </row>
    <row r="71" spans="3:3" x14ac:dyDescent="0.25">
      <c r="C71" s="153" t="str">
        <f>'MASTER SHEET'!AR71</f>
        <v>Robert Griffin III</v>
      </c>
    </row>
    <row r="72" spans="3:3" x14ac:dyDescent="0.25">
      <c r="C72" s="153" t="str">
        <f>'MASTER SHEET'!AR72</f>
        <v>Ben Tate</v>
      </c>
    </row>
    <row r="73" spans="3:3" x14ac:dyDescent="0.25">
      <c r="C73" s="153" t="str">
        <f>'MASTER SHEET'!AR73</f>
        <v>Colin Kaepernick</v>
      </c>
    </row>
    <row r="74" spans="3:3" x14ac:dyDescent="0.25">
      <c r="C74" s="153" t="str">
        <f>'MASTER SHEET'!AR74</f>
        <v>Vernon Davis</v>
      </c>
    </row>
    <row r="75" spans="3:3" x14ac:dyDescent="0.25">
      <c r="C75" s="153" t="str">
        <f>'MASTER SHEET'!AR75</f>
        <v>Greg Olsen</v>
      </c>
    </row>
    <row r="76" spans="3:3" x14ac:dyDescent="0.25">
      <c r="C76" s="153" t="str">
        <f>'MASTER SHEET'!AR76</f>
        <v>Tom Brady</v>
      </c>
    </row>
    <row r="77" spans="3:3" x14ac:dyDescent="0.25">
      <c r="C77" s="153" t="str">
        <f>'MASTER SHEET'!AR77</f>
        <v>Marques Colston</v>
      </c>
    </row>
    <row r="78" spans="3:3" x14ac:dyDescent="0.25">
      <c r="C78" s="153" t="str">
        <f>'MASTER SHEET'!AR78</f>
        <v>T.Y. Hilton</v>
      </c>
    </row>
    <row r="79" spans="3:3" x14ac:dyDescent="0.25">
      <c r="C79" s="153" t="str">
        <f>'MASTER SHEET'!AR79</f>
        <v>Julian Edelman</v>
      </c>
    </row>
    <row r="80" spans="3:3" x14ac:dyDescent="0.25">
      <c r="C80" s="153" t="str">
        <f>'MASTER SHEET'!AR80</f>
        <v>Torrey Smith</v>
      </c>
    </row>
    <row r="81" spans="3:3" x14ac:dyDescent="0.25">
      <c r="C81" s="153" t="str">
        <f>'MASTER SHEET'!AR81</f>
        <v>Russell Wilson</v>
      </c>
    </row>
    <row r="82" spans="3:3" x14ac:dyDescent="0.25">
      <c r="C82" s="153" t="str">
        <f>'MASTER SHEET'!AR82</f>
        <v>Matt Ryan</v>
      </c>
    </row>
    <row r="83" spans="3:3" x14ac:dyDescent="0.25">
      <c r="C83" s="153" t="str">
        <f>'MASTER SHEET'!AR83</f>
        <v>Jeremy Maclin</v>
      </c>
    </row>
    <row r="84" spans="3:3" x14ac:dyDescent="0.25">
      <c r="C84" s="153" t="str">
        <f>'MASTER SHEET'!AR84</f>
        <v>Eric Decker</v>
      </c>
    </row>
    <row r="85" spans="3:3" x14ac:dyDescent="0.25">
      <c r="C85" s="153" t="str">
        <f>'MASTER SHEET'!AR85</f>
        <v>Dennis Pitta</v>
      </c>
    </row>
    <row r="86" spans="3:3" x14ac:dyDescent="0.25">
      <c r="C86" s="153" t="str">
        <f>'MASTER SHEET'!AR86</f>
        <v>Fred Jackson</v>
      </c>
    </row>
    <row r="87" spans="3:3" x14ac:dyDescent="0.25">
      <c r="C87" s="153" t="str">
        <f>'MASTER SHEET'!AR87</f>
        <v>Jordan Reed</v>
      </c>
    </row>
    <row r="88" spans="3:3" x14ac:dyDescent="0.25">
      <c r="C88" s="153" t="str">
        <f>'MASTER SHEET'!AR88</f>
        <v>Reggie Wayne</v>
      </c>
    </row>
    <row r="89" spans="3:3" x14ac:dyDescent="0.25">
      <c r="C89" s="153" t="str">
        <f>'MASTER SHEET'!AR89</f>
        <v>Sammy Watkins</v>
      </c>
    </row>
    <row r="90" spans="3:3" x14ac:dyDescent="0.25">
      <c r="C90" s="153" t="str">
        <f>'MASTER SHEET'!AR90</f>
        <v>Kyle Rudolph</v>
      </c>
    </row>
    <row r="91" spans="3:3" x14ac:dyDescent="0.25">
      <c r="C91" s="153" t="str">
        <f>'MASTER SHEET'!AR91</f>
        <v>Dwayne Bowe</v>
      </c>
    </row>
    <row r="92" spans="3:3" x14ac:dyDescent="0.25">
      <c r="C92" s="153" t="str">
        <f>'MASTER SHEET'!AR92</f>
        <v>Emmanuel Sanders</v>
      </c>
    </row>
    <row r="93" spans="3:3" x14ac:dyDescent="0.25">
      <c r="C93" s="153" t="str">
        <f>'MASTER SHEET'!AR93</f>
        <v>Maurice Jones-Drew</v>
      </c>
    </row>
    <row r="94" spans="3:3" x14ac:dyDescent="0.25">
      <c r="C94" s="153" t="str">
        <f>'MASTER SHEET'!AR94</f>
        <v>Cecil Shorts</v>
      </c>
    </row>
    <row r="95" spans="3:3" x14ac:dyDescent="0.25">
      <c r="C95" s="153" t="str">
        <f>'MASTER SHEET'!AR95</f>
        <v>Tony Romo</v>
      </c>
    </row>
    <row r="96" spans="3:3" x14ac:dyDescent="0.25">
      <c r="C96" s="153" t="str">
        <f>'MASTER SHEET'!AR96</f>
        <v>Golden Tate</v>
      </c>
    </row>
    <row r="97" spans="3:3" x14ac:dyDescent="0.25">
      <c r="C97" s="153" t="str">
        <f>'MASTER SHEET'!AR97</f>
        <v>Terrance Williams</v>
      </c>
    </row>
    <row r="98" spans="3:3" x14ac:dyDescent="0.25">
      <c r="C98" s="153" t="str">
        <f>'MASTER SHEET'!AR98</f>
        <v>Danny Woodhead</v>
      </c>
    </row>
    <row r="99" spans="3:3" x14ac:dyDescent="0.25">
      <c r="C99" s="153" t="str">
        <f>'MASTER SHEET'!AR99</f>
        <v>Stevan Ridley</v>
      </c>
    </row>
    <row r="100" spans="3:3" x14ac:dyDescent="0.25">
      <c r="C100" s="153" t="str">
        <f>'MASTER SHEET'!AR100</f>
        <v>Jay Cutler</v>
      </c>
    </row>
    <row r="101" spans="3:3" x14ac:dyDescent="0.25">
      <c r="C101" s="153" t="str">
        <f>'MASTER SHEET'!AR101</f>
        <v>Philip Rivers</v>
      </c>
    </row>
    <row r="102" spans="3:3" x14ac:dyDescent="0.25">
      <c r="C102" s="153" t="str">
        <f>'MASTER SHEET'!AR102</f>
        <v>Steven Jackson</v>
      </c>
    </row>
    <row r="103" spans="3:3" x14ac:dyDescent="0.25">
      <c r="C103" s="153" t="str">
        <f>'MASTER SHEET'!AR103</f>
        <v>Rueben Randle</v>
      </c>
    </row>
    <row r="104" spans="3:3" x14ac:dyDescent="0.25">
      <c r="C104" s="153" t="str">
        <f>'MASTER SHEET'!AR104</f>
        <v>Zach Ertz</v>
      </c>
    </row>
    <row r="105" spans="3:3" x14ac:dyDescent="0.25">
      <c r="C105" s="153" t="str">
        <f>'MASTER SHEET'!AR105</f>
        <v>Anquan Boldin</v>
      </c>
    </row>
    <row r="106" spans="3:3" x14ac:dyDescent="0.25">
      <c r="C106" s="153" t="str">
        <f>'MASTER SHEET'!AR106</f>
        <v>Lamar Miller</v>
      </c>
    </row>
    <row r="107" spans="3:3" x14ac:dyDescent="0.25">
      <c r="C107" s="153" t="str">
        <f>'MASTER SHEET'!AR107</f>
        <v>Brian Hartline</v>
      </c>
    </row>
    <row r="108" spans="3:3" x14ac:dyDescent="0.25">
      <c r="C108" s="153" t="str">
        <f>'MASTER SHEET'!AR108</f>
        <v>Ben Roethlisberger</v>
      </c>
    </row>
    <row r="109" spans="3:3" x14ac:dyDescent="0.25">
      <c r="C109" s="153" t="str">
        <f>'MASTER SHEET'!AR109</f>
        <v>Riley Cooper</v>
      </c>
    </row>
    <row r="110" spans="3:3" x14ac:dyDescent="0.25">
      <c r="C110" s="153" t="str">
        <f>'MASTER SHEET'!AR110</f>
        <v>Heath Miller</v>
      </c>
    </row>
    <row r="111" spans="3:3" x14ac:dyDescent="0.25">
      <c r="C111" s="153" t="str">
        <f>'MASTER SHEET'!AR111</f>
        <v>Marvin Jones</v>
      </c>
    </row>
    <row r="112" spans="3:3" x14ac:dyDescent="0.25">
      <c r="C112" s="153" t="str">
        <f>'MASTER SHEET'!AR112</f>
        <v>Martellus Bennett</v>
      </c>
    </row>
    <row r="113" spans="3:3" x14ac:dyDescent="0.25">
      <c r="C113" s="153" t="str">
        <f>'MASTER SHEET'!AR113</f>
        <v>Mike Evans</v>
      </c>
    </row>
    <row r="114" spans="3:3" x14ac:dyDescent="0.25">
      <c r="C114" s="153" t="str">
        <f>'MASTER SHEET'!AR114</f>
        <v>DeAngelo Williams</v>
      </c>
    </row>
    <row r="115" spans="3:3" x14ac:dyDescent="0.25">
      <c r="C115" s="153" t="str">
        <f>'MASTER SHEET'!AR115</f>
        <v>Darren Sproles</v>
      </c>
    </row>
    <row r="116" spans="3:3" x14ac:dyDescent="0.25">
      <c r="C116" s="153" t="str">
        <f>'MASTER SHEET'!AR116</f>
        <v>Greg Jennings</v>
      </c>
    </row>
    <row r="117" spans="3:3" x14ac:dyDescent="0.25">
      <c r="C117" s="153" t="str">
        <f>'MASTER SHEET'!AR117</f>
        <v>Antonio Gates</v>
      </c>
    </row>
    <row r="118" spans="3:3" x14ac:dyDescent="0.25">
      <c r="C118" s="153" t="str">
        <f>'MASTER SHEET'!AR118</f>
        <v>Delanie Walker</v>
      </c>
    </row>
    <row r="119" spans="3:3" x14ac:dyDescent="0.25">
      <c r="C119" s="153" t="str">
        <f>'MASTER SHEET'!AR119</f>
        <v>Andy Dalton</v>
      </c>
    </row>
    <row r="120" spans="3:3" x14ac:dyDescent="0.25">
      <c r="C120" s="153" t="str">
        <f>'MASTER SHEET'!AR120</f>
        <v>Charles Clay</v>
      </c>
    </row>
    <row r="121" spans="3:3" x14ac:dyDescent="0.25">
      <c r="C121" s="153" t="str">
        <f>'MASTER SHEET'!AR121</f>
        <v>Doug Baldwin</v>
      </c>
    </row>
    <row r="122" spans="3:3" x14ac:dyDescent="0.25">
      <c r="C122" s="153" t="str">
        <f>'MASTER SHEET'!AR122</f>
        <v>DeAndre Hopkins</v>
      </c>
    </row>
    <row r="123" spans="3:3" x14ac:dyDescent="0.25">
      <c r="C123" s="153" t="str">
        <f>'MASTER SHEET'!AR123</f>
        <v>James Jones</v>
      </c>
    </row>
    <row r="124" spans="3:3" x14ac:dyDescent="0.25">
      <c r="C124" s="153" t="str">
        <f>'MASTER SHEET'!AR124</f>
        <v>Danny Amendola</v>
      </c>
    </row>
    <row r="125" spans="3:3" x14ac:dyDescent="0.25">
      <c r="C125" s="153" t="str">
        <f>'MASTER SHEET'!AR125</f>
        <v>Ladarius Green</v>
      </c>
    </row>
    <row r="126" spans="3:3" x14ac:dyDescent="0.25">
      <c r="C126" s="153" t="str">
        <f>'MASTER SHEET'!AR126</f>
        <v>Kenny Stills</v>
      </c>
    </row>
    <row r="127" spans="3:3" x14ac:dyDescent="0.25">
      <c r="C127" s="153" t="str">
        <f>'MASTER SHEET'!AR127</f>
        <v>Alex Smith</v>
      </c>
    </row>
    <row r="128" spans="3:3" x14ac:dyDescent="0.25">
      <c r="C128" s="153" t="str">
        <f>'MASTER SHEET'!AR128</f>
        <v>Jared Cook</v>
      </c>
    </row>
    <row r="129" spans="3:3" x14ac:dyDescent="0.25">
      <c r="C129" s="153" t="str">
        <f>'MASTER SHEET'!AR129</f>
        <v>Steve Smith</v>
      </c>
    </row>
    <row r="130" spans="3:3" x14ac:dyDescent="0.25">
      <c r="C130" s="153" t="str">
        <f>'MASTER SHEET'!AR130</f>
        <v>Kelvin Benjamin</v>
      </c>
    </row>
    <row r="131" spans="3:3" x14ac:dyDescent="0.25">
      <c r="C131" s="153" t="str">
        <f>'MASTER SHEET'!AR131</f>
        <v>Tavon Austin</v>
      </c>
    </row>
    <row r="132" spans="3:3" x14ac:dyDescent="0.25">
      <c r="C132" s="153" t="str">
        <f>'MASTER SHEET'!AR132</f>
        <v>Brandin Cooks</v>
      </c>
    </row>
    <row r="133" spans="3:3" x14ac:dyDescent="0.25">
      <c r="C133" s="153" t="str">
        <f>'MASTER SHEET'!AR133</f>
        <v>Jarrett Boykin</v>
      </c>
    </row>
    <row r="134" spans="3:3" x14ac:dyDescent="0.25">
      <c r="C134" s="153" t="str">
        <f>'MASTER SHEET'!AR134</f>
        <v>Eric Ebron</v>
      </c>
    </row>
    <row r="135" spans="3:3" x14ac:dyDescent="0.25">
      <c r="C135" s="153" t="str">
        <f>'MASTER SHEET'!AR135</f>
        <v>Knowshon Moreno</v>
      </c>
    </row>
    <row r="136" spans="3:3" x14ac:dyDescent="0.25">
      <c r="C136" s="153" t="str">
        <f>'MASTER SHEET'!AR136</f>
        <v>Dwayne Allen</v>
      </c>
    </row>
    <row r="137" spans="3:3" x14ac:dyDescent="0.25">
      <c r="C137" s="153" t="str">
        <f>'MASTER SHEET'!AR137</f>
        <v>Hakeem Nicks</v>
      </c>
    </row>
    <row r="138" spans="3:3" x14ac:dyDescent="0.25">
      <c r="C138" s="153" t="str">
        <f>'MASTER SHEET'!AR138</f>
        <v>Ryan Tannehill</v>
      </c>
    </row>
    <row r="139" spans="3:3" x14ac:dyDescent="0.25">
      <c r="C139" s="153" t="str">
        <f>'MASTER SHEET'!AR139</f>
        <v>Bernard Pierce</v>
      </c>
    </row>
    <row r="140" spans="3:3" x14ac:dyDescent="0.25">
      <c r="C140" s="153" t="str">
        <f>'MASTER SHEET'!AR140</f>
        <v>Darren McFadden</v>
      </c>
    </row>
    <row r="141" spans="3:3" x14ac:dyDescent="0.25">
      <c r="C141" s="153" t="str">
        <f>'MASTER SHEET'!AR141</f>
        <v>Rod Streater</v>
      </c>
    </row>
    <row r="142" spans="3:3" x14ac:dyDescent="0.25">
      <c r="C142" s="153" t="str">
        <f>'MASTER SHEET'!AR142</f>
        <v>Robert Woods</v>
      </c>
    </row>
    <row r="143" spans="3:3" x14ac:dyDescent="0.25">
      <c r="C143" s="153" t="str">
        <f>'MASTER SHEET'!AR143</f>
        <v>Tyler Eifert</v>
      </c>
    </row>
    <row r="144" spans="3:3" x14ac:dyDescent="0.25">
      <c r="C144" s="153" t="str">
        <f>'MASTER SHEET'!AR144</f>
        <v>Markus Wheaton</v>
      </c>
    </row>
    <row r="145" spans="3:3" x14ac:dyDescent="0.25">
      <c r="C145" s="153" t="str">
        <f>'MASTER SHEET'!AR145</f>
        <v>Carson Palmer</v>
      </c>
    </row>
    <row r="146" spans="3:3" x14ac:dyDescent="0.25">
      <c r="C146" s="153" t="str">
        <f>'MASTER SHEET'!AR146</f>
        <v>Garrett Graham</v>
      </c>
    </row>
    <row r="147" spans="3:3" x14ac:dyDescent="0.25">
      <c r="C147" s="153" t="str">
        <f>'MASTER SHEET'!AR147</f>
        <v>Harry Douglas</v>
      </c>
    </row>
    <row r="148" spans="3:3" x14ac:dyDescent="0.25">
      <c r="C148" s="153" t="str">
        <f>'MASTER SHEET'!AR148</f>
        <v>Jeremy Hill</v>
      </c>
    </row>
    <row r="149" spans="3:3" x14ac:dyDescent="0.25">
      <c r="C149" s="153" t="str">
        <f>'MASTER SHEET'!AR149</f>
        <v>Terrance West</v>
      </c>
    </row>
    <row r="150" spans="3:3" x14ac:dyDescent="0.25">
      <c r="C150" s="153" t="str">
        <f>'MASTER SHEET'!AR150</f>
        <v>Joe Flacco</v>
      </c>
    </row>
    <row r="151" spans="3:3" x14ac:dyDescent="0.25">
      <c r="C151" s="153" t="str">
        <f>'MASTER SHEET'!AR151</f>
        <v>Chris Ivory</v>
      </c>
    </row>
    <row r="152" spans="3:3" x14ac:dyDescent="0.25">
      <c r="C152" s="153" t="str">
        <f>'MASTER SHEET'!AR152</f>
        <v>Eli Manning</v>
      </c>
    </row>
    <row r="153" spans="3:3" x14ac:dyDescent="0.25">
      <c r="C153" s="153" t="str">
        <f>'MASTER SHEET'!AR153</f>
        <v>Devonta Freeman</v>
      </c>
    </row>
    <row r="154" spans="3:3" x14ac:dyDescent="0.25">
      <c r="C154" s="153" t="str">
        <f>'MASTER SHEET'!AR154</f>
        <v>Sam Bradford</v>
      </c>
    </row>
    <row r="155" spans="3:3" x14ac:dyDescent="0.25">
      <c r="C155" s="153" t="str">
        <f>'MASTER SHEET'!AR155</f>
        <v>Marcedes Lewis</v>
      </c>
    </row>
    <row r="156" spans="3:3" x14ac:dyDescent="0.25">
      <c r="C156" s="153" t="str">
        <f>'MASTER SHEET'!AR156</f>
        <v>Coby Fleener</v>
      </c>
    </row>
    <row r="157" spans="3:3" x14ac:dyDescent="0.25">
      <c r="C157" s="153" t="str">
        <f>'MASTER SHEET'!AR157</f>
        <v>Scott Chandler</v>
      </c>
    </row>
    <row r="158" spans="3:3" x14ac:dyDescent="0.25">
      <c r="C158" s="153" t="str">
        <f>'MASTER SHEET'!AR158</f>
        <v>Khiry Robinson</v>
      </c>
    </row>
    <row r="159" spans="3:3" x14ac:dyDescent="0.25">
      <c r="C159" s="153" t="str">
        <f>'MASTER SHEET'!AR159</f>
        <v>EJ Manuel</v>
      </c>
    </row>
    <row r="160" spans="3:3" x14ac:dyDescent="0.25">
      <c r="C160" s="153" t="str">
        <f>'MASTER SHEET'!AR160</f>
        <v>Jacquizz Rodgers</v>
      </c>
    </row>
    <row r="161" spans="3:3" x14ac:dyDescent="0.25">
      <c r="C161" s="153" t="str">
        <f>'MASTER SHEET'!AR161</f>
        <v>Jonathan Stewart</v>
      </c>
    </row>
    <row r="162" spans="3:3" x14ac:dyDescent="0.25">
      <c r="C162" s="153" t="str">
        <f>'MASTER SHEET'!AR162</f>
        <v>Mike Tolbert</v>
      </c>
    </row>
    <row r="163" spans="3:3" x14ac:dyDescent="0.25">
      <c r="C163" s="153" t="str">
        <f>'MASTER SHEET'!AR163</f>
        <v>Knile Davis</v>
      </c>
    </row>
    <row r="164" spans="3:3" x14ac:dyDescent="0.25">
      <c r="C164" s="153" t="str">
        <f>'MASTER SHEET'!AR164</f>
        <v>Andre Brown</v>
      </c>
    </row>
    <row r="165" spans="3:3" x14ac:dyDescent="0.25">
      <c r="C165" s="153" t="str">
        <f>'MASTER SHEET'!AR165</f>
        <v>C.J. Anderson</v>
      </c>
    </row>
    <row r="166" spans="3:3" x14ac:dyDescent="0.25">
      <c r="C166" s="153" t="str">
        <f>'MASTER SHEET'!AR166</f>
        <v>Shonn Greene</v>
      </c>
    </row>
    <row r="167" spans="3:3" x14ac:dyDescent="0.25">
      <c r="C167" s="153" t="str">
        <f>'MASTER SHEET'!AR167</f>
        <v>Mark Ingram</v>
      </c>
    </row>
    <row r="168" spans="3:3" x14ac:dyDescent="0.25">
      <c r="C168" s="153" t="str">
        <f>'MASTER SHEET'!AR168</f>
        <v>Roy Helu</v>
      </c>
    </row>
    <row r="169" spans="3:3" x14ac:dyDescent="0.25">
      <c r="C169" s="153" t="str">
        <f>'MASTER SHEET'!AR169</f>
        <v>Ahmad Bradshaw</v>
      </c>
    </row>
    <row r="170" spans="3:3" x14ac:dyDescent="0.25">
      <c r="C170" s="153" t="str">
        <f>'MASTER SHEET'!AR170</f>
        <v>LeGarrette Blount</v>
      </c>
    </row>
    <row r="171" spans="3:3" x14ac:dyDescent="0.25">
      <c r="C171" s="153" t="str">
        <f>'MASTER SHEET'!AR171</f>
        <v>Lance Dunbar</v>
      </c>
    </row>
    <row r="172" spans="3:3" x14ac:dyDescent="0.25">
      <c r="C172" s="153" t="str">
        <f>'MASTER SHEET'!AR172</f>
        <v>Christine Michael</v>
      </c>
    </row>
    <row r="173" spans="3:3" x14ac:dyDescent="0.25">
      <c r="C173" s="153" t="str">
        <f>'MASTER SHEET'!AR173</f>
        <v>David Wilson</v>
      </c>
    </row>
    <row r="174" spans="3:3" x14ac:dyDescent="0.25">
      <c r="C174" s="153" t="str">
        <f>'MASTER SHEET'!AR174</f>
        <v>Carlos Hyde</v>
      </c>
    </row>
    <row r="175" spans="3:3" x14ac:dyDescent="0.25">
      <c r="C175" s="153" t="str">
        <f>'MASTER SHEET'!AR175</f>
        <v>Josh McCown</v>
      </c>
    </row>
    <row r="176" spans="3:3" x14ac:dyDescent="0.25">
      <c r="C176" s="153" t="str">
        <f>'MASTER SHEET'!AR176</f>
        <v>Jake Locker</v>
      </c>
    </row>
    <row r="177" spans="3:3" x14ac:dyDescent="0.25">
      <c r="C177" s="153" t="str">
        <f>'MASTER SHEET'!AR177</f>
        <v>Ryan Fitzpatrick</v>
      </c>
    </row>
    <row r="178" spans="3:3" x14ac:dyDescent="0.25">
      <c r="C178" s="153" t="str">
        <f>'MASTER SHEET'!AR178</f>
        <v>Matt Schaub</v>
      </c>
    </row>
    <row r="179" spans="3:3" x14ac:dyDescent="0.25">
      <c r="C179" s="153" t="str">
        <f>'MASTER SHEET'!AR179</f>
        <v>Johnny Manziel</v>
      </c>
    </row>
    <row r="180" spans="3:3" x14ac:dyDescent="0.25">
      <c r="C180" s="153" t="str">
        <f>'MASTER SHEET'!AR180</f>
        <v>Geno Smith</v>
      </c>
    </row>
    <row r="181" spans="3:3" x14ac:dyDescent="0.25">
      <c r="C181" s="153" t="str">
        <f>'MASTER SHEET'!AR181</f>
        <v>Teddy Bridgewater</v>
      </c>
    </row>
    <row r="182" spans="3:3" x14ac:dyDescent="0.25">
      <c r="C182" s="153" t="str">
        <f>'MASTER SHEET'!AR182</f>
        <v>Chad Henne</v>
      </c>
    </row>
  </sheetData>
  <mergeCells count="4">
    <mergeCell ref="F5:H5"/>
    <mergeCell ref="J5:L5"/>
    <mergeCell ref="N5:P5"/>
    <mergeCell ref="R5:T5"/>
  </mergeCells>
  <conditionalFormatting sqref="H9:I9 L9:M9 P9:Q9 T9">
    <cfRule type="colorScale" priority="5">
      <colorScale>
        <cfvo type="min"/>
        <cfvo type="percentile" val="50"/>
        <cfvo type="max"/>
        <color rgb="FF63BE7B"/>
        <color rgb="FFFFEB84"/>
        <color rgb="FFF8696B"/>
      </colorScale>
    </cfRule>
  </conditionalFormatting>
  <conditionalFormatting sqref="G9:G18 K9:K18 O9:O18 S9:S18">
    <cfRule type="colorScale" priority="4">
      <colorScale>
        <cfvo type="min"/>
        <cfvo type="percentile" val="50"/>
        <cfvo type="max"/>
        <color rgb="FFF8696B"/>
        <color rgb="FFFFEB84"/>
        <color rgb="FF63BE7B"/>
      </colorScale>
    </cfRule>
  </conditionalFormatting>
  <conditionalFormatting sqref="G7 K7 O7 S7">
    <cfRule type="colorScale" priority="3">
      <colorScale>
        <cfvo type="min"/>
        <cfvo type="percentile" val="50"/>
        <cfvo type="max"/>
        <color rgb="FFF8696B"/>
        <color rgb="FFFFEB84"/>
        <color rgb="FF63BE7B"/>
      </colorScale>
    </cfRule>
  </conditionalFormatting>
  <conditionalFormatting sqref="F7 J7 N7 R7">
    <cfRule type="colorScale" priority="2">
      <colorScale>
        <cfvo type="min"/>
        <cfvo type="percentile" val="50"/>
        <cfvo type="max"/>
        <color rgb="FFF8696B"/>
        <color rgb="FFFFEB84"/>
        <color rgb="FF63BE7B"/>
      </colorScale>
    </cfRule>
  </conditionalFormatting>
  <conditionalFormatting sqref="L7 H7 P7 T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L78"/>
  <sheetViews>
    <sheetView zoomScaleNormal="100" workbookViewId="0">
      <selection activeCell="G12" sqref="G12"/>
    </sheetView>
  </sheetViews>
  <sheetFormatPr defaultRowHeight="15" x14ac:dyDescent="0.25"/>
  <cols>
    <col min="1" max="1" width="15.42578125" style="1" customWidth="1"/>
    <col min="2" max="2" width="20.7109375" style="54" customWidth="1"/>
    <col min="3" max="3" width="3.7109375" style="1" customWidth="1"/>
    <col min="4" max="4" width="4.7109375" style="1" customWidth="1"/>
    <col min="5" max="5" width="4.7109375" style="57" customWidth="1"/>
    <col min="6" max="7" width="4.7109375" style="1" customWidth="1"/>
    <col min="8" max="8" width="4.7109375" style="55" customWidth="1"/>
    <col min="9" max="9" width="3.7109375" style="54" customWidth="1"/>
    <col min="10" max="10" width="3.28515625" style="54" customWidth="1"/>
    <col min="11" max="11" width="20.7109375" style="1" hidden="1" customWidth="1"/>
    <col min="12" max="12" width="20.7109375" style="54" customWidth="1"/>
    <col min="13" max="13" width="3.7109375" style="1" customWidth="1"/>
    <col min="14" max="14" width="4.7109375" style="56" customWidth="1"/>
    <col min="15" max="15" width="4.7109375" style="76" customWidth="1"/>
    <col min="16" max="17" width="4.7109375" style="1" customWidth="1"/>
    <col min="18" max="18" width="4.7109375" style="55" customWidth="1"/>
    <col min="19" max="19" width="3.7109375" style="54" customWidth="1"/>
    <col min="20" max="20" width="3.28515625" style="54" customWidth="1"/>
    <col min="21" max="21" width="20.7109375" style="1" hidden="1" customWidth="1"/>
    <col min="22" max="22" width="20.7109375" style="54" customWidth="1"/>
    <col min="23" max="23" width="3.7109375" style="1" customWidth="1"/>
    <col min="24" max="24" width="4.7109375" style="56" customWidth="1"/>
    <col min="25" max="25" width="4.7109375" style="76" customWidth="1"/>
    <col min="26" max="27" width="4.7109375" style="1" customWidth="1"/>
    <col min="28" max="28" width="4.7109375" style="55" customWidth="1"/>
    <col min="29" max="29" width="3.7109375" style="54" customWidth="1"/>
    <col min="30" max="30" width="3.28515625" style="54" customWidth="1"/>
    <col min="32" max="32" width="9.7109375" bestFit="1" customWidth="1"/>
    <col min="36" max="36" width="9.7109375" bestFit="1" customWidth="1"/>
  </cols>
  <sheetData>
    <row r="1" spans="1:38" ht="23.25" customHeight="1" x14ac:dyDescent="0.35">
      <c r="B1" s="181" t="s">
        <v>240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3"/>
    </row>
    <row r="2" spans="1:38" ht="15.75" customHeight="1" thickBot="1" x14ac:dyDescent="0.3">
      <c r="B2" s="184" t="s">
        <v>241</v>
      </c>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6"/>
      <c r="AF2" s="9"/>
    </row>
    <row r="3" spans="1:38" ht="15.75" thickBot="1" x14ac:dyDescent="0.3">
      <c r="B3" s="2"/>
      <c r="C3" s="3"/>
      <c r="D3" s="3"/>
      <c r="E3" s="6"/>
      <c r="F3" s="3"/>
      <c r="G3" s="3"/>
      <c r="H3" s="4"/>
      <c r="I3" s="2"/>
      <c r="J3" s="2"/>
      <c r="K3" s="3"/>
      <c r="L3" s="2"/>
      <c r="M3" s="3"/>
      <c r="N3" s="5"/>
      <c r="O3" s="58"/>
      <c r="P3" s="3"/>
      <c r="Q3" s="3"/>
      <c r="R3" s="4"/>
      <c r="S3" s="2"/>
      <c r="T3" s="2"/>
      <c r="U3" s="3"/>
      <c r="V3" s="2"/>
      <c r="W3" s="3"/>
      <c r="X3" s="5"/>
      <c r="Y3" s="58"/>
      <c r="Z3" s="3"/>
      <c r="AA3" s="3"/>
      <c r="AB3" s="4"/>
      <c r="AC3" s="2"/>
    </row>
    <row r="4" spans="1:38" ht="15" customHeight="1" x14ac:dyDescent="0.25">
      <c r="B4" s="187" t="s">
        <v>0</v>
      </c>
      <c r="C4" s="179"/>
      <c r="D4" s="179"/>
      <c r="E4" s="179"/>
      <c r="F4" s="179"/>
      <c r="G4" s="179"/>
      <c r="H4" s="179"/>
      <c r="I4" s="180"/>
      <c r="J4" s="7"/>
      <c r="L4" s="178" t="s">
        <v>1</v>
      </c>
      <c r="M4" s="188"/>
      <c r="N4" s="188"/>
      <c r="O4" s="188"/>
      <c r="P4" s="188"/>
      <c r="Q4" s="188"/>
      <c r="R4" s="188"/>
      <c r="S4" s="189"/>
      <c r="T4" s="7"/>
      <c r="U4" s="8"/>
      <c r="V4" s="178" t="s">
        <v>2</v>
      </c>
      <c r="W4" s="188"/>
      <c r="X4" s="188"/>
      <c r="Y4" s="188"/>
      <c r="Z4" s="188"/>
      <c r="AA4" s="188"/>
      <c r="AB4" s="188"/>
      <c r="AC4" s="189"/>
      <c r="AD4" s="59"/>
      <c r="AJ4" s="9"/>
    </row>
    <row r="5" spans="1:38" ht="15.75" customHeight="1" thickBot="1" x14ac:dyDescent="0.3">
      <c r="A5" s="10" t="s">
        <v>3</v>
      </c>
      <c r="B5" s="11" t="s">
        <v>4</v>
      </c>
      <c r="C5" s="12" t="s">
        <v>9</v>
      </c>
      <c r="D5" s="12" t="s">
        <v>232</v>
      </c>
      <c r="E5" s="12" t="s">
        <v>233</v>
      </c>
      <c r="F5" s="60" t="s">
        <v>5</v>
      </c>
      <c r="G5" s="13" t="s">
        <v>234</v>
      </c>
      <c r="H5" s="14" t="s">
        <v>235</v>
      </c>
      <c r="I5" s="15" t="s">
        <v>6</v>
      </c>
      <c r="J5" s="3"/>
      <c r="K5" s="10" t="s">
        <v>3</v>
      </c>
      <c r="L5" s="11" t="s">
        <v>4</v>
      </c>
      <c r="M5" s="12" t="s">
        <v>9</v>
      </c>
      <c r="N5" s="61" t="s">
        <v>232</v>
      </c>
      <c r="O5" s="61" t="s">
        <v>233</v>
      </c>
      <c r="P5" s="60" t="s">
        <v>5</v>
      </c>
      <c r="Q5" s="14" t="s">
        <v>234</v>
      </c>
      <c r="R5" s="14" t="s">
        <v>235</v>
      </c>
      <c r="S5" s="15" t="s">
        <v>6</v>
      </c>
      <c r="T5" s="3"/>
      <c r="U5" s="11" t="s">
        <v>3</v>
      </c>
      <c r="V5" s="11" t="s">
        <v>4</v>
      </c>
      <c r="W5" s="12" t="s">
        <v>9</v>
      </c>
      <c r="X5" s="61" t="s">
        <v>232</v>
      </c>
      <c r="Y5" s="61" t="s">
        <v>233</v>
      </c>
      <c r="Z5" s="60" t="s">
        <v>5</v>
      </c>
      <c r="AA5" s="14" t="s">
        <v>234</v>
      </c>
      <c r="AB5" s="14" t="s">
        <v>235</v>
      </c>
      <c r="AC5" s="15" t="s">
        <v>6</v>
      </c>
      <c r="AD5" s="1"/>
    </row>
    <row r="6" spans="1:38" ht="15.75" customHeight="1" x14ac:dyDescent="0.25">
      <c r="A6" s="16">
        <v>1</v>
      </c>
      <c r="B6" s="17" t="s">
        <v>25</v>
      </c>
      <c r="C6" s="18" t="s">
        <v>58</v>
      </c>
      <c r="D6" s="18">
        <v>11</v>
      </c>
      <c r="E6" s="62">
        <v>-5</v>
      </c>
      <c r="F6" s="63">
        <v>6.4282234575000006</v>
      </c>
      <c r="G6" s="19">
        <v>0.80398801148326904</v>
      </c>
      <c r="H6" s="64">
        <v>0.83162532866221806</v>
      </c>
      <c r="I6" s="21" t="s">
        <v>28</v>
      </c>
      <c r="J6" s="22"/>
      <c r="K6" s="16">
        <v>1</v>
      </c>
      <c r="L6" s="17" t="s">
        <v>27</v>
      </c>
      <c r="M6" s="18" t="s">
        <v>83</v>
      </c>
      <c r="N6" s="18">
        <v>2</v>
      </c>
      <c r="O6" s="62">
        <v>1</v>
      </c>
      <c r="P6" s="63">
        <v>11.312178144999999</v>
      </c>
      <c r="Q6" s="20">
        <v>1.8543916210405169</v>
      </c>
      <c r="R6" s="64">
        <v>0.92578940511555741</v>
      </c>
      <c r="S6" s="21" t="s">
        <v>28</v>
      </c>
      <c r="T6" s="22"/>
      <c r="U6" s="23">
        <v>1</v>
      </c>
      <c r="V6" s="17" t="s">
        <v>29</v>
      </c>
      <c r="W6" s="18" t="s">
        <v>113</v>
      </c>
      <c r="X6" s="18">
        <v>6</v>
      </c>
      <c r="Y6" s="62">
        <v>2</v>
      </c>
      <c r="Z6" s="63">
        <v>8.544854186666667</v>
      </c>
      <c r="AA6" s="19">
        <v>0.87719651225789963</v>
      </c>
      <c r="AB6" s="64">
        <v>0.9360136811476264</v>
      </c>
      <c r="AC6" s="21" t="s">
        <v>26</v>
      </c>
      <c r="AD6" s="65"/>
      <c r="AI6" s="24"/>
    </row>
    <row r="7" spans="1:38" x14ac:dyDescent="0.25">
      <c r="A7" s="25">
        <v>2</v>
      </c>
      <c r="B7" s="26" t="s">
        <v>30</v>
      </c>
      <c r="C7" s="27" t="s">
        <v>113</v>
      </c>
      <c r="D7" s="27">
        <v>21</v>
      </c>
      <c r="E7" s="66">
        <v>-2</v>
      </c>
      <c r="F7" s="67">
        <v>5.0855896233333331</v>
      </c>
      <c r="G7" s="28">
        <v>1.0472248015294765</v>
      </c>
      <c r="H7" s="68">
        <v>0.69841831010586541</v>
      </c>
      <c r="I7" s="30" t="s">
        <v>31</v>
      </c>
      <c r="J7" s="22"/>
      <c r="K7" s="25">
        <v>2</v>
      </c>
      <c r="L7" s="26" t="s">
        <v>35</v>
      </c>
      <c r="M7" s="27" t="s">
        <v>91</v>
      </c>
      <c r="N7" s="69">
        <v>1</v>
      </c>
      <c r="O7" s="32">
        <v>-1</v>
      </c>
      <c r="P7" s="67">
        <v>9.3998979466666679</v>
      </c>
      <c r="Q7" s="29">
        <v>1.4788136023538048</v>
      </c>
      <c r="R7" s="68">
        <v>0.86412382581388125</v>
      </c>
      <c r="S7" s="30" t="s">
        <v>40</v>
      </c>
      <c r="T7" s="22"/>
      <c r="U7" s="31">
        <v>2</v>
      </c>
      <c r="V7" s="26" t="s">
        <v>33</v>
      </c>
      <c r="W7" s="27" t="s">
        <v>58</v>
      </c>
      <c r="X7" s="69">
        <v>10</v>
      </c>
      <c r="Y7" s="32">
        <v>4</v>
      </c>
      <c r="Z7" s="67">
        <v>7.7523021233333331</v>
      </c>
      <c r="AA7" s="28">
        <v>0.71296522980838184</v>
      </c>
      <c r="AB7" s="68">
        <v>0.87796221945298936</v>
      </c>
      <c r="AC7" s="30" t="s">
        <v>26</v>
      </c>
      <c r="AD7" s="65"/>
      <c r="AI7" s="24"/>
    </row>
    <row r="8" spans="1:38" ht="15" customHeight="1" x14ac:dyDescent="0.25">
      <c r="A8" s="25">
        <v>3</v>
      </c>
      <c r="B8" s="26" t="s">
        <v>34</v>
      </c>
      <c r="C8" s="27" t="s">
        <v>83</v>
      </c>
      <c r="D8" s="27">
        <v>19</v>
      </c>
      <c r="E8" s="66">
        <v>-6</v>
      </c>
      <c r="F8" s="67">
        <v>4.7943791966666662</v>
      </c>
      <c r="G8" s="28">
        <v>0.8075648441339276</v>
      </c>
      <c r="H8" s="68">
        <v>0.57283897596408107</v>
      </c>
      <c r="I8" s="30" t="s">
        <v>40</v>
      </c>
      <c r="J8" s="22"/>
      <c r="K8" s="25">
        <v>3</v>
      </c>
      <c r="L8" s="26" t="s">
        <v>32</v>
      </c>
      <c r="M8" s="27" t="s">
        <v>113</v>
      </c>
      <c r="N8" s="69">
        <v>4</v>
      </c>
      <c r="O8" s="32">
        <v>1</v>
      </c>
      <c r="P8" s="67">
        <v>8.9624354666666655</v>
      </c>
      <c r="Q8" s="29">
        <v>1.2668540218005049</v>
      </c>
      <c r="R8" s="68">
        <v>0.80532810503673458</v>
      </c>
      <c r="S8" s="30" t="s">
        <v>40</v>
      </c>
      <c r="T8" s="22"/>
      <c r="U8" s="31">
        <v>3</v>
      </c>
      <c r="V8" s="26" t="s">
        <v>36</v>
      </c>
      <c r="W8" s="27" t="s">
        <v>156</v>
      </c>
      <c r="X8" s="69">
        <v>12</v>
      </c>
      <c r="Y8" s="32">
        <v>3</v>
      </c>
      <c r="Z8" s="67">
        <v>7.0164688000000011</v>
      </c>
      <c r="AA8" s="28">
        <v>0.52771277517451254</v>
      </c>
      <c r="AB8" s="68">
        <v>0.82542088872377894</v>
      </c>
      <c r="AC8" s="30" t="s">
        <v>31</v>
      </c>
      <c r="AD8" s="65"/>
    </row>
    <row r="9" spans="1:38" ht="15" customHeight="1" x14ac:dyDescent="0.25">
      <c r="A9" s="25">
        <v>4</v>
      </c>
      <c r="B9" s="26" t="s">
        <v>42</v>
      </c>
      <c r="C9" s="27" t="s">
        <v>130</v>
      </c>
      <c r="D9" s="27">
        <v>53</v>
      </c>
      <c r="E9" s="66">
        <v>4</v>
      </c>
      <c r="F9" s="67">
        <v>2.885890675000002</v>
      </c>
      <c r="G9" s="28">
        <v>0.87234406253556374</v>
      </c>
      <c r="H9" s="68">
        <v>0.49724874529887791</v>
      </c>
      <c r="I9" s="30" t="s">
        <v>38</v>
      </c>
      <c r="J9" s="22"/>
      <c r="K9" s="25">
        <v>4</v>
      </c>
      <c r="L9" s="26" t="s">
        <v>39</v>
      </c>
      <c r="M9" s="27" t="s">
        <v>130</v>
      </c>
      <c r="N9" s="69">
        <v>3</v>
      </c>
      <c r="O9" s="32">
        <v>-2</v>
      </c>
      <c r="P9" s="67">
        <v>8.311911498333334</v>
      </c>
      <c r="Q9" s="29">
        <v>1.4690682567325326</v>
      </c>
      <c r="R9" s="68">
        <v>0.75079997711905355</v>
      </c>
      <c r="S9" s="30" t="s">
        <v>31</v>
      </c>
      <c r="T9" s="22"/>
      <c r="U9" s="31">
        <v>4</v>
      </c>
      <c r="V9" s="26" t="s">
        <v>44</v>
      </c>
      <c r="W9" s="27" t="s">
        <v>58</v>
      </c>
      <c r="X9" s="69">
        <v>13</v>
      </c>
      <c r="Y9" s="32">
        <v>2</v>
      </c>
      <c r="Z9" s="67">
        <v>6.6903409390909099</v>
      </c>
      <c r="AA9" s="28">
        <v>0.40140732543028035</v>
      </c>
      <c r="AB9" s="68">
        <v>0.77532169695199327</v>
      </c>
      <c r="AC9" s="30" t="s">
        <v>31</v>
      </c>
      <c r="AD9" s="65"/>
    </row>
    <row r="10" spans="1:38" ht="15.75" customHeight="1" x14ac:dyDescent="0.25">
      <c r="A10" s="25">
        <v>5</v>
      </c>
      <c r="B10" s="26" t="s">
        <v>37</v>
      </c>
      <c r="C10" s="27" t="s">
        <v>113</v>
      </c>
      <c r="D10" s="27">
        <v>45</v>
      </c>
      <c r="E10" s="66">
        <v>-9</v>
      </c>
      <c r="F10" s="67">
        <v>2.6426646433333341</v>
      </c>
      <c r="G10" s="28">
        <v>0.89115988390885681</v>
      </c>
      <c r="H10" s="68">
        <v>0.42802934219021943</v>
      </c>
      <c r="I10" s="30" t="s">
        <v>38</v>
      </c>
      <c r="J10" s="22"/>
      <c r="K10" s="25">
        <v>5</v>
      </c>
      <c r="L10" s="26" t="s">
        <v>43</v>
      </c>
      <c r="M10" s="27" t="s">
        <v>113</v>
      </c>
      <c r="N10" s="69">
        <v>6</v>
      </c>
      <c r="O10" s="32">
        <v>-2</v>
      </c>
      <c r="P10" s="67">
        <v>7.1330521433333347</v>
      </c>
      <c r="Q10" s="29">
        <v>1.2696235992168823</v>
      </c>
      <c r="R10" s="68">
        <v>0.70400544859295455</v>
      </c>
      <c r="S10" s="30" t="s">
        <v>38</v>
      </c>
      <c r="T10" s="22"/>
      <c r="U10" s="31">
        <v>5</v>
      </c>
      <c r="V10" s="26" t="s">
        <v>47</v>
      </c>
      <c r="W10" s="27" t="s">
        <v>113</v>
      </c>
      <c r="X10" s="69">
        <v>17</v>
      </c>
      <c r="Y10" s="32">
        <v>3</v>
      </c>
      <c r="Z10" s="67">
        <v>6.5022292366666665</v>
      </c>
      <c r="AA10" s="28">
        <v>0.79965260538513017</v>
      </c>
      <c r="AB10" s="68">
        <v>0.72663113955924263</v>
      </c>
      <c r="AC10" s="30" t="s">
        <v>31</v>
      </c>
      <c r="AD10" s="65"/>
    </row>
    <row r="11" spans="1:38" x14ac:dyDescent="0.25">
      <c r="A11" s="25">
        <v>6</v>
      </c>
      <c r="B11" s="26" t="s">
        <v>48</v>
      </c>
      <c r="C11" s="27" t="s">
        <v>91</v>
      </c>
      <c r="D11" s="27">
        <v>66</v>
      </c>
      <c r="E11" s="66">
        <v>11</v>
      </c>
      <c r="F11" s="67">
        <v>2.6270354966666667</v>
      </c>
      <c r="G11" s="28">
        <v>0.84931896463487122</v>
      </c>
      <c r="H11" s="68">
        <v>0.35921931384127309</v>
      </c>
      <c r="I11" s="30" t="s">
        <v>64</v>
      </c>
      <c r="J11" s="22"/>
      <c r="K11" s="25">
        <v>6</v>
      </c>
      <c r="L11" s="26" t="s">
        <v>49</v>
      </c>
      <c r="M11" s="27" t="s">
        <v>58</v>
      </c>
      <c r="N11" s="69">
        <v>13</v>
      </c>
      <c r="O11" s="32">
        <v>3</v>
      </c>
      <c r="P11" s="67">
        <v>6.7396906949999984</v>
      </c>
      <c r="Q11" s="29">
        <v>1.2642062561994321</v>
      </c>
      <c r="R11" s="68">
        <v>0.65979146527320265</v>
      </c>
      <c r="S11" s="30" t="s">
        <v>64</v>
      </c>
      <c r="T11" s="22"/>
      <c r="U11" s="31">
        <v>6</v>
      </c>
      <c r="V11" s="26" t="s">
        <v>41</v>
      </c>
      <c r="W11" s="27" t="s">
        <v>113</v>
      </c>
      <c r="X11" s="69">
        <v>15</v>
      </c>
      <c r="Y11" s="32">
        <v>0</v>
      </c>
      <c r="Z11" s="67">
        <v>6.4974375599999998</v>
      </c>
      <c r="AA11" s="28">
        <v>0.67476167957194266</v>
      </c>
      <c r="AB11" s="68">
        <v>0.67797646361564634</v>
      </c>
      <c r="AC11" s="30" t="s">
        <v>40</v>
      </c>
      <c r="AD11" s="65"/>
    </row>
    <row r="12" spans="1:38" ht="15" customHeight="1" x14ac:dyDescent="0.25">
      <c r="A12" s="25">
        <v>7</v>
      </c>
      <c r="B12" s="26" t="s">
        <v>45</v>
      </c>
      <c r="C12" s="27" t="s">
        <v>163</v>
      </c>
      <c r="D12" s="27">
        <v>75</v>
      </c>
      <c r="E12" s="66">
        <v>15</v>
      </c>
      <c r="F12" s="67">
        <v>2.4876594650000001</v>
      </c>
      <c r="G12" s="28">
        <v>0.80392238942187577</v>
      </c>
      <c r="H12" s="68">
        <v>0.29405996653653649</v>
      </c>
      <c r="I12" s="30" t="s">
        <v>239</v>
      </c>
      <c r="J12" s="22"/>
      <c r="K12" s="25">
        <v>7</v>
      </c>
      <c r="L12" s="26" t="s">
        <v>46</v>
      </c>
      <c r="M12" s="27" t="s">
        <v>156</v>
      </c>
      <c r="N12" s="69">
        <v>14</v>
      </c>
      <c r="O12" s="32">
        <v>2</v>
      </c>
      <c r="P12" s="67">
        <v>6.5478230166666673</v>
      </c>
      <c r="Q12" s="29">
        <v>1.1225858193281351</v>
      </c>
      <c r="R12" s="68">
        <v>0.61683617982451511</v>
      </c>
      <c r="S12" s="30" t="s">
        <v>64</v>
      </c>
      <c r="T12" s="22"/>
      <c r="U12" s="31">
        <v>7</v>
      </c>
      <c r="V12" s="26" t="s">
        <v>50</v>
      </c>
      <c r="W12" s="27" t="s">
        <v>163</v>
      </c>
      <c r="X12" s="69">
        <v>23</v>
      </c>
      <c r="Y12" s="32">
        <v>5</v>
      </c>
      <c r="Z12" s="67">
        <v>5.9340844550000007</v>
      </c>
      <c r="AA12" s="28">
        <v>0.97080920334189669</v>
      </c>
      <c r="AB12" s="68">
        <v>0.63354033729449444</v>
      </c>
      <c r="AC12" s="30" t="s">
        <v>38</v>
      </c>
      <c r="AD12" s="65"/>
    </row>
    <row r="13" spans="1:38" ht="15" customHeight="1" x14ac:dyDescent="0.25">
      <c r="A13" s="25">
        <v>8</v>
      </c>
      <c r="B13" s="26" t="s">
        <v>54</v>
      </c>
      <c r="C13" s="27" t="s">
        <v>105</v>
      </c>
      <c r="D13" s="27">
        <v>86</v>
      </c>
      <c r="E13" s="66">
        <v>20</v>
      </c>
      <c r="F13" s="67">
        <v>2.2390990783333335</v>
      </c>
      <c r="G13" s="28">
        <v>1.0500343262308243</v>
      </c>
      <c r="H13" s="68">
        <v>0.23541116972670573</v>
      </c>
      <c r="I13" s="30" t="s">
        <v>38</v>
      </c>
      <c r="J13" s="22"/>
      <c r="K13" s="25">
        <v>8</v>
      </c>
      <c r="L13" s="26" t="s">
        <v>52</v>
      </c>
      <c r="M13" s="27" t="s">
        <v>130</v>
      </c>
      <c r="N13" s="69">
        <v>14</v>
      </c>
      <c r="O13" s="32">
        <v>1</v>
      </c>
      <c r="P13" s="67">
        <v>6.5370938400000016</v>
      </c>
      <c r="Q13" s="29">
        <v>1.4369016512860988</v>
      </c>
      <c r="R13" s="68">
        <v>0.57395128034154064</v>
      </c>
      <c r="S13" s="30" t="s">
        <v>64</v>
      </c>
      <c r="T13" s="22"/>
      <c r="U13" s="31">
        <v>8</v>
      </c>
      <c r="V13" s="26" t="s">
        <v>53</v>
      </c>
      <c r="W13" s="27" t="s">
        <v>113</v>
      </c>
      <c r="X13" s="69">
        <v>23</v>
      </c>
      <c r="Y13" s="32">
        <v>2</v>
      </c>
      <c r="Z13" s="67">
        <v>5.4371146833333333</v>
      </c>
      <c r="AA13" s="28">
        <v>0.49915589959203871</v>
      </c>
      <c r="AB13" s="68">
        <v>0.59282566315674834</v>
      </c>
      <c r="AC13" s="30" t="s">
        <v>64</v>
      </c>
      <c r="AD13" s="65"/>
      <c r="AL13" t="s">
        <v>7</v>
      </c>
    </row>
    <row r="14" spans="1:38" ht="15.75" customHeight="1" x14ac:dyDescent="0.25">
      <c r="A14" s="25">
        <v>9</v>
      </c>
      <c r="B14" s="26" t="s">
        <v>51</v>
      </c>
      <c r="C14" s="27" t="s">
        <v>130</v>
      </c>
      <c r="D14" s="27">
        <v>67</v>
      </c>
      <c r="E14" s="66">
        <v>-3</v>
      </c>
      <c r="F14" s="67">
        <v>2.1184740283333334</v>
      </c>
      <c r="G14" s="28">
        <v>0.88846991953062171</v>
      </c>
      <c r="H14" s="68">
        <v>0.17992190887313619</v>
      </c>
      <c r="I14" s="30" t="s">
        <v>38</v>
      </c>
      <c r="J14" s="22"/>
      <c r="K14" s="25">
        <v>9</v>
      </c>
      <c r="L14" s="26" t="s">
        <v>59</v>
      </c>
      <c r="M14" s="27" t="s">
        <v>58</v>
      </c>
      <c r="N14" s="69">
        <v>13</v>
      </c>
      <c r="O14" s="32">
        <v>-4</v>
      </c>
      <c r="P14" s="67">
        <v>6.2511323716666674</v>
      </c>
      <c r="Q14" s="29">
        <v>1.8329607937369126</v>
      </c>
      <c r="R14" s="68">
        <v>0.53294235650242794</v>
      </c>
      <c r="S14" s="30" t="s">
        <v>38</v>
      </c>
      <c r="T14" s="22"/>
      <c r="U14" s="31">
        <v>9</v>
      </c>
      <c r="V14" s="26" t="s">
        <v>56</v>
      </c>
      <c r="W14" s="27" t="s">
        <v>113</v>
      </c>
      <c r="X14" s="69">
        <v>24</v>
      </c>
      <c r="Y14" s="32">
        <v>2</v>
      </c>
      <c r="Z14" s="67">
        <v>5.3406313400000007</v>
      </c>
      <c r="AA14" s="28">
        <v>0.66924630089691151</v>
      </c>
      <c r="AB14" s="68">
        <v>0.55283348396573906</v>
      </c>
      <c r="AC14" s="30" t="s">
        <v>38</v>
      </c>
      <c r="AD14" s="65"/>
    </row>
    <row r="15" spans="1:38" x14ac:dyDescent="0.25">
      <c r="A15" s="25">
        <v>10</v>
      </c>
      <c r="B15" s="26" t="s">
        <v>57</v>
      </c>
      <c r="C15" s="27" t="s">
        <v>130</v>
      </c>
      <c r="D15" s="27">
        <v>71</v>
      </c>
      <c r="E15" s="66">
        <v>-5</v>
      </c>
      <c r="F15" s="67">
        <v>1.6733938600000013</v>
      </c>
      <c r="G15" s="28">
        <v>0.58220570034499397</v>
      </c>
      <c r="H15" s="68">
        <v>0.13609064770759163</v>
      </c>
      <c r="I15" s="30" t="s">
        <v>58</v>
      </c>
      <c r="J15" s="22"/>
      <c r="K15" s="25">
        <v>10</v>
      </c>
      <c r="L15" s="26" t="s">
        <v>55</v>
      </c>
      <c r="M15" s="27" t="s">
        <v>58</v>
      </c>
      <c r="N15" s="69">
        <v>20</v>
      </c>
      <c r="O15" s="32">
        <v>1</v>
      </c>
      <c r="P15" s="67">
        <v>5.8384167866666674</v>
      </c>
      <c r="Q15" s="29">
        <v>0.86859416413518065</v>
      </c>
      <c r="R15" s="68">
        <v>0.49464094563635552</v>
      </c>
      <c r="S15" s="30" t="s">
        <v>85</v>
      </c>
      <c r="T15" s="22"/>
      <c r="U15" s="31">
        <v>10</v>
      </c>
      <c r="V15" s="26" t="s">
        <v>60</v>
      </c>
      <c r="W15" s="27" t="s">
        <v>113</v>
      </c>
      <c r="X15" s="69">
        <v>27</v>
      </c>
      <c r="Y15" s="32">
        <v>1</v>
      </c>
      <c r="Z15" s="67">
        <v>4.7457032349999997</v>
      </c>
      <c r="AA15" s="28">
        <v>0.95640204269767548</v>
      </c>
      <c r="AB15" s="68">
        <v>0.51729629705302616</v>
      </c>
      <c r="AC15" s="30" t="s">
        <v>58</v>
      </c>
      <c r="AD15" s="65"/>
    </row>
    <row r="16" spans="1:38" ht="15" customHeight="1" x14ac:dyDescent="0.25">
      <c r="A16" s="25">
        <v>11</v>
      </c>
      <c r="B16" s="26" t="s">
        <v>65</v>
      </c>
      <c r="C16" s="27" t="s">
        <v>58</v>
      </c>
      <c r="D16" s="27">
        <v>109</v>
      </c>
      <c r="E16" s="66">
        <v>30</v>
      </c>
      <c r="F16" s="67">
        <v>1.5545063900000011</v>
      </c>
      <c r="G16" s="28">
        <v>0.70886046069835029</v>
      </c>
      <c r="H16" s="68">
        <v>9.5373410007437848E-2</v>
      </c>
      <c r="I16" s="30" t="s">
        <v>58</v>
      </c>
      <c r="J16" s="22"/>
      <c r="K16" s="25">
        <v>11</v>
      </c>
      <c r="L16" s="26" t="s">
        <v>62</v>
      </c>
      <c r="M16" s="27" t="s">
        <v>163</v>
      </c>
      <c r="N16" s="69">
        <v>17</v>
      </c>
      <c r="O16" s="32">
        <v>-3</v>
      </c>
      <c r="P16" s="67">
        <v>5.710795564545454</v>
      </c>
      <c r="Q16" s="29">
        <v>0.80788154158099312</v>
      </c>
      <c r="R16" s="68">
        <v>0.45717676051868428</v>
      </c>
      <c r="S16" s="30" t="s">
        <v>58</v>
      </c>
      <c r="T16" s="22"/>
      <c r="U16" s="31">
        <v>11</v>
      </c>
      <c r="V16" s="26" t="s">
        <v>63</v>
      </c>
      <c r="W16" s="27" t="s">
        <v>130</v>
      </c>
      <c r="X16" s="69">
        <v>38</v>
      </c>
      <c r="Y16" s="32">
        <v>9</v>
      </c>
      <c r="Z16" s="67">
        <v>4.3628251200000001</v>
      </c>
      <c r="AA16" s="28">
        <v>1.1807147610856152</v>
      </c>
      <c r="AB16" s="68">
        <v>0.48462621127659877</v>
      </c>
      <c r="AC16" s="30" t="s">
        <v>58</v>
      </c>
      <c r="AD16" s="65"/>
    </row>
    <row r="17" spans="1:30" ht="15" customHeight="1" x14ac:dyDescent="0.25">
      <c r="A17" s="25">
        <v>12</v>
      </c>
      <c r="B17" s="26" t="s">
        <v>61</v>
      </c>
      <c r="C17" s="27" t="s">
        <v>113</v>
      </c>
      <c r="D17" s="27">
        <v>78</v>
      </c>
      <c r="E17" s="66">
        <v>-6</v>
      </c>
      <c r="F17" s="67">
        <v>1.3784365583333338</v>
      </c>
      <c r="G17" s="28">
        <v>0.59571770182587491</v>
      </c>
      <c r="H17" s="68">
        <v>5.926797527825655E-2</v>
      </c>
      <c r="I17" s="30" t="s">
        <v>58</v>
      </c>
      <c r="J17" s="22"/>
      <c r="K17" s="25">
        <v>12</v>
      </c>
      <c r="L17" s="26" t="s">
        <v>70</v>
      </c>
      <c r="M17" s="27" t="s">
        <v>91</v>
      </c>
      <c r="N17" s="69">
        <v>24</v>
      </c>
      <c r="O17" s="32">
        <v>0</v>
      </c>
      <c r="P17" s="67">
        <v>5.0435063800000002</v>
      </c>
      <c r="Q17" s="29">
        <v>1.1171285239868824</v>
      </c>
      <c r="R17" s="68">
        <v>0.42409015208963347</v>
      </c>
      <c r="S17" s="30" t="s">
        <v>58</v>
      </c>
      <c r="T17" s="22"/>
      <c r="U17" s="31">
        <v>12</v>
      </c>
      <c r="V17" s="26" t="s">
        <v>71</v>
      </c>
      <c r="W17" s="27" t="s">
        <v>91</v>
      </c>
      <c r="X17" s="69">
        <v>37</v>
      </c>
      <c r="Y17" s="32">
        <v>5</v>
      </c>
      <c r="Z17" s="67">
        <v>4.1941334633333334</v>
      </c>
      <c r="AA17" s="28">
        <v>0.74437947138824323</v>
      </c>
      <c r="AB17" s="68">
        <v>0.45321933700681727</v>
      </c>
      <c r="AC17" s="30" t="s">
        <v>58</v>
      </c>
      <c r="AD17" s="65"/>
    </row>
    <row r="18" spans="1:30" ht="15.75" customHeight="1" x14ac:dyDescent="0.25">
      <c r="A18" s="25">
        <v>13</v>
      </c>
      <c r="B18" s="26" t="s">
        <v>68</v>
      </c>
      <c r="C18" s="27" t="s">
        <v>156</v>
      </c>
      <c r="D18" s="27">
        <v>91</v>
      </c>
      <c r="E18" s="66">
        <v>3</v>
      </c>
      <c r="F18" s="67">
        <v>1.1267480466666673</v>
      </c>
      <c r="G18" s="28">
        <v>1.0375276190441181</v>
      </c>
      <c r="H18" s="68">
        <v>2.9755026126397004E-2</v>
      </c>
      <c r="I18" s="30" t="s">
        <v>69</v>
      </c>
      <c r="J18" s="22"/>
      <c r="K18" s="25">
        <v>13</v>
      </c>
      <c r="L18" s="26" t="s">
        <v>74</v>
      </c>
      <c r="M18" s="27" t="s">
        <v>58</v>
      </c>
      <c r="N18" s="69">
        <v>31</v>
      </c>
      <c r="O18" s="32">
        <v>4</v>
      </c>
      <c r="P18" s="67">
        <v>4.5813282849999997</v>
      </c>
      <c r="Q18" s="29">
        <v>0.96011829109817359</v>
      </c>
      <c r="R18" s="68">
        <v>0.39403554253231787</v>
      </c>
      <c r="S18" s="30" t="s">
        <v>73</v>
      </c>
      <c r="T18" s="22"/>
      <c r="U18" s="31">
        <v>13</v>
      </c>
      <c r="V18" s="26" t="s">
        <v>67</v>
      </c>
      <c r="W18" s="27" t="s">
        <v>130</v>
      </c>
      <c r="X18" s="69">
        <v>35</v>
      </c>
      <c r="Y18" s="32">
        <v>2</v>
      </c>
      <c r="Z18" s="67">
        <v>4.0516605566666675</v>
      </c>
      <c r="AA18" s="28">
        <v>0.61661957730861672</v>
      </c>
      <c r="AB18" s="68">
        <v>0.42287934072402616</v>
      </c>
      <c r="AC18" s="30" t="s">
        <v>58</v>
      </c>
      <c r="AD18" s="65"/>
    </row>
    <row r="19" spans="1:30" x14ac:dyDescent="0.25">
      <c r="A19" s="25">
        <v>14</v>
      </c>
      <c r="B19" s="26" t="s">
        <v>72</v>
      </c>
      <c r="C19" s="27" t="s">
        <v>113</v>
      </c>
      <c r="D19" s="27">
        <v>106</v>
      </c>
      <c r="E19" s="66">
        <v>9</v>
      </c>
      <c r="F19" s="67">
        <v>0.54331058666666743</v>
      </c>
      <c r="G19" s="28">
        <v>0.51785885729106784</v>
      </c>
      <c r="H19" s="68">
        <v>1.5524073815987504E-2</v>
      </c>
      <c r="I19" s="30" t="s">
        <v>227</v>
      </c>
      <c r="J19" s="22"/>
      <c r="K19" s="25">
        <v>14</v>
      </c>
      <c r="L19" s="26" t="s">
        <v>66</v>
      </c>
      <c r="M19" s="27" t="s">
        <v>113</v>
      </c>
      <c r="N19" s="69">
        <v>32</v>
      </c>
      <c r="O19" s="32">
        <v>4</v>
      </c>
      <c r="P19" s="67">
        <v>4.5098210033333341</v>
      </c>
      <c r="Q19" s="29">
        <v>1.3416412730916076</v>
      </c>
      <c r="R19" s="68">
        <v>0.364450037849681</v>
      </c>
      <c r="S19" s="30" t="s">
        <v>73</v>
      </c>
      <c r="T19" s="22"/>
      <c r="U19" s="31">
        <v>14</v>
      </c>
      <c r="V19" s="26" t="s">
        <v>75</v>
      </c>
      <c r="W19" s="27" t="s">
        <v>58</v>
      </c>
      <c r="X19" s="69">
        <v>40</v>
      </c>
      <c r="Y19" s="32">
        <v>2</v>
      </c>
      <c r="Z19" s="67">
        <v>3.6642032750000002</v>
      </c>
      <c r="AA19" s="28">
        <v>1.0685520514202678</v>
      </c>
      <c r="AB19" s="68">
        <v>0.39544073569084609</v>
      </c>
      <c r="AC19" s="30" t="s">
        <v>73</v>
      </c>
      <c r="AD19" s="65"/>
    </row>
    <row r="20" spans="1:30" ht="15" customHeight="1" x14ac:dyDescent="0.25">
      <c r="A20" s="25">
        <v>15</v>
      </c>
      <c r="B20" s="26" t="s">
        <v>76</v>
      </c>
      <c r="C20" s="27" t="s">
        <v>130</v>
      </c>
      <c r="D20" s="27">
        <v>111</v>
      </c>
      <c r="E20" s="66">
        <v>11</v>
      </c>
      <c r="F20" s="67">
        <v>0.41538765000000061</v>
      </c>
      <c r="G20" s="28">
        <v>0.58917752345768115</v>
      </c>
      <c r="H20" s="68">
        <v>4.643811250609268E-3</v>
      </c>
      <c r="I20" s="30" t="s">
        <v>73</v>
      </c>
      <c r="J20" s="22"/>
      <c r="K20" s="25">
        <v>15</v>
      </c>
      <c r="L20" s="26" t="s">
        <v>77</v>
      </c>
      <c r="M20" s="27" t="s">
        <v>58</v>
      </c>
      <c r="N20" s="69">
        <v>30</v>
      </c>
      <c r="O20" s="32">
        <v>0</v>
      </c>
      <c r="P20" s="67">
        <v>4.3626845150000007</v>
      </c>
      <c r="Q20" s="29">
        <v>0.99004243852916352</v>
      </c>
      <c r="R20" s="68">
        <v>0.33582978373050437</v>
      </c>
      <c r="S20" s="30" t="s">
        <v>73</v>
      </c>
      <c r="T20" s="22"/>
      <c r="U20" s="31">
        <v>15</v>
      </c>
      <c r="V20" s="26" t="s">
        <v>86</v>
      </c>
      <c r="W20" s="27" t="s">
        <v>130</v>
      </c>
      <c r="X20" s="69">
        <v>36</v>
      </c>
      <c r="Y20" s="32">
        <v>-3</v>
      </c>
      <c r="Z20" s="67">
        <v>3.6199793266666664</v>
      </c>
      <c r="AA20" s="28">
        <v>0.60607127598325594</v>
      </c>
      <c r="AB20" s="68">
        <v>0.36833329226641337</v>
      </c>
      <c r="AC20" s="30" t="s">
        <v>73</v>
      </c>
      <c r="AD20" s="65"/>
    </row>
    <row r="21" spans="1:30" ht="15" customHeight="1" x14ac:dyDescent="0.25">
      <c r="A21" s="25">
        <v>16</v>
      </c>
      <c r="B21" s="26" t="s">
        <v>79</v>
      </c>
      <c r="C21" s="27" t="s">
        <v>163</v>
      </c>
      <c r="D21" s="27">
        <v>129</v>
      </c>
      <c r="E21" s="66">
        <v>22</v>
      </c>
      <c r="F21" s="67">
        <v>0.17729184666666692</v>
      </c>
      <c r="G21" s="28">
        <v>0.3425940619565358</v>
      </c>
      <c r="H21" s="68">
        <v>0</v>
      </c>
      <c r="I21" s="30" t="s">
        <v>227</v>
      </c>
      <c r="J21" s="22"/>
      <c r="K21" s="25">
        <v>16</v>
      </c>
      <c r="L21" s="26" t="s">
        <v>80</v>
      </c>
      <c r="M21" s="27" t="s">
        <v>156</v>
      </c>
      <c r="N21" s="69">
        <v>47</v>
      </c>
      <c r="O21" s="32">
        <v>12</v>
      </c>
      <c r="P21" s="67">
        <v>3.9248230966666666</v>
      </c>
      <c r="Q21" s="29">
        <v>1.1981856933912791</v>
      </c>
      <c r="R21" s="68">
        <v>0.31008200526676322</v>
      </c>
      <c r="S21" s="30" t="s">
        <v>227</v>
      </c>
      <c r="T21" s="22"/>
      <c r="U21" s="31">
        <v>16</v>
      </c>
      <c r="V21" s="26" t="s">
        <v>78</v>
      </c>
      <c r="W21" s="27" t="s">
        <v>113</v>
      </c>
      <c r="X21" s="69">
        <v>46</v>
      </c>
      <c r="Y21" s="32">
        <v>6</v>
      </c>
      <c r="Z21" s="67">
        <v>3.586401251666667</v>
      </c>
      <c r="AA21" s="28">
        <v>0.86562133058720525</v>
      </c>
      <c r="AB21" s="68">
        <v>0.34147729109792352</v>
      </c>
      <c r="AC21" s="30" t="s">
        <v>73</v>
      </c>
      <c r="AD21" s="65"/>
    </row>
    <row r="22" spans="1:30" ht="15.75" customHeight="1" x14ac:dyDescent="0.25">
      <c r="A22" s="25">
        <v>17</v>
      </c>
      <c r="B22" s="26" t="s">
        <v>82</v>
      </c>
      <c r="C22" s="27" t="s">
        <v>58</v>
      </c>
      <c r="D22" s="27">
        <v>136</v>
      </c>
      <c r="E22" s="66">
        <v>18</v>
      </c>
      <c r="F22" s="67">
        <v>-0.24283942333333189</v>
      </c>
      <c r="G22" s="28">
        <v>0.45181987780962118</v>
      </c>
      <c r="H22" s="68">
        <v>0</v>
      </c>
      <c r="I22" s="30" t="s">
        <v>83</v>
      </c>
      <c r="J22" s="22"/>
      <c r="K22" s="25">
        <v>17</v>
      </c>
      <c r="L22" s="26" t="s">
        <v>106</v>
      </c>
      <c r="M22" s="27" t="s">
        <v>130</v>
      </c>
      <c r="N22" s="69">
        <v>28</v>
      </c>
      <c r="O22" s="32">
        <v>-8</v>
      </c>
      <c r="P22" s="67">
        <v>3.7724272333333331</v>
      </c>
      <c r="Q22" s="29">
        <v>0.9087930814758941</v>
      </c>
      <c r="R22" s="68">
        <v>0.28533398012470174</v>
      </c>
      <c r="S22" s="30" t="s">
        <v>73</v>
      </c>
      <c r="T22" s="22"/>
      <c r="U22" s="31">
        <v>17</v>
      </c>
      <c r="V22" s="26" t="s">
        <v>81</v>
      </c>
      <c r="W22" s="27" t="s">
        <v>105</v>
      </c>
      <c r="X22" s="69">
        <v>40</v>
      </c>
      <c r="Y22" s="32">
        <v>-1</v>
      </c>
      <c r="Z22" s="67">
        <v>3.5108907950000003</v>
      </c>
      <c r="AA22" s="28">
        <v>1.0101765084448233</v>
      </c>
      <c r="AB22" s="68">
        <v>0.31518673388569235</v>
      </c>
      <c r="AC22" s="30" t="s">
        <v>73</v>
      </c>
      <c r="AD22" s="65"/>
    </row>
    <row r="23" spans="1:30" x14ac:dyDescent="0.25">
      <c r="A23" s="25">
        <v>18</v>
      </c>
      <c r="B23" s="26" t="s">
        <v>87</v>
      </c>
      <c r="C23" s="27" t="s">
        <v>83</v>
      </c>
      <c r="D23" s="27">
        <v>170</v>
      </c>
      <c r="E23" s="66">
        <v>48</v>
      </c>
      <c r="F23" s="67">
        <v>-0.59750083166666634</v>
      </c>
      <c r="G23" s="28">
        <v>0.87546707988796901</v>
      </c>
      <c r="H23" s="68">
        <v>0</v>
      </c>
      <c r="I23" s="30" t="s">
        <v>83</v>
      </c>
      <c r="J23" s="22"/>
      <c r="K23" s="25">
        <v>18</v>
      </c>
      <c r="L23" s="26" t="s">
        <v>88</v>
      </c>
      <c r="M23" s="27" t="s">
        <v>113</v>
      </c>
      <c r="N23" s="69">
        <v>34</v>
      </c>
      <c r="O23" s="32">
        <v>-3</v>
      </c>
      <c r="P23" s="67">
        <v>3.7653411090909095</v>
      </c>
      <c r="Q23" s="29">
        <v>0.9793028596451121</v>
      </c>
      <c r="R23" s="68">
        <v>0.26063244165290955</v>
      </c>
      <c r="S23" s="30" t="s">
        <v>183</v>
      </c>
      <c r="T23" s="22"/>
      <c r="U23" s="31">
        <v>18</v>
      </c>
      <c r="V23" s="26" t="s">
        <v>93</v>
      </c>
      <c r="W23" s="27" t="s">
        <v>105</v>
      </c>
      <c r="X23" s="69">
        <v>46</v>
      </c>
      <c r="Y23" s="32">
        <v>1</v>
      </c>
      <c r="Z23" s="67">
        <v>3.0965210933333336</v>
      </c>
      <c r="AA23" s="28">
        <v>1.4709088387886291</v>
      </c>
      <c r="AB23" s="68">
        <v>0.29199909584263528</v>
      </c>
      <c r="AC23" s="30" t="s">
        <v>73</v>
      </c>
      <c r="AD23" s="65"/>
    </row>
    <row r="24" spans="1:30" ht="15" customHeight="1" x14ac:dyDescent="0.25">
      <c r="A24" s="25">
        <v>19</v>
      </c>
      <c r="B24" s="26" t="s">
        <v>90</v>
      </c>
      <c r="C24" s="27" t="s">
        <v>73</v>
      </c>
      <c r="D24" s="27">
        <v>170</v>
      </c>
      <c r="E24" s="66">
        <v>37</v>
      </c>
      <c r="F24" s="67">
        <v>-1.0339643933333329</v>
      </c>
      <c r="G24" s="28">
        <v>0.85890662938798512</v>
      </c>
      <c r="H24" s="68">
        <v>0</v>
      </c>
      <c r="I24" s="30" t="s">
        <v>83</v>
      </c>
      <c r="J24" s="22"/>
      <c r="K24" s="25">
        <v>19</v>
      </c>
      <c r="L24" s="26" t="s">
        <v>102</v>
      </c>
      <c r="M24" s="27" t="s">
        <v>130</v>
      </c>
      <c r="N24" s="69">
        <v>43</v>
      </c>
      <c r="O24" s="32">
        <v>1</v>
      </c>
      <c r="P24" s="67">
        <v>3.4694397733333329</v>
      </c>
      <c r="Q24" s="29">
        <v>1.1130637854107908</v>
      </c>
      <c r="R24" s="68">
        <v>0.23787208673323265</v>
      </c>
      <c r="S24" s="30" t="s">
        <v>73</v>
      </c>
      <c r="T24" s="22"/>
      <c r="U24" s="31">
        <v>19</v>
      </c>
      <c r="V24" s="26" t="s">
        <v>89</v>
      </c>
      <c r="W24" s="27" t="s">
        <v>58</v>
      </c>
      <c r="X24" s="69">
        <v>41</v>
      </c>
      <c r="Y24" s="32">
        <v>-5</v>
      </c>
      <c r="Z24" s="67">
        <v>3.0918335133333334</v>
      </c>
      <c r="AA24" s="28">
        <v>1.3120561125288195</v>
      </c>
      <c r="AB24" s="68">
        <v>0.26884655974303734</v>
      </c>
      <c r="AC24" s="30" t="s">
        <v>73</v>
      </c>
      <c r="AD24" s="65"/>
    </row>
    <row r="25" spans="1:30" ht="15.75" customHeight="1" thickBot="1" x14ac:dyDescent="0.3">
      <c r="A25" s="41">
        <v>20</v>
      </c>
      <c r="B25" s="26" t="s">
        <v>94</v>
      </c>
      <c r="C25" s="27" t="s">
        <v>58</v>
      </c>
      <c r="D25" s="27">
        <v>161</v>
      </c>
      <c r="E25" s="66">
        <v>15</v>
      </c>
      <c r="F25" s="67">
        <v>-1.7778810500000002</v>
      </c>
      <c r="G25" s="28">
        <v>0.63896725527186349</v>
      </c>
      <c r="H25" s="68">
        <v>0</v>
      </c>
      <c r="I25" s="30" t="s">
        <v>91</v>
      </c>
      <c r="J25" s="22"/>
      <c r="K25" s="25">
        <v>20</v>
      </c>
      <c r="L25" s="26" t="s">
        <v>99</v>
      </c>
      <c r="M25" s="27" t="s">
        <v>105</v>
      </c>
      <c r="N25" s="69">
        <v>54</v>
      </c>
      <c r="O25" s="32">
        <v>11</v>
      </c>
      <c r="P25" s="67">
        <v>3.255104386666666</v>
      </c>
      <c r="Q25" s="29">
        <v>1.2151389345290264</v>
      </c>
      <c r="R25" s="68">
        <v>0.21651782322631782</v>
      </c>
      <c r="S25" s="30" t="s">
        <v>199</v>
      </c>
      <c r="T25" s="22"/>
      <c r="U25" s="31">
        <v>20</v>
      </c>
      <c r="V25" s="26" t="s">
        <v>100</v>
      </c>
      <c r="W25" s="27" t="s">
        <v>58</v>
      </c>
      <c r="X25" s="69">
        <v>60</v>
      </c>
      <c r="Y25" s="32">
        <v>8</v>
      </c>
      <c r="Z25" s="67">
        <v>2.7813283449999999</v>
      </c>
      <c r="AA25" s="28">
        <v>0.70214494987043263</v>
      </c>
      <c r="AB25" s="68">
        <v>0.24801917539819815</v>
      </c>
      <c r="AC25" s="30" t="s">
        <v>73</v>
      </c>
      <c r="AD25" s="65"/>
    </row>
    <row r="26" spans="1:30" ht="15.75" customHeight="1" thickBot="1" x14ac:dyDescent="0.3">
      <c r="A26" s="41">
        <v>21</v>
      </c>
      <c r="B26" s="26" t="s">
        <v>97</v>
      </c>
      <c r="C26" s="27" t="s">
        <v>156</v>
      </c>
      <c r="D26" s="27" t="s">
        <v>236</v>
      </c>
      <c r="E26" s="66" t="s">
        <v>236</v>
      </c>
      <c r="F26" s="67">
        <v>-2.0229716549999992</v>
      </c>
      <c r="G26" s="28">
        <v>0.77261124077931431</v>
      </c>
      <c r="H26" s="68">
        <v>0</v>
      </c>
      <c r="I26" s="30" t="s">
        <v>177</v>
      </c>
      <c r="J26" s="2"/>
      <c r="K26" s="25">
        <v>21</v>
      </c>
      <c r="L26" s="26" t="s">
        <v>92</v>
      </c>
      <c r="M26" s="27" t="s">
        <v>113</v>
      </c>
      <c r="N26" s="69">
        <v>64</v>
      </c>
      <c r="O26" s="32">
        <v>20</v>
      </c>
      <c r="P26" s="67">
        <v>3.2356304583333331</v>
      </c>
      <c r="Q26" s="29">
        <v>0.96086714744621815</v>
      </c>
      <c r="R26" s="68">
        <v>0.19529131334808797</v>
      </c>
      <c r="S26" s="30" t="s">
        <v>83</v>
      </c>
      <c r="T26" s="22"/>
      <c r="U26" s="31">
        <v>21</v>
      </c>
      <c r="V26" s="26" t="s">
        <v>107</v>
      </c>
      <c r="W26" s="27" t="s">
        <v>130</v>
      </c>
      <c r="X26" s="69">
        <v>48</v>
      </c>
      <c r="Y26" s="32">
        <v>-8</v>
      </c>
      <c r="Z26" s="67">
        <v>2.6094221050000002</v>
      </c>
      <c r="AA26" s="28">
        <v>0.92841128012339835</v>
      </c>
      <c r="AB26" s="68">
        <v>0.2284790742819619</v>
      </c>
      <c r="AC26" s="30" t="s">
        <v>227</v>
      </c>
      <c r="AD26" s="65"/>
    </row>
    <row r="27" spans="1:30" ht="15.75" thickBot="1" x14ac:dyDescent="0.3">
      <c r="A27" s="41">
        <v>22</v>
      </c>
      <c r="B27" s="26" t="s">
        <v>104</v>
      </c>
      <c r="C27" s="27" t="s">
        <v>58</v>
      </c>
      <c r="D27" s="27">
        <v>181</v>
      </c>
      <c r="E27" s="66">
        <v>27</v>
      </c>
      <c r="F27" s="67">
        <v>-2.1767288966666665</v>
      </c>
      <c r="G27" s="28">
        <v>0.97605984039223392</v>
      </c>
      <c r="H27" s="68">
        <v>0</v>
      </c>
      <c r="I27" s="30" t="s">
        <v>91</v>
      </c>
      <c r="J27" s="7"/>
      <c r="K27" s="25">
        <v>22</v>
      </c>
      <c r="L27" s="26" t="s">
        <v>117</v>
      </c>
      <c r="M27" s="27" t="s">
        <v>113</v>
      </c>
      <c r="N27" s="69">
        <v>50</v>
      </c>
      <c r="O27" s="32">
        <v>3</v>
      </c>
      <c r="P27" s="67">
        <v>2.9859752299999998</v>
      </c>
      <c r="Q27" s="29">
        <v>1.3015573314477766</v>
      </c>
      <c r="R27" s="68">
        <v>0.17570260149364694</v>
      </c>
      <c r="S27" s="30" t="s">
        <v>83</v>
      </c>
      <c r="T27" s="22"/>
      <c r="U27" s="31">
        <v>22</v>
      </c>
      <c r="V27" s="26" t="s">
        <v>115</v>
      </c>
      <c r="W27" s="27" t="s">
        <v>130</v>
      </c>
      <c r="X27" s="69">
        <v>50</v>
      </c>
      <c r="Y27" s="32">
        <v>-7</v>
      </c>
      <c r="Z27" s="67">
        <v>2.5630626900000006</v>
      </c>
      <c r="AA27" s="28">
        <v>0.95445045543233797</v>
      </c>
      <c r="AB27" s="68">
        <v>0.20928612576133435</v>
      </c>
      <c r="AC27" s="30" t="s">
        <v>147</v>
      </c>
      <c r="AD27" s="65"/>
    </row>
    <row r="28" spans="1:30" ht="15.75" customHeight="1" thickBot="1" x14ac:dyDescent="0.3">
      <c r="A28" s="41">
        <v>23</v>
      </c>
      <c r="B28" s="26" t="s">
        <v>101</v>
      </c>
      <c r="C28" s="27" t="s">
        <v>105</v>
      </c>
      <c r="D28" s="27">
        <v>157</v>
      </c>
      <c r="E28" s="66">
        <v>0</v>
      </c>
      <c r="F28" s="67">
        <v>-2.26793727</v>
      </c>
      <c r="G28" s="28">
        <v>0.73312552507149864</v>
      </c>
      <c r="H28" s="68">
        <v>0</v>
      </c>
      <c r="I28" s="30" t="s">
        <v>177</v>
      </c>
      <c r="J28" s="3"/>
      <c r="K28" s="25">
        <v>23</v>
      </c>
      <c r="L28" s="26" t="s">
        <v>114</v>
      </c>
      <c r="M28" s="27" t="s">
        <v>156</v>
      </c>
      <c r="N28" s="69">
        <v>57</v>
      </c>
      <c r="O28" s="32">
        <v>9</v>
      </c>
      <c r="P28" s="67">
        <v>2.941374198333333</v>
      </c>
      <c r="Q28" s="29">
        <v>1.1533726260414119</v>
      </c>
      <c r="R28" s="68">
        <v>0.15640648307700525</v>
      </c>
      <c r="S28" s="30" t="s">
        <v>83</v>
      </c>
      <c r="T28" s="22"/>
      <c r="U28" s="31">
        <v>23</v>
      </c>
      <c r="V28" s="26" t="s">
        <v>111</v>
      </c>
      <c r="W28" s="27" t="s">
        <v>58</v>
      </c>
      <c r="X28" s="69">
        <v>50</v>
      </c>
      <c r="Y28" s="32">
        <v>-9</v>
      </c>
      <c r="Z28" s="67">
        <v>2.5195366583333336</v>
      </c>
      <c r="AA28" s="28">
        <v>1.3043622316256431</v>
      </c>
      <c r="AB28" s="68">
        <v>0.1904191126492884</v>
      </c>
      <c r="AC28" s="30" t="s">
        <v>83</v>
      </c>
      <c r="AD28" s="65"/>
    </row>
    <row r="29" spans="1:30" ht="15" customHeight="1" thickBot="1" x14ac:dyDescent="0.3">
      <c r="A29" s="41">
        <v>24</v>
      </c>
      <c r="B29" s="26" t="s">
        <v>108</v>
      </c>
      <c r="C29" s="27" t="s">
        <v>113</v>
      </c>
      <c r="D29" s="27" t="s">
        <v>236</v>
      </c>
      <c r="E29" s="66" t="s">
        <v>236</v>
      </c>
      <c r="F29" s="67">
        <v>-2.8638633863636365</v>
      </c>
      <c r="G29" s="28">
        <v>1.1273768578188279</v>
      </c>
      <c r="H29" s="68">
        <v>0</v>
      </c>
      <c r="I29" s="30" t="s">
        <v>91</v>
      </c>
      <c r="J29" s="22"/>
      <c r="K29" s="25">
        <v>24</v>
      </c>
      <c r="L29" s="26" t="s">
        <v>110</v>
      </c>
      <c r="M29" s="27" t="s">
        <v>130</v>
      </c>
      <c r="N29" s="69">
        <v>63</v>
      </c>
      <c r="O29" s="32">
        <v>13</v>
      </c>
      <c r="P29" s="67">
        <v>2.88212526</v>
      </c>
      <c r="Q29" s="29">
        <v>1.2882828974505698</v>
      </c>
      <c r="R29" s="68">
        <v>0.13749905187016762</v>
      </c>
      <c r="S29" s="30" t="s">
        <v>83</v>
      </c>
      <c r="T29" s="22"/>
      <c r="U29" s="31">
        <v>24</v>
      </c>
      <c r="V29" s="26" t="s">
        <v>96</v>
      </c>
      <c r="W29" s="27" t="s">
        <v>113</v>
      </c>
      <c r="X29" s="69">
        <v>75</v>
      </c>
      <c r="Y29" s="32">
        <v>14</v>
      </c>
      <c r="Z29" s="67">
        <v>2.4407190200000004</v>
      </c>
      <c r="AA29" s="28">
        <v>0.91212470820039571</v>
      </c>
      <c r="AB29" s="68">
        <v>0.17214230861833565</v>
      </c>
      <c r="AC29" s="30" t="s">
        <v>147</v>
      </c>
      <c r="AD29" s="65"/>
    </row>
    <row r="30" spans="1:30" ht="15.75" customHeight="1" thickBot="1" x14ac:dyDescent="0.3">
      <c r="A30" s="41">
        <v>25</v>
      </c>
      <c r="B30" s="26" t="s">
        <v>112</v>
      </c>
      <c r="C30" s="27" t="s">
        <v>91</v>
      </c>
      <c r="D30" s="27">
        <v>166</v>
      </c>
      <c r="E30" s="66">
        <v>-39</v>
      </c>
      <c r="F30" s="67">
        <v>-3.5420299683333329</v>
      </c>
      <c r="G30" s="28">
        <v>1.3797604651040543</v>
      </c>
      <c r="H30" s="68">
        <v>0</v>
      </c>
      <c r="I30" s="30" t="s">
        <v>105</v>
      </c>
      <c r="J30" s="22"/>
      <c r="K30" s="25">
        <v>25</v>
      </c>
      <c r="L30" s="26" t="s">
        <v>84</v>
      </c>
      <c r="M30" s="27" t="s">
        <v>130</v>
      </c>
      <c r="N30" s="69">
        <v>49</v>
      </c>
      <c r="O30" s="32">
        <v>-2</v>
      </c>
      <c r="P30" s="67">
        <v>2.8526513316666668</v>
      </c>
      <c r="Q30" s="29">
        <v>1.0631225600749401</v>
      </c>
      <c r="R30" s="68">
        <v>0.11878497668435106</v>
      </c>
      <c r="S30" s="30" t="s">
        <v>199</v>
      </c>
      <c r="T30" s="22"/>
      <c r="U30" s="31">
        <v>25</v>
      </c>
      <c r="V30" s="26" t="s">
        <v>103</v>
      </c>
      <c r="W30" s="27" t="s">
        <v>130</v>
      </c>
      <c r="X30" s="69">
        <v>64</v>
      </c>
      <c r="Y30" s="32">
        <v>-4</v>
      </c>
      <c r="Z30" s="67">
        <v>2.1856127999999999</v>
      </c>
      <c r="AA30" s="28">
        <v>1.4573807925872597</v>
      </c>
      <c r="AB30" s="68">
        <v>0.1557758131283542</v>
      </c>
      <c r="AC30" s="30" t="s">
        <v>147</v>
      </c>
      <c r="AD30" s="65"/>
    </row>
    <row r="31" spans="1:30" ht="15.75" thickBot="1" x14ac:dyDescent="0.3">
      <c r="A31" s="41">
        <v>26</v>
      </c>
      <c r="B31" s="26" t="s">
        <v>116</v>
      </c>
      <c r="C31" s="27" t="s">
        <v>113</v>
      </c>
      <c r="D31" s="27" t="s">
        <v>236</v>
      </c>
      <c r="E31" s="66" t="s">
        <v>236</v>
      </c>
      <c r="F31" s="67">
        <v>-3.775915364999999</v>
      </c>
      <c r="G31" s="28">
        <v>1.7915208918358252</v>
      </c>
      <c r="H31" s="68">
        <v>0</v>
      </c>
      <c r="I31" s="30" t="s">
        <v>105</v>
      </c>
      <c r="J31" s="22"/>
      <c r="K31" s="25">
        <v>26</v>
      </c>
      <c r="L31" s="26" t="s">
        <v>127</v>
      </c>
      <c r="M31" s="27" t="s">
        <v>105</v>
      </c>
      <c r="N31" s="69">
        <v>55</v>
      </c>
      <c r="O31" s="32">
        <v>2</v>
      </c>
      <c r="P31" s="67">
        <v>2.6885450016666672</v>
      </c>
      <c r="Q31" s="29">
        <v>1.4322759382465609</v>
      </c>
      <c r="R31" s="68">
        <v>0.10114747828308475</v>
      </c>
      <c r="S31" s="30" t="s">
        <v>83</v>
      </c>
      <c r="T31" s="22"/>
      <c r="U31" s="31">
        <v>26</v>
      </c>
      <c r="V31" s="26" t="s">
        <v>118</v>
      </c>
      <c r="W31" s="27" t="s">
        <v>73</v>
      </c>
      <c r="X31" s="69">
        <v>77</v>
      </c>
      <c r="Y31" s="32">
        <v>8</v>
      </c>
      <c r="Z31" s="67">
        <v>2.1721139016666666</v>
      </c>
      <c r="AA31" s="28">
        <v>0.37046537783954053</v>
      </c>
      <c r="AB31" s="68">
        <v>0.13951040126063755</v>
      </c>
      <c r="AC31" s="30" t="s">
        <v>83</v>
      </c>
      <c r="AD31" s="65"/>
    </row>
    <row r="32" spans="1:30" ht="15" customHeight="1" thickBot="1" x14ac:dyDescent="0.3">
      <c r="A32" s="41">
        <v>27</v>
      </c>
      <c r="B32" s="26" t="s">
        <v>119</v>
      </c>
      <c r="C32" s="27" t="s">
        <v>130</v>
      </c>
      <c r="D32" s="27" t="s">
        <v>236</v>
      </c>
      <c r="E32" s="66" t="s">
        <v>236</v>
      </c>
      <c r="F32" s="67">
        <v>-5.2210372199999995</v>
      </c>
      <c r="G32" s="28">
        <v>2.1680306330783039</v>
      </c>
      <c r="H32" s="68">
        <v>0</v>
      </c>
      <c r="I32" s="30" t="s">
        <v>98</v>
      </c>
      <c r="J32" s="22"/>
      <c r="K32" s="25">
        <v>27</v>
      </c>
      <c r="L32" s="26" t="s">
        <v>95</v>
      </c>
      <c r="M32" s="27" t="s">
        <v>83</v>
      </c>
      <c r="N32" s="69">
        <v>72</v>
      </c>
      <c r="O32" s="32">
        <v>14</v>
      </c>
      <c r="P32" s="67">
        <v>2.5584440599999998</v>
      </c>
      <c r="Q32" s="29">
        <v>1.0718215010038779</v>
      </c>
      <c r="R32" s="68">
        <v>8.4363473183669949E-2</v>
      </c>
      <c r="S32" s="30" t="s">
        <v>83</v>
      </c>
      <c r="T32" s="22"/>
      <c r="U32" s="31">
        <v>27</v>
      </c>
      <c r="V32" s="26" t="s">
        <v>122</v>
      </c>
      <c r="W32" s="27" t="s">
        <v>83</v>
      </c>
      <c r="X32" s="69">
        <v>79</v>
      </c>
      <c r="Y32" s="32">
        <v>7</v>
      </c>
      <c r="Z32" s="67">
        <v>1.9634169766666665</v>
      </c>
      <c r="AA32" s="28">
        <v>0.9677383270786416</v>
      </c>
      <c r="AB32" s="68">
        <v>0.12480777182253765</v>
      </c>
      <c r="AC32" s="30" t="s">
        <v>83</v>
      </c>
      <c r="AD32" s="65"/>
    </row>
    <row r="33" spans="1:30" ht="15" customHeight="1" thickBot="1" x14ac:dyDescent="0.3">
      <c r="A33" s="41">
        <v>28</v>
      </c>
      <c r="B33" s="26" t="s">
        <v>123</v>
      </c>
      <c r="C33" s="27" t="s">
        <v>73</v>
      </c>
      <c r="D33" s="27" t="s">
        <v>236</v>
      </c>
      <c r="E33" s="66" t="s">
        <v>236</v>
      </c>
      <c r="F33" s="67">
        <v>-5.3668538666666672</v>
      </c>
      <c r="G33" s="28">
        <v>1.5845716027681549</v>
      </c>
      <c r="H33" s="68">
        <v>0</v>
      </c>
      <c r="I33" s="30" t="s">
        <v>113</v>
      </c>
      <c r="J33" s="22"/>
      <c r="K33" s="25">
        <v>28</v>
      </c>
      <c r="L33" s="26" t="s">
        <v>124</v>
      </c>
      <c r="M33" s="27" t="s">
        <v>58</v>
      </c>
      <c r="N33" s="69">
        <v>63</v>
      </c>
      <c r="O33" s="32">
        <v>0</v>
      </c>
      <c r="P33" s="67">
        <v>2.3927919366666668</v>
      </c>
      <c r="Q33" s="29">
        <v>1.2817624577534104</v>
      </c>
      <c r="R33" s="68">
        <v>6.8666185642877672E-2</v>
      </c>
      <c r="S33" s="30" t="s">
        <v>147</v>
      </c>
      <c r="T33" s="22"/>
      <c r="U33" s="31">
        <v>28</v>
      </c>
      <c r="V33" s="26" t="s">
        <v>128</v>
      </c>
      <c r="W33" s="27" t="s">
        <v>156</v>
      </c>
      <c r="X33" s="69">
        <v>68</v>
      </c>
      <c r="Y33" s="32">
        <v>-5</v>
      </c>
      <c r="Z33" s="67">
        <v>1.9595512816666667</v>
      </c>
      <c r="AA33" s="28">
        <v>1.0550668378825032</v>
      </c>
      <c r="AB33" s="68">
        <v>0.11013408981729647</v>
      </c>
      <c r="AC33" s="30" t="s">
        <v>83</v>
      </c>
      <c r="AD33" s="65"/>
    </row>
    <row r="34" spans="1:30" ht="15.75" customHeight="1" thickBot="1" x14ac:dyDescent="0.3">
      <c r="A34" s="41">
        <v>29</v>
      </c>
      <c r="B34" s="26" t="s">
        <v>126</v>
      </c>
      <c r="C34" s="27" t="s">
        <v>58</v>
      </c>
      <c r="D34" s="27">
        <v>144</v>
      </c>
      <c r="E34" s="66">
        <v>-127</v>
      </c>
      <c r="F34" s="67">
        <v>-5.4308455433333327</v>
      </c>
      <c r="G34" s="28">
        <v>3.8348816659743918</v>
      </c>
      <c r="H34" s="68">
        <v>0</v>
      </c>
      <c r="I34" s="30" t="s">
        <v>113</v>
      </c>
      <c r="J34" s="22"/>
      <c r="K34" s="25">
        <v>29</v>
      </c>
      <c r="L34" s="26" t="s">
        <v>121</v>
      </c>
      <c r="M34" s="27" t="s">
        <v>156</v>
      </c>
      <c r="N34" s="69">
        <v>64</v>
      </c>
      <c r="O34" s="32">
        <v>-1</v>
      </c>
      <c r="P34" s="67">
        <v>2.3689093709090914</v>
      </c>
      <c r="Q34" s="29">
        <v>1.0512535509614651</v>
      </c>
      <c r="R34" s="68">
        <v>5.3125573446967667E-2</v>
      </c>
      <c r="S34" s="30" t="s">
        <v>83</v>
      </c>
      <c r="T34" s="22"/>
      <c r="U34" s="31">
        <v>29</v>
      </c>
      <c r="V34" s="26" t="s">
        <v>125</v>
      </c>
      <c r="W34" s="27" t="s">
        <v>91</v>
      </c>
      <c r="X34" s="69">
        <v>69</v>
      </c>
      <c r="Y34" s="32">
        <v>-5</v>
      </c>
      <c r="Z34" s="67">
        <v>1.9125128200000001</v>
      </c>
      <c r="AA34" s="28">
        <v>1.4038875010168599</v>
      </c>
      <c r="AB34" s="68">
        <v>9.5812645303857608E-2</v>
      </c>
      <c r="AC34" s="30" t="s">
        <v>83</v>
      </c>
      <c r="AD34" s="65"/>
    </row>
    <row r="35" spans="1:30" ht="15.75" thickBot="1" x14ac:dyDescent="0.3">
      <c r="A35" s="41">
        <v>30</v>
      </c>
      <c r="B35" s="26" t="s">
        <v>129</v>
      </c>
      <c r="C35" s="27" t="s">
        <v>156</v>
      </c>
      <c r="D35" s="27" t="s">
        <v>236</v>
      </c>
      <c r="E35" s="66" t="s">
        <v>236</v>
      </c>
      <c r="F35" s="67">
        <v>-6.0360486383333329</v>
      </c>
      <c r="G35" s="28">
        <v>2.1892955667892426</v>
      </c>
      <c r="H35" s="68">
        <v>0</v>
      </c>
      <c r="I35" s="30" t="s">
        <v>113</v>
      </c>
      <c r="J35" s="22"/>
      <c r="K35" s="25">
        <v>30</v>
      </c>
      <c r="L35" s="26" t="s">
        <v>134</v>
      </c>
      <c r="M35" s="27" t="s">
        <v>113</v>
      </c>
      <c r="N35" s="69">
        <v>101</v>
      </c>
      <c r="O35" s="32">
        <v>23</v>
      </c>
      <c r="P35" s="67">
        <v>1.5744326116666669</v>
      </c>
      <c r="Q35" s="29">
        <v>1.0731339662681803</v>
      </c>
      <c r="R35" s="68">
        <v>4.2796918857232948E-2</v>
      </c>
      <c r="S35" s="30" t="s">
        <v>91</v>
      </c>
      <c r="T35" s="22"/>
      <c r="U35" s="31">
        <v>30</v>
      </c>
      <c r="V35" s="26" t="s">
        <v>132</v>
      </c>
      <c r="W35" s="27" t="s">
        <v>130</v>
      </c>
      <c r="X35" s="69">
        <v>63</v>
      </c>
      <c r="Y35" s="32">
        <v>-12</v>
      </c>
      <c r="Z35" s="67">
        <v>1.8886366136363639</v>
      </c>
      <c r="AA35" s="28">
        <v>0.97289363089983016</v>
      </c>
      <c r="AB35" s="68">
        <v>8.1669992671473055E-2</v>
      </c>
      <c r="AC35" s="30" t="s">
        <v>83</v>
      </c>
      <c r="AD35" s="65"/>
    </row>
    <row r="36" spans="1:30" ht="15" customHeight="1" thickBot="1" x14ac:dyDescent="0.3">
      <c r="A36" s="41">
        <v>31</v>
      </c>
      <c r="B36" s="26" t="s">
        <v>133</v>
      </c>
      <c r="C36" s="27" t="s">
        <v>130</v>
      </c>
      <c r="D36" s="27" t="s">
        <v>236</v>
      </c>
      <c r="E36" s="66" t="s">
        <v>236</v>
      </c>
      <c r="F36" s="67">
        <v>-6.699962189999999</v>
      </c>
      <c r="G36" s="28">
        <v>3.0514342873568183</v>
      </c>
      <c r="H36" s="68">
        <v>0</v>
      </c>
      <c r="I36" s="30" t="s">
        <v>113</v>
      </c>
      <c r="J36" s="22"/>
      <c r="K36" s="25">
        <v>31</v>
      </c>
      <c r="L36" s="26" t="s">
        <v>137</v>
      </c>
      <c r="M36" s="27" t="s">
        <v>73</v>
      </c>
      <c r="N36" s="69">
        <v>88</v>
      </c>
      <c r="O36" s="32">
        <v>5</v>
      </c>
      <c r="P36" s="67">
        <v>1.4121940800000004</v>
      </c>
      <c r="Q36" s="29">
        <v>1.2788280836430697</v>
      </c>
      <c r="R36" s="68">
        <v>3.3532587848141622E-2</v>
      </c>
      <c r="S36" s="30" t="s">
        <v>181</v>
      </c>
      <c r="T36" s="22"/>
      <c r="U36" s="31">
        <v>31</v>
      </c>
      <c r="V36" s="26" t="s">
        <v>138</v>
      </c>
      <c r="W36" s="27" t="s">
        <v>156</v>
      </c>
      <c r="X36" s="69">
        <v>89</v>
      </c>
      <c r="Y36" s="32">
        <v>12</v>
      </c>
      <c r="Z36" s="67">
        <v>1.657078405</v>
      </c>
      <c r="AA36" s="28">
        <v>1.0524717548861318</v>
      </c>
      <c r="AB36" s="68">
        <v>6.926131431729339E-2</v>
      </c>
      <c r="AC36" s="30" t="s">
        <v>83</v>
      </c>
      <c r="AD36" s="65"/>
    </row>
    <row r="37" spans="1:30" ht="15" customHeight="1" thickBot="1" x14ac:dyDescent="0.3">
      <c r="A37" s="41">
        <v>32</v>
      </c>
      <c r="B37" s="33" t="s">
        <v>136</v>
      </c>
      <c r="C37" s="34" t="s">
        <v>156</v>
      </c>
      <c r="D37" s="34" t="s">
        <v>236</v>
      </c>
      <c r="E37" s="70" t="s">
        <v>236</v>
      </c>
      <c r="F37" s="42">
        <v>-7.702765294999999</v>
      </c>
      <c r="G37" s="35">
        <v>1.6315734075363244</v>
      </c>
      <c r="H37" s="71">
        <v>0</v>
      </c>
      <c r="I37" s="37" t="s">
        <v>130</v>
      </c>
      <c r="J37" s="22"/>
      <c r="K37" s="25">
        <v>32</v>
      </c>
      <c r="L37" s="26" t="s">
        <v>141</v>
      </c>
      <c r="M37" s="27" t="s">
        <v>113</v>
      </c>
      <c r="N37" s="69">
        <v>79</v>
      </c>
      <c r="O37" s="32">
        <v>-8</v>
      </c>
      <c r="P37" s="67">
        <v>1.1949170066666666</v>
      </c>
      <c r="Q37" s="29">
        <v>1.7246192344363667</v>
      </c>
      <c r="R37" s="68">
        <v>2.5693646420096233E-2</v>
      </c>
      <c r="S37" s="30" t="s">
        <v>177</v>
      </c>
      <c r="T37" s="22"/>
      <c r="U37" s="31">
        <v>32</v>
      </c>
      <c r="V37" s="26" t="s">
        <v>135</v>
      </c>
      <c r="W37" s="27" t="s">
        <v>130</v>
      </c>
      <c r="X37" s="69">
        <v>86</v>
      </c>
      <c r="Y37" s="32">
        <v>6</v>
      </c>
      <c r="Z37" s="67">
        <v>1.4468388716666667</v>
      </c>
      <c r="AA37" s="28">
        <v>1.1446917919776372</v>
      </c>
      <c r="AB37" s="68">
        <v>5.8426969886357406E-2</v>
      </c>
      <c r="AC37" s="30" t="s">
        <v>83</v>
      </c>
      <c r="AD37" s="65"/>
    </row>
    <row r="38" spans="1:30" ht="15.75" customHeight="1" thickBot="1" x14ac:dyDescent="0.3">
      <c r="B38" s="38"/>
      <c r="C38" s="8"/>
      <c r="D38" s="8"/>
      <c r="E38" s="72"/>
      <c r="F38" s="73"/>
      <c r="G38" s="39"/>
      <c r="H38" s="74"/>
      <c r="I38" s="40"/>
      <c r="J38" s="22"/>
      <c r="K38" s="25">
        <v>33</v>
      </c>
      <c r="L38" s="26" t="s">
        <v>131</v>
      </c>
      <c r="M38" s="27" t="s">
        <v>130</v>
      </c>
      <c r="N38" s="69">
        <v>93</v>
      </c>
      <c r="O38" s="32">
        <v>3</v>
      </c>
      <c r="P38" s="67">
        <v>1.0308472450000001</v>
      </c>
      <c r="Q38" s="29">
        <v>1.0515483057481168</v>
      </c>
      <c r="R38" s="68">
        <v>1.8931041879585962E-2</v>
      </c>
      <c r="S38" s="30" t="s">
        <v>91</v>
      </c>
      <c r="T38" s="22"/>
      <c r="U38" s="31">
        <v>33</v>
      </c>
      <c r="V38" s="26" t="s">
        <v>140</v>
      </c>
      <c r="W38" s="27" t="s">
        <v>58</v>
      </c>
      <c r="X38" s="69">
        <v>73</v>
      </c>
      <c r="Y38" s="32">
        <v>-9</v>
      </c>
      <c r="Z38" s="67">
        <v>1.4198243283333336</v>
      </c>
      <c r="AA38" s="28">
        <v>1.2538020324838959</v>
      </c>
      <c r="AB38" s="68">
        <v>4.7794918103793979E-2</v>
      </c>
      <c r="AC38" s="30" t="s">
        <v>83</v>
      </c>
      <c r="AD38" s="65"/>
    </row>
    <row r="39" spans="1:30" x14ac:dyDescent="0.25">
      <c r="A39" s="77" t="s">
        <v>8</v>
      </c>
      <c r="B39" s="178" t="s">
        <v>8</v>
      </c>
      <c r="C39" s="179"/>
      <c r="D39" s="179"/>
      <c r="E39" s="179"/>
      <c r="F39" s="179"/>
      <c r="G39" s="179"/>
      <c r="H39" s="179"/>
      <c r="I39" s="180"/>
      <c r="J39" s="22"/>
      <c r="K39" s="25">
        <v>34</v>
      </c>
      <c r="L39" s="26" t="s">
        <v>150</v>
      </c>
      <c r="M39" s="27" t="s">
        <v>130</v>
      </c>
      <c r="N39" s="69">
        <v>76</v>
      </c>
      <c r="O39" s="32">
        <v>-16</v>
      </c>
      <c r="P39" s="67">
        <v>1.0010419666666668</v>
      </c>
      <c r="Q39" s="29">
        <v>1.0282647332970356</v>
      </c>
      <c r="R39" s="68">
        <v>1.2363967095366728E-2</v>
      </c>
      <c r="S39" s="30" t="s">
        <v>181</v>
      </c>
      <c r="T39" s="22"/>
      <c r="U39" s="31">
        <v>34</v>
      </c>
      <c r="V39" s="26" t="s">
        <v>142</v>
      </c>
      <c r="W39" s="27" t="s">
        <v>113</v>
      </c>
      <c r="X39" s="69">
        <v>83</v>
      </c>
      <c r="Y39" s="32">
        <v>-3</v>
      </c>
      <c r="Z39" s="67">
        <v>1.2071514316666667</v>
      </c>
      <c r="AA39" s="28">
        <v>1.3102783734033299</v>
      </c>
      <c r="AB39" s="68">
        <v>3.8755421967013939E-2</v>
      </c>
      <c r="AC39" s="30" t="s">
        <v>91</v>
      </c>
      <c r="AD39" s="65"/>
    </row>
    <row r="40" spans="1:30" ht="15" customHeight="1" thickBot="1" x14ac:dyDescent="0.3">
      <c r="A40" s="10" t="s">
        <v>3</v>
      </c>
      <c r="B40" s="11" t="s">
        <v>4</v>
      </c>
      <c r="C40" s="12" t="s">
        <v>9</v>
      </c>
      <c r="D40" s="12" t="s">
        <v>232</v>
      </c>
      <c r="E40" s="12" t="s">
        <v>233</v>
      </c>
      <c r="F40" s="60" t="s">
        <v>5</v>
      </c>
      <c r="G40" s="13" t="s">
        <v>234</v>
      </c>
      <c r="H40" s="14" t="s">
        <v>235</v>
      </c>
      <c r="I40" s="15" t="s">
        <v>6</v>
      </c>
      <c r="J40" s="22"/>
      <c r="K40" s="25">
        <v>35</v>
      </c>
      <c r="L40" s="26" t="s">
        <v>143</v>
      </c>
      <c r="M40" s="27" t="s">
        <v>73</v>
      </c>
      <c r="N40" s="69">
        <v>95</v>
      </c>
      <c r="O40" s="32">
        <v>1</v>
      </c>
      <c r="P40" s="67">
        <v>0.86701076666666665</v>
      </c>
      <c r="Q40" s="29">
        <v>1.4781760225273619</v>
      </c>
      <c r="R40" s="68">
        <v>6.6761690479157183E-3</v>
      </c>
      <c r="S40" s="30" t="s">
        <v>91</v>
      </c>
      <c r="T40" s="22"/>
      <c r="U40" s="31">
        <v>35</v>
      </c>
      <c r="V40" s="26" t="s">
        <v>144</v>
      </c>
      <c r="W40" s="27" t="s">
        <v>113</v>
      </c>
      <c r="X40" s="69">
        <v>87</v>
      </c>
      <c r="Y40" s="32">
        <v>-2</v>
      </c>
      <c r="Z40" s="67">
        <v>1.0849067399999999</v>
      </c>
      <c r="AA40" s="28">
        <v>0.75834246042730025</v>
      </c>
      <c r="AB40" s="68">
        <v>3.0631329141761175E-2</v>
      </c>
      <c r="AC40" s="30" t="s">
        <v>181</v>
      </c>
      <c r="AD40" s="65"/>
    </row>
    <row r="41" spans="1:30" ht="15" customHeight="1" x14ac:dyDescent="0.25">
      <c r="A41" s="16">
        <v>1</v>
      </c>
      <c r="B41" s="17" t="s">
        <v>145</v>
      </c>
      <c r="C41" s="18" t="s">
        <v>83</v>
      </c>
      <c r="D41" s="18">
        <v>8</v>
      </c>
      <c r="E41" s="62">
        <v>1</v>
      </c>
      <c r="F41" s="63">
        <v>7.2068646033333321</v>
      </c>
      <c r="G41" s="19">
        <v>0.65995436192573964</v>
      </c>
      <c r="H41" s="64">
        <v>0.75164217974291025</v>
      </c>
      <c r="I41" s="21" t="s">
        <v>28</v>
      </c>
      <c r="J41" s="22"/>
      <c r="K41" s="25">
        <v>36</v>
      </c>
      <c r="L41" s="26" t="s">
        <v>146</v>
      </c>
      <c r="M41" s="27" t="s">
        <v>163</v>
      </c>
      <c r="N41" s="69">
        <v>116</v>
      </c>
      <c r="O41" s="32">
        <v>18</v>
      </c>
      <c r="P41" s="67">
        <v>0.52643786000000026</v>
      </c>
      <c r="Q41" s="29">
        <v>1.2776321187908162</v>
      </c>
      <c r="R41" s="68">
        <v>3.2226107446848068E-3</v>
      </c>
      <c r="S41" s="30" t="s">
        <v>91</v>
      </c>
      <c r="T41" s="22"/>
      <c r="U41" s="31">
        <v>36</v>
      </c>
      <c r="V41" s="26" t="s">
        <v>154</v>
      </c>
      <c r="W41" s="27" t="s">
        <v>156</v>
      </c>
      <c r="X41" s="69">
        <v>91</v>
      </c>
      <c r="Y41" s="32">
        <v>-2</v>
      </c>
      <c r="Z41" s="67">
        <v>0.8980732066666669</v>
      </c>
      <c r="AA41" s="28">
        <v>0.91400511992911093</v>
      </c>
      <c r="AB41" s="68">
        <v>2.390629939880607E-2</v>
      </c>
      <c r="AC41" s="30" t="s">
        <v>91</v>
      </c>
      <c r="AD41" s="65"/>
    </row>
    <row r="42" spans="1:30" ht="15.75" customHeight="1" x14ac:dyDescent="0.25">
      <c r="A42" s="25">
        <v>2</v>
      </c>
      <c r="B42" s="26" t="s">
        <v>149</v>
      </c>
      <c r="C42" s="27" t="s">
        <v>58</v>
      </c>
      <c r="D42" s="27">
        <v>30</v>
      </c>
      <c r="E42" s="66">
        <v>-1</v>
      </c>
      <c r="F42" s="67">
        <v>4.2969791966666655</v>
      </c>
      <c r="G42" s="28">
        <v>0.82840729893912191</v>
      </c>
      <c r="H42" s="68">
        <v>0.60356275190398634</v>
      </c>
      <c r="I42" s="30" t="s">
        <v>40</v>
      </c>
      <c r="J42" s="22"/>
      <c r="K42" s="25">
        <v>37</v>
      </c>
      <c r="L42" s="26" t="s">
        <v>139</v>
      </c>
      <c r="M42" s="27" t="s">
        <v>91</v>
      </c>
      <c r="N42" s="69">
        <v>86</v>
      </c>
      <c r="O42" s="32">
        <v>-13</v>
      </c>
      <c r="P42" s="67">
        <v>0.49123372333333326</v>
      </c>
      <c r="Q42" s="29">
        <v>1.3201827881935229</v>
      </c>
      <c r="R42" s="68">
        <v>0</v>
      </c>
      <c r="S42" s="30" t="s">
        <v>181</v>
      </c>
      <c r="T42" s="22"/>
      <c r="U42" s="31">
        <v>37</v>
      </c>
      <c r="V42" s="26" t="s">
        <v>148</v>
      </c>
      <c r="W42" s="27" t="s">
        <v>83</v>
      </c>
      <c r="X42" s="69">
        <v>107</v>
      </c>
      <c r="Y42" s="32">
        <v>12</v>
      </c>
      <c r="Z42" s="67">
        <v>0.83307846499999982</v>
      </c>
      <c r="AA42" s="28">
        <v>0.58177387628575328</v>
      </c>
      <c r="AB42" s="68">
        <v>1.7667968922235308E-2</v>
      </c>
      <c r="AC42" s="30" t="s">
        <v>91</v>
      </c>
      <c r="AD42" s="65"/>
    </row>
    <row r="43" spans="1:30" x14ac:dyDescent="0.25">
      <c r="A43" s="25">
        <v>3</v>
      </c>
      <c r="B43" s="26" t="s">
        <v>152</v>
      </c>
      <c r="C43" s="27" t="s">
        <v>130</v>
      </c>
      <c r="D43" s="27">
        <v>29</v>
      </c>
      <c r="E43" s="66">
        <v>-5</v>
      </c>
      <c r="F43" s="67">
        <v>3.9321354566666669</v>
      </c>
      <c r="G43" s="28">
        <v>1.5762898861819017</v>
      </c>
      <c r="H43" s="68">
        <v>0.46805630843317908</v>
      </c>
      <c r="I43" s="30" t="s">
        <v>31</v>
      </c>
      <c r="J43" s="22"/>
      <c r="K43" s="25">
        <v>38</v>
      </c>
      <c r="L43" s="26" t="s">
        <v>153</v>
      </c>
      <c r="M43" s="27" t="s">
        <v>73</v>
      </c>
      <c r="N43" s="69">
        <v>108</v>
      </c>
      <c r="O43" s="32">
        <v>-11</v>
      </c>
      <c r="P43" s="67">
        <v>-0.39360757454545464</v>
      </c>
      <c r="Q43" s="29">
        <v>1.6581151724385803</v>
      </c>
      <c r="R43" s="68">
        <v>0</v>
      </c>
      <c r="S43" s="30" t="s">
        <v>109</v>
      </c>
      <c r="T43" s="22"/>
      <c r="U43" s="31">
        <v>38</v>
      </c>
      <c r="V43" s="26" t="s">
        <v>151</v>
      </c>
      <c r="W43" s="27" t="s">
        <v>156</v>
      </c>
      <c r="X43" s="69">
        <v>115</v>
      </c>
      <c r="Y43" s="32">
        <v>19</v>
      </c>
      <c r="Z43" s="67">
        <v>0.78154731499999974</v>
      </c>
      <c r="AA43" s="28">
        <v>0.79834683110213689</v>
      </c>
      <c r="AB43" s="68">
        <v>1.1815518476230054E-2</v>
      </c>
      <c r="AC43" s="30" t="s">
        <v>91</v>
      </c>
      <c r="AD43" s="65"/>
    </row>
    <row r="44" spans="1:30" ht="15" customHeight="1" x14ac:dyDescent="0.25">
      <c r="A44" s="25">
        <v>4</v>
      </c>
      <c r="B44" s="26" t="s">
        <v>159</v>
      </c>
      <c r="C44" s="27" t="s">
        <v>58</v>
      </c>
      <c r="D44" s="27">
        <v>58</v>
      </c>
      <c r="E44" s="66">
        <v>-4</v>
      </c>
      <c r="F44" s="67">
        <v>2.4268854766666665</v>
      </c>
      <c r="G44" s="28">
        <v>0.9541166271656214</v>
      </c>
      <c r="H44" s="68">
        <v>0.38442271460657346</v>
      </c>
      <c r="I44" s="30" t="s">
        <v>38</v>
      </c>
      <c r="J44" s="22"/>
      <c r="K44" s="25">
        <v>39</v>
      </c>
      <c r="L44" s="26" t="s">
        <v>160</v>
      </c>
      <c r="M44" s="27" t="s">
        <v>156</v>
      </c>
      <c r="N44" s="69">
        <v>109</v>
      </c>
      <c r="O44" s="32">
        <v>-23</v>
      </c>
      <c r="P44" s="67">
        <v>-1.0161881416666667</v>
      </c>
      <c r="Q44" s="29">
        <v>1.3808900075455526</v>
      </c>
      <c r="R44" s="68">
        <v>0</v>
      </c>
      <c r="S44" s="30" t="s">
        <v>105</v>
      </c>
      <c r="T44" s="22"/>
      <c r="U44" s="31">
        <v>39</v>
      </c>
      <c r="V44" s="26" t="s">
        <v>168</v>
      </c>
      <c r="W44" s="27" t="s">
        <v>105</v>
      </c>
      <c r="X44" s="69">
        <v>116</v>
      </c>
      <c r="Y44" s="32">
        <v>15</v>
      </c>
      <c r="Z44" s="67">
        <v>0.41501603499999962</v>
      </c>
      <c r="AA44" s="28">
        <v>0.74266408699458841</v>
      </c>
      <c r="AB44" s="68">
        <v>8.7077593776845076E-3</v>
      </c>
      <c r="AC44" s="30" t="s">
        <v>91</v>
      </c>
      <c r="AD44" s="65"/>
    </row>
    <row r="45" spans="1:30" ht="15" customHeight="1" x14ac:dyDescent="0.25">
      <c r="A45" s="25">
        <v>5</v>
      </c>
      <c r="B45" s="26" t="s">
        <v>155</v>
      </c>
      <c r="C45" s="27" t="s">
        <v>156</v>
      </c>
      <c r="D45" s="27">
        <v>66</v>
      </c>
      <c r="E45" s="66">
        <v>2</v>
      </c>
      <c r="F45" s="67">
        <v>2.3805417366666664</v>
      </c>
      <c r="G45" s="28">
        <v>0.68757937420586834</v>
      </c>
      <c r="H45" s="68">
        <v>0.30238618564554587</v>
      </c>
      <c r="I45" s="30" t="s">
        <v>38</v>
      </c>
      <c r="J45" s="22"/>
      <c r="K45" s="25">
        <v>40</v>
      </c>
      <c r="L45" s="26" t="s">
        <v>157</v>
      </c>
      <c r="M45" s="27" t="s">
        <v>73</v>
      </c>
      <c r="N45" s="69">
        <v>113</v>
      </c>
      <c r="O45" s="32">
        <v>-21</v>
      </c>
      <c r="P45" s="67">
        <v>-1.0494558399999998</v>
      </c>
      <c r="Q45" s="29">
        <v>1.280028218888384</v>
      </c>
      <c r="R45" s="68">
        <v>0</v>
      </c>
      <c r="S45" s="30" t="s">
        <v>105</v>
      </c>
      <c r="T45" s="22"/>
      <c r="U45" s="31">
        <v>40</v>
      </c>
      <c r="V45" s="26" t="s">
        <v>161</v>
      </c>
      <c r="W45" s="27" t="s">
        <v>105</v>
      </c>
      <c r="X45" s="69">
        <v>118</v>
      </c>
      <c r="Y45" s="32">
        <v>15</v>
      </c>
      <c r="Z45" s="67">
        <v>0.37707339666666662</v>
      </c>
      <c r="AA45" s="28">
        <v>0.71546750541312698</v>
      </c>
      <c r="AB45" s="68">
        <v>5.8841256370982973E-3</v>
      </c>
      <c r="AC45" s="30" t="s">
        <v>91</v>
      </c>
      <c r="AD45" s="65"/>
    </row>
    <row r="46" spans="1:30" ht="15.75" customHeight="1" x14ac:dyDescent="0.25">
      <c r="A46" s="25">
        <v>6</v>
      </c>
      <c r="B46" s="26" t="s">
        <v>166</v>
      </c>
      <c r="C46" s="27" t="s">
        <v>105</v>
      </c>
      <c r="D46" s="27">
        <v>56</v>
      </c>
      <c r="E46" s="66">
        <v>-11</v>
      </c>
      <c r="F46" s="67">
        <v>2.1914010916666662</v>
      </c>
      <c r="G46" s="28">
        <v>1.1442978151128809</v>
      </c>
      <c r="H46" s="68">
        <v>0.22686768649355515</v>
      </c>
      <c r="I46" s="30" t="s">
        <v>64</v>
      </c>
      <c r="J46" s="22"/>
      <c r="K46" s="25">
        <v>41</v>
      </c>
      <c r="L46" s="26" t="s">
        <v>170</v>
      </c>
      <c r="M46" s="27" t="s">
        <v>58</v>
      </c>
      <c r="N46" s="69">
        <v>124</v>
      </c>
      <c r="O46" s="32">
        <v>-18</v>
      </c>
      <c r="P46" s="67">
        <v>-1.6069849966666665</v>
      </c>
      <c r="Q46" s="29">
        <v>1.1369509845144814</v>
      </c>
      <c r="R46" s="68">
        <v>0</v>
      </c>
      <c r="S46" s="30" t="s">
        <v>105</v>
      </c>
      <c r="T46" s="22"/>
      <c r="U46" s="31">
        <v>41</v>
      </c>
      <c r="V46" s="26" t="s">
        <v>158</v>
      </c>
      <c r="W46" s="27" t="s">
        <v>73</v>
      </c>
      <c r="X46" s="69">
        <v>159</v>
      </c>
      <c r="Y46" s="32">
        <v>55</v>
      </c>
      <c r="Z46" s="67">
        <v>0.31845367499999999</v>
      </c>
      <c r="AA46" s="28">
        <v>0.75251108471383155</v>
      </c>
      <c r="AB46" s="68">
        <v>3.4994531847519694E-3</v>
      </c>
      <c r="AC46" s="30" t="s">
        <v>181</v>
      </c>
      <c r="AD46" s="65"/>
    </row>
    <row r="47" spans="1:30" x14ac:dyDescent="0.25">
      <c r="A47" s="25">
        <v>7</v>
      </c>
      <c r="B47" s="26" t="s">
        <v>162</v>
      </c>
      <c r="C47" s="27" t="s">
        <v>163</v>
      </c>
      <c r="D47" s="27">
        <v>81</v>
      </c>
      <c r="E47" s="66">
        <v>10</v>
      </c>
      <c r="F47" s="67">
        <v>2.0219948716666662</v>
      </c>
      <c r="G47" s="28">
        <v>0.80669530182381211</v>
      </c>
      <c r="H47" s="68">
        <v>0.15718714349211194</v>
      </c>
      <c r="I47" s="30" t="s">
        <v>38</v>
      </c>
      <c r="J47" s="22"/>
      <c r="K47" s="25">
        <v>42</v>
      </c>
      <c r="L47" s="26" t="s">
        <v>164</v>
      </c>
      <c r="M47" s="27" t="s">
        <v>58</v>
      </c>
      <c r="N47" s="69">
        <v>103</v>
      </c>
      <c r="O47" s="32">
        <v>-41</v>
      </c>
      <c r="P47" s="67">
        <v>-1.6662141433333337</v>
      </c>
      <c r="Q47" s="29">
        <v>1.0156316794162641</v>
      </c>
      <c r="R47" s="68">
        <v>0</v>
      </c>
      <c r="S47" s="30" t="s">
        <v>105</v>
      </c>
      <c r="T47" s="22"/>
      <c r="U47" s="31">
        <v>42</v>
      </c>
      <c r="V47" s="26" t="s">
        <v>165</v>
      </c>
      <c r="W47" s="27" t="s">
        <v>130</v>
      </c>
      <c r="X47" s="69">
        <v>160</v>
      </c>
      <c r="Y47" s="32">
        <v>54</v>
      </c>
      <c r="Z47" s="67">
        <v>0.18867761333333311</v>
      </c>
      <c r="AA47" s="28">
        <v>0.86755051670168226</v>
      </c>
      <c r="AB47" s="68">
        <v>2.0865811025237864E-3</v>
      </c>
      <c r="AC47" s="30" t="s">
        <v>91</v>
      </c>
      <c r="AD47" s="65"/>
    </row>
    <row r="48" spans="1:30" ht="15.75" customHeight="1" x14ac:dyDescent="0.25">
      <c r="A48" s="25">
        <v>8</v>
      </c>
      <c r="B48" s="26" t="s">
        <v>169</v>
      </c>
      <c r="C48" s="27" t="s">
        <v>130</v>
      </c>
      <c r="D48" s="27">
        <v>84</v>
      </c>
      <c r="E48" s="66">
        <v>3</v>
      </c>
      <c r="F48" s="67">
        <v>1.4241302983333328</v>
      </c>
      <c r="G48" s="28">
        <v>0.99328919506930613</v>
      </c>
      <c r="H48" s="68">
        <v>0.10810978237552402</v>
      </c>
      <c r="I48" s="30" t="s">
        <v>58</v>
      </c>
      <c r="J48" s="22"/>
      <c r="K48" s="25">
        <v>43</v>
      </c>
      <c r="L48" s="26" t="s">
        <v>173</v>
      </c>
      <c r="M48" s="27" t="s">
        <v>156</v>
      </c>
      <c r="N48" s="69" t="s">
        <v>236</v>
      </c>
      <c r="O48" s="32" t="s">
        <v>236</v>
      </c>
      <c r="P48" s="67">
        <v>-1.8939526950000001</v>
      </c>
      <c r="Q48" s="29">
        <v>1.0693083991550576</v>
      </c>
      <c r="R48" s="68">
        <v>0</v>
      </c>
      <c r="S48" s="30" t="s">
        <v>105</v>
      </c>
      <c r="T48" s="22"/>
      <c r="U48" s="31">
        <v>43</v>
      </c>
      <c r="V48" s="26" t="s">
        <v>189</v>
      </c>
      <c r="W48" s="27" t="s">
        <v>91</v>
      </c>
      <c r="X48" s="69">
        <v>108</v>
      </c>
      <c r="Y48" s="32">
        <v>0</v>
      </c>
      <c r="Z48" s="67">
        <v>0.13329201666666673</v>
      </c>
      <c r="AA48" s="28">
        <v>0.57026884442711967</v>
      </c>
      <c r="AB48" s="68">
        <v>1.0884522529738456E-3</v>
      </c>
      <c r="AC48" s="30" t="s">
        <v>91</v>
      </c>
      <c r="AD48" s="65"/>
    </row>
    <row r="49" spans="1:29" ht="15.75" customHeight="1" x14ac:dyDescent="0.25">
      <c r="A49" s="25">
        <v>9</v>
      </c>
      <c r="B49" s="26" t="s">
        <v>172</v>
      </c>
      <c r="C49" s="27" t="s">
        <v>156</v>
      </c>
      <c r="D49" s="27">
        <v>84</v>
      </c>
      <c r="E49" s="66">
        <v>-1</v>
      </c>
      <c r="F49" s="67">
        <v>1.2808073916666665</v>
      </c>
      <c r="G49" s="28">
        <v>0.75802773370757315</v>
      </c>
      <c r="H49" s="68">
        <v>6.3971512896120408E-2</v>
      </c>
      <c r="I49" s="30" t="s">
        <v>58</v>
      </c>
      <c r="J49" s="2"/>
      <c r="K49" s="25">
        <v>44</v>
      </c>
      <c r="L49" s="26" t="s">
        <v>167</v>
      </c>
      <c r="M49" s="27" t="s">
        <v>113</v>
      </c>
      <c r="N49" s="69">
        <v>124</v>
      </c>
      <c r="O49" s="32">
        <v>-27</v>
      </c>
      <c r="P49" s="67">
        <v>-1.9504964250000001</v>
      </c>
      <c r="Q49" s="29">
        <v>1.180220363959015</v>
      </c>
      <c r="R49" s="68">
        <v>0</v>
      </c>
      <c r="S49" s="30" t="s">
        <v>105</v>
      </c>
      <c r="T49" s="2"/>
      <c r="U49" s="31">
        <v>44</v>
      </c>
      <c r="V49" s="26" t="s">
        <v>174</v>
      </c>
      <c r="W49" s="27" t="s">
        <v>58</v>
      </c>
      <c r="X49" s="69">
        <v>132</v>
      </c>
      <c r="Y49" s="32">
        <v>22</v>
      </c>
      <c r="Z49" s="67">
        <v>9.8051461666666895E-2</v>
      </c>
      <c r="AA49" s="28">
        <v>0.62781937862104309</v>
      </c>
      <c r="AB49" s="68">
        <v>3.5421478641359358E-4</v>
      </c>
      <c r="AC49" s="30" t="s">
        <v>91</v>
      </c>
    </row>
    <row r="50" spans="1:29" ht="15.75" customHeight="1" x14ac:dyDescent="0.25">
      <c r="A50" s="25">
        <v>10</v>
      </c>
      <c r="B50" s="26" t="s">
        <v>175</v>
      </c>
      <c r="C50" s="27" t="s">
        <v>130</v>
      </c>
      <c r="D50" s="27">
        <v>94</v>
      </c>
      <c r="E50" s="66">
        <v>3</v>
      </c>
      <c r="F50" s="67">
        <v>1.015099068333333</v>
      </c>
      <c r="G50" s="28">
        <v>0.77943868454649212</v>
      </c>
      <c r="H50" s="68">
        <v>2.8989893865888683E-2</v>
      </c>
      <c r="I50" s="30" t="s">
        <v>58</v>
      </c>
      <c r="J50" s="2"/>
      <c r="K50" s="25">
        <v>45</v>
      </c>
      <c r="L50" s="26" t="s">
        <v>185</v>
      </c>
      <c r="M50" s="27" t="s">
        <v>83</v>
      </c>
      <c r="N50" s="69">
        <v>114</v>
      </c>
      <c r="O50" s="32">
        <v>-49</v>
      </c>
      <c r="P50" s="67">
        <v>-2.5316297483333332</v>
      </c>
      <c r="Q50" s="29">
        <v>1.2174293959537612</v>
      </c>
      <c r="R50" s="68">
        <v>0</v>
      </c>
      <c r="S50" s="30" t="s">
        <v>113</v>
      </c>
      <c r="T50" s="2"/>
      <c r="U50" s="31">
        <v>45</v>
      </c>
      <c r="V50" s="26" t="s">
        <v>186</v>
      </c>
      <c r="W50" s="27" t="s">
        <v>91</v>
      </c>
      <c r="X50" s="69">
        <v>117</v>
      </c>
      <c r="Y50" s="32">
        <v>6</v>
      </c>
      <c r="Z50" s="67">
        <v>4.7302513333333157E-2</v>
      </c>
      <c r="AA50" s="28">
        <v>0.75061422851694171</v>
      </c>
      <c r="AB50" s="68">
        <v>0</v>
      </c>
      <c r="AC50" s="30" t="s">
        <v>177</v>
      </c>
    </row>
    <row r="51" spans="1:29" x14ac:dyDescent="0.25">
      <c r="A51" s="25">
        <v>11</v>
      </c>
      <c r="B51" s="26" t="s">
        <v>179</v>
      </c>
      <c r="C51" s="27" t="s">
        <v>113</v>
      </c>
      <c r="D51" s="27">
        <v>128</v>
      </c>
      <c r="E51" s="66">
        <v>26</v>
      </c>
      <c r="F51" s="67">
        <v>0.41110012999999956</v>
      </c>
      <c r="G51" s="28">
        <v>1.0069502208514223</v>
      </c>
      <c r="H51" s="68">
        <v>1.4822854825501679E-2</v>
      </c>
      <c r="I51" s="30" t="s">
        <v>73</v>
      </c>
      <c r="J51" s="2"/>
      <c r="K51" s="25">
        <v>46</v>
      </c>
      <c r="L51" s="26" t="s">
        <v>188</v>
      </c>
      <c r="M51" s="27" t="s">
        <v>83</v>
      </c>
      <c r="N51" s="69">
        <v>167</v>
      </c>
      <c r="O51" s="32">
        <v>-7</v>
      </c>
      <c r="P51" s="67">
        <v>-2.8332130616666671</v>
      </c>
      <c r="Q51" s="29">
        <v>1.6330502828075415</v>
      </c>
      <c r="R51" s="68">
        <v>0</v>
      </c>
      <c r="S51" s="30" t="s">
        <v>120</v>
      </c>
      <c r="T51" s="2"/>
      <c r="U51" s="31">
        <v>46</v>
      </c>
      <c r="V51" s="26" t="s">
        <v>178</v>
      </c>
      <c r="W51" s="27" t="s">
        <v>130</v>
      </c>
      <c r="X51" s="69">
        <v>124</v>
      </c>
      <c r="Y51" s="32">
        <v>10</v>
      </c>
      <c r="Z51" s="67">
        <v>-3.6390175000000267E-2</v>
      </c>
      <c r="AA51" s="28">
        <v>1.1357100033619965</v>
      </c>
      <c r="AB51" s="68">
        <v>0</v>
      </c>
      <c r="AC51" s="30" t="s">
        <v>177</v>
      </c>
    </row>
    <row r="52" spans="1:29" ht="15" customHeight="1" x14ac:dyDescent="0.25">
      <c r="A52" s="25">
        <v>12</v>
      </c>
      <c r="B52" s="26" t="s">
        <v>187</v>
      </c>
      <c r="C52" s="27" t="s">
        <v>91</v>
      </c>
      <c r="D52" s="27">
        <v>119</v>
      </c>
      <c r="E52" s="66">
        <v>14</v>
      </c>
      <c r="F52" s="67">
        <v>0.2942397033333331</v>
      </c>
      <c r="G52" s="28">
        <v>0.49766989007162327</v>
      </c>
      <c r="H52" s="68">
        <v>4.6829763380996101E-3</v>
      </c>
      <c r="I52" s="30" t="s">
        <v>73</v>
      </c>
      <c r="J52" s="2"/>
      <c r="K52" s="25">
        <v>47</v>
      </c>
      <c r="L52" s="26" t="s">
        <v>176</v>
      </c>
      <c r="M52" s="27" t="s">
        <v>113</v>
      </c>
      <c r="N52" s="69" t="s">
        <v>236</v>
      </c>
      <c r="O52" s="32" t="s">
        <v>236</v>
      </c>
      <c r="P52" s="67">
        <v>-2.9276972866666662</v>
      </c>
      <c r="Q52" s="29">
        <v>1.1476991502002036</v>
      </c>
      <c r="R52" s="68">
        <v>0</v>
      </c>
      <c r="S52" s="30" t="s">
        <v>120</v>
      </c>
      <c r="T52" s="2"/>
      <c r="U52" s="31">
        <v>47</v>
      </c>
      <c r="V52" s="26" t="s">
        <v>182</v>
      </c>
      <c r="W52" s="27" t="s">
        <v>73</v>
      </c>
      <c r="X52" s="69">
        <v>149</v>
      </c>
      <c r="Y52" s="32">
        <v>33</v>
      </c>
      <c r="Z52" s="67">
        <v>-7.1056831666666459E-2</v>
      </c>
      <c r="AA52" s="28">
        <v>1.0640842291728534</v>
      </c>
      <c r="AB52" s="68">
        <v>0</v>
      </c>
      <c r="AC52" s="30" t="s">
        <v>91</v>
      </c>
    </row>
    <row r="53" spans="1:29" ht="15" customHeight="1" x14ac:dyDescent="0.25">
      <c r="A53" s="25">
        <v>13</v>
      </c>
      <c r="B53" s="26" t="s">
        <v>190</v>
      </c>
      <c r="C53" s="27" t="s">
        <v>73</v>
      </c>
      <c r="D53" s="27">
        <v>142</v>
      </c>
      <c r="E53" s="66">
        <v>33</v>
      </c>
      <c r="F53" s="67">
        <v>0.11451368166666612</v>
      </c>
      <c r="G53" s="28">
        <v>1.0455946214608194</v>
      </c>
      <c r="H53" s="68">
        <v>7.366876350770944E-4</v>
      </c>
      <c r="I53" s="30" t="s">
        <v>73</v>
      </c>
      <c r="J53" s="2"/>
      <c r="K53" s="25">
        <v>48</v>
      </c>
      <c r="L53" s="26" t="s">
        <v>207</v>
      </c>
      <c r="M53" s="27" t="s">
        <v>113</v>
      </c>
      <c r="N53" s="69" t="s">
        <v>236</v>
      </c>
      <c r="O53" s="32" t="s">
        <v>236</v>
      </c>
      <c r="P53" s="67">
        <v>-2.9920151550000007</v>
      </c>
      <c r="Q53" s="29">
        <v>1.4739883915750041</v>
      </c>
      <c r="R53" s="68">
        <v>0</v>
      </c>
      <c r="S53" s="30" t="s">
        <v>113</v>
      </c>
      <c r="T53" s="2"/>
      <c r="U53" s="31">
        <v>48</v>
      </c>
      <c r="V53" s="26" t="s">
        <v>171</v>
      </c>
      <c r="W53" s="27" t="s">
        <v>130</v>
      </c>
      <c r="X53" s="69">
        <v>121</v>
      </c>
      <c r="Y53" s="32">
        <v>4</v>
      </c>
      <c r="Z53" s="67">
        <v>-0.16314015500000012</v>
      </c>
      <c r="AA53" s="28">
        <v>1.11729696591012</v>
      </c>
      <c r="AB53" s="68">
        <v>0</v>
      </c>
      <c r="AC53" s="30" t="s">
        <v>105</v>
      </c>
    </row>
    <row r="54" spans="1:29" ht="15.75" customHeight="1" x14ac:dyDescent="0.25">
      <c r="A54" s="25">
        <v>14</v>
      </c>
      <c r="B54" s="26" t="s">
        <v>184</v>
      </c>
      <c r="C54" s="27" t="s">
        <v>163</v>
      </c>
      <c r="D54" s="27">
        <v>156</v>
      </c>
      <c r="E54" s="66">
        <v>44</v>
      </c>
      <c r="F54" s="67">
        <v>2.137725333333303E-2</v>
      </c>
      <c r="G54" s="28">
        <v>0.44731186439592241</v>
      </c>
      <c r="H54" s="68">
        <v>0</v>
      </c>
      <c r="I54" s="30" t="s">
        <v>73</v>
      </c>
      <c r="J54" s="2"/>
      <c r="K54" s="25">
        <v>49</v>
      </c>
      <c r="L54" s="26" t="s">
        <v>180</v>
      </c>
      <c r="M54" s="27" t="s">
        <v>130</v>
      </c>
      <c r="N54" s="69">
        <v>172</v>
      </c>
      <c r="O54" s="32">
        <v>-10</v>
      </c>
      <c r="P54" s="67">
        <v>-3.0538379216666667</v>
      </c>
      <c r="Q54" s="29">
        <v>1.2934441756615525</v>
      </c>
      <c r="R54" s="68">
        <v>0</v>
      </c>
      <c r="S54" s="30" t="s">
        <v>230</v>
      </c>
      <c r="T54" s="2"/>
      <c r="U54" s="31">
        <v>49</v>
      </c>
      <c r="V54" s="26" t="s">
        <v>195</v>
      </c>
      <c r="W54" s="27" t="s">
        <v>58</v>
      </c>
      <c r="X54" s="69">
        <v>181</v>
      </c>
      <c r="Y54" s="32">
        <v>61</v>
      </c>
      <c r="Z54" s="67">
        <v>-0.44824940000000008</v>
      </c>
      <c r="AA54" s="28">
        <v>0.40765381926781474</v>
      </c>
      <c r="AB54" s="68">
        <v>0</v>
      </c>
      <c r="AC54" s="30" t="s">
        <v>105</v>
      </c>
    </row>
    <row r="55" spans="1:29" x14ac:dyDescent="0.25">
      <c r="A55" s="25">
        <v>15</v>
      </c>
      <c r="B55" s="26" t="s">
        <v>193</v>
      </c>
      <c r="C55" s="27" t="s">
        <v>130</v>
      </c>
      <c r="D55" s="27">
        <v>152</v>
      </c>
      <c r="E55" s="66">
        <v>39</v>
      </c>
      <c r="F55" s="67">
        <v>-2.7234215000000367E-2</v>
      </c>
      <c r="G55" s="28">
        <v>0.7280573525564491</v>
      </c>
      <c r="H55" s="68">
        <v>0</v>
      </c>
      <c r="I55" s="30" t="s">
        <v>73</v>
      </c>
      <c r="J55" s="2"/>
      <c r="K55" s="25">
        <v>50</v>
      </c>
      <c r="L55" s="26" t="s">
        <v>194</v>
      </c>
      <c r="M55" s="27" t="s">
        <v>130</v>
      </c>
      <c r="N55" s="69">
        <v>150</v>
      </c>
      <c r="O55" s="32">
        <v>-35</v>
      </c>
      <c r="P55" s="67">
        <v>-3.0876713350000005</v>
      </c>
      <c r="Q55" s="29">
        <v>1.2949294412829135</v>
      </c>
      <c r="R55" s="68">
        <v>0</v>
      </c>
      <c r="S55" s="30" t="s">
        <v>113</v>
      </c>
      <c r="T55" s="2"/>
      <c r="U55" s="31">
        <v>50</v>
      </c>
      <c r="V55" s="26" t="s">
        <v>192</v>
      </c>
      <c r="W55" s="27" t="s">
        <v>83</v>
      </c>
      <c r="X55" s="69">
        <v>108</v>
      </c>
      <c r="Y55" s="32">
        <v>-13</v>
      </c>
      <c r="Z55" s="67">
        <v>-0.47763489666666675</v>
      </c>
      <c r="AA55" s="28">
        <v>1.4704983669915488</v>
      </c>
      <c r="AB55" s="68">
        <v>0</v>
      </c>
      <c r="AC55" s="30" t="s">
        <v>105</v>
      </c>
    </row>
    <row r="56" spans="1:29" ht="15" customHeight="1" x14ac:dyDescent="0.25">
      <c r="A56" s="25">
        <v>16</v>
      </c>
      <c r="B56" s="26" t="s">
        <v>196</v>
      </c>
      <c r="C56" s="27" t="s">
        <v>113</v>
      </c>
      <c r="D56" s="27">
        <v>176</v>
      </c>
      <c r="E56" s="66">
        <v>61</v>
      </c>
      <c r="F56" s="67">
        <v>-5.5395683333333758E-2</v>
      </c>
      <c r="G56" s="28">
        <v>0.7414236570944055</v>
      </c>
      <c r="H56" s="68">
        <v>0</v>
      </c>
      <c r="I56" s="30" t="s">
        <v>73</v>
      </c>
      <c r="J56" s="2"/>
      <c r="K56" s="25">
        <v>51</v>
      </c>
      <c r="L56" s="26" t="s">
        <v>216</v>
      </c>
      <c r="M56" s="27" t="s">
        <v>58</v>
      </c>
      <c r="N56" s="69">
        <v>180</v>
      </c>
      <c r="O56" s="32">
        <v>-7</v>
      </c>
      <c r="P56" s="67">
        <v>-3.1324995000000002</v>
      </c>
      <c r="Q56" s="29">
        <v>1.2313603306461061</v>
      </c>
      <c r="R56" s="68">
        <v>0</v>
      </c>
      <c r="S56" s="30" t="s">
        <v>120</v>
      </c>
      <c r="T56" s="2"/>
      <c r="U56" s="31">
        <v>51</v>
      </c>
      <c r="V56" s="26" t="s">
        <v>198</v>
      </c>
      <c r="W56" s="27" t="s">
        <v>58</v>
      </c>
      <c r="X56" s="69">
        <v>122</v>
      </c>
      <c r="Y56" s="32">
        <v>-1</v>
      </c>
      <c r="Z56" s="67">
        <v>-0.60876524500000018</v>
      </c>
      <c r="AA56" s="28">
        <v>1.1803977577774587</v>
      </c>
      <c r="AB56" s="68">
        <v>0</v>
      </c>
      <c r="AC56" s="30" t="s">
        <v>98</v>
      </c>
    </row>
    <row r="57" spans="1:29" ht="15" customHeight="1" x14ac:dyDescent="0.25">
      <c r="A57" s="25">
        <v>17</v>
      </c>
      <c r="B57" s="26" t="s">
        <v>200</v>
      </c>
      <c r="C57" s="27" t="s">
        <v>130</v>
      </c>
      <c r="D57" s="27">
        <v>148</v>
      </c>
      <c r="E57" s="66">
        <v>24</v>
      </c>
      <c r="F57" s="67">
        <v>-0.62899982000000032</v>
      </c>
      <c r="G57" s="28">
        <v>0.77857913272132517</v>
      </c>
      <c r="H57" s="68">
        <v>0</v>
      </c>
      <c r="I57" s="30" t="s">
        <v>83</v>
      </c>
      <c r="J57" s="2"/>
      <c r="K57" s="25">
        <v>52</v>
      </c>
      <c r="L57" s="26" t="s">
        <v>197</v>
      </c>
      <c r="M57" s="27" t="s">
        <v>163</v>
      </c>
      <c r="N57" s="69">
        <v>158</v>
      </c>
      <c r="O57" s="32">
        <v>-30</v>
      </c>
      <c r="P57" s="67">
        <v>-3.1485254916666667</v>
      </c>
      <c r="Q57" s="29">
        <v>0.81802779019076455</v>
      </c>
      <c r="R57" s="68">
        <v>0</v>
      </c>
      <c r="S57" s="30" t="s">
        <v>113</v>
      </c>
      <c r="T57" s="2"/>
      <c r="U57" s="31">
        <v>52</v>
      </c>
      <c r="V57" s="26" t="s">
        <v>202</v>
      </c>
      <c r="W57" s="27" t="s">
        <v>156</v>
      </c>
      <c r="X57" s="69">
        <v>146</v>
      </c>
      <c r="Y57" s="32">
        <v>21</v>
      </c>
      <c r="Z57" s="67">
        <v>-0.66876085363636373</v>
      </c>
      <c r="AA57" s="28">
        <v>0.83933334865859721</v>
      </c>
      <c r="AB57" s="68">
        <v>0</v>
      </c>
      <c r="AC57" s="30" t="s">
        <v>109</v>
      </c>
    </row>
    <row r="58" spans="1:29" ht="15.75" customHeight="1" x14ac:dyDescent="0.25">
      <c r="A58" s="25">
        <v>18</v>
      </c>
      <c r="B58" s="26" t="s">
        <v>203</v>
      </c>
      <c r="C58" s="27" t="s">
        <v>58</v>
      </c>
      <c r="D58" s="27" t="s">
        <v>236</v>
      </c>
      <c r="E58" s="66" t="s">
        <v>236</v>
      </c>
      <c r="F58" s="67">
        <v>-0.84999981000000047</v>
      </c>
      <c r="G58" s="28">
        <v>0.65678819922130482</v>
      </c>
      <c r="H58" s="68">
        <v>0</v>
      </c>
      <c r="I58" s="30" t="s">
        <v>83</v>
      </c>
      <c r="J58" s="2"/>
      <c r="K58" s="25">
        <v>53</v>
      </c>
      <c r="L58" s="26" t="s">
        <v>191</v>
      </c>
      <c r="M58" s="27" t="s">
        <v>163</v>
      </c>
      <c r="N58" s="69" t="s">
        <v>236</v>
      </c>
      <c r="O58" s="32" t="s">
        <v>236</v>
      </c>
      <c r="P58" s="67">
        <v>-3.1833306599999998</v>
      </c>
      <c r="Q58" s="29">
        <v>0.89262864600756686</v>
      </c>
      <c r="R58" s="68">
        <v>0</v>
      </c>
      <c r="S58" s="30" t="s">
        <v>113</v>
      </c>
      <c r="T58" s="2"/>
      <c r="U58" s="31">
        <v>53</v>
      </c>
      <c r="V58" s="26" t="s">
        <v>208</v>
      </c>
      <c r="W58" s="27" t="s">
        <v>83</v>
      </c>
      <c r="X58" s="69">
        <v>142</v>
      </c>
      <c r="Y58" s="32">
        <v>16</v>
      </c>
      <c r="Z58" s="67">
        <v>-0.68071210000000026</v>
      </c>
      <c r="AA58" s="28">
        <v>0.74406912622569732</v>
      </c>
      <c r="AB58" s="68">
        <v>0</v>
      </c>
      <c r="AC58" s="30" t="s">
        <v>105</v>
      </c>
    </row>
    <row r="59" spans="1:29" x14ac:dyDescent="0.25">
      <c r="A59" s="25">
        <v>19</v>
      </c>
      <c r="B59" s="26" t="s">
        <v>206</v>
      </c>
      <c r="C59" s="27" t="s">
        <v>113</v>
      </c>
      <c r="D59" s="27">
        <v>132</v>
      </c>
      <c r="E59" s="66">
        <v>2</v>
      </c>
      <c r="F59" s="67">
        <v>-0.87411959166666686</v>
      </c>
      <c r="G59" s="28">
        <v>0.84843128574584026</v>
      </c>
      <c r="H59" s="68">
        <v>0</v>
      </c>
      <c r="I59" s="30" t="s">
        <v>83</v>
      </c>
      <c r="J59" s="2"/>
      <c r="K59" s="25">
        <v>54</v>
      </c>
      <c r="L59" s="26" t="s">
        <v>213</v>
      </c>
      <c r="M59" s="27" t="s">
        <v>83</v>
      </c>
      <c r="N59" s="69">
        <v>157</v>
      </c>
      <c r="O59" s="32">
        <v>-33</v>
      </c>
      <c r="P59" s="67">
        <v>-3.1937494699999998</v>
      </c>
      <c r="Q59" s="29">
        <v>0.91468488426342909</v>
      </c>
      <c r="R59" s="68">
        <v>0</v>
      </c>
      <c r="S59" s="30" t="s">
        <v>113</v>
      </c>
      <c r="T59" s="2"/>
      <c r="U59" s="31">
        <v>54</v>
      </c>
      <c r="V59" s="26" t="s">
        <v>205</v>
      </c>
      <c r="W59" s="27" t="s">
        <v>113</v>
      </c>
      <c r="X59" s="69">
        <v>150</v>
      </c>
      <c r="Y59" s="32">
        <v>23</v>
      </c>
      <c r="Z59" s="67">
        <v>-0.81038371500000028</v>
      </c>
      <c r="AA59" s="28">
        <v>0.82053378045118031</v>
      </c>
      <c r="AB59" s="68">
        <v>0</v>
      </c>
      <c r="AC59" s="30" t="s">
        <v>105</v>
      </c>
    </row>
    <row r="60" spans="1:29" ht="15" customHeight="1" x14ac:dyDescent="0.25">
      <c r="A60" s="25">
        <v>20</v>
      </c>
      <c r="B60" s="26" t="s">
        <v>209</v>
      </c>
      <c r="C60" s="27" t="s">
        <v>130</v>
      </c>
      <c r="D60" s="27">
        <v>176</v>
      </c>
      <c r="E60" s="66">
        <v>41</v>
      </c>
      <c r="F60" s="67">
        <v>-1.1990102066666668</v>
      </c>
      <c r="G60" s="28">
        <v>0.62076665498272998</v>
      </c>
      <c r="H60" s="68">
        <v>0</v>
      </c>
      <c r="I60" s="30" t="s">
        <v>83</v>
      </c>
      <c r="J60" s="2"/>
      <c r="K60" s="25">
        <v>55</v>
      </c>
      <c r="L60" s="26" t="s">
        <v>225</v>
      </c>
      <c r="M60" s="27" t="s">
        <v>58</v>
      </c>
      <c r="N60" s="69">
        <v>128</v>
      </c>
      <c r="O60" s="32">
        <v>-65</v>
      </c>
      <c r="P60" s="67">
        <v>-3.2261358536363636</v>
      </c>
      <c r="Q60" s="29">
        <v>1.4821353318929609</v>
      </c>
      <c r="R60" s="68">
        <v>0</v>
      </c>
      <c r="S60" s="30" t="s">
        <v>113</v>
      </c>
      <c r="T60" s="2"/>
      <c r="U60" s="31">
        <v>55</v>
      </c>
      <c r="V60" s="26" t="s">
        <v>211</v>
      </c>
      <c r="W60" s="27" t="s">
        <v>130</v>
      </c>
      <c r="X60" s="69">
        <v>119</v>
      </c>
      <c r="Y60" s="32">
        <v>-10</v>
      </c>
      <c r="Z60" s="67">
        <v>-0.87022866666666676</v>
      </c>
      <c r="AA60" s="28">
        <v>1.1196209050912833</v>
      </c>
      <c r="AB60" s="68">
        <v>0</v>
      </c>
      <c r="AC60" s="30" t="s">
        <v>105</v>
      </c>
    </row>
    <row r="61" spans="1:29" ht="15.75" customHeight="1" x14ac:dyDescent="0.25">
      <c r="A61" s="25">
        <v>21</v>
      </c>
      <c r="B61" s="26" t="s">
        <v>212</v>
      </c>
      <c r="C61" s="27" t="s">
        <v>58</v>
      </c>
      <c r="D61" s="27" t="s">
        <v>236</v>
      </c>
      <c r="E61" s="66" t="s">
        <v>236</v>
      </c>
      <c r="F61" s="67">
        <v>-1.4739945716666669</v>
      </c>
      <c r="G61" s="28">
        <v>0.91400547994581305</v>
      </c>
      <c r="H61" s="68">
        <v>0</v>
      </c>
      <c r="I61" s="30" t="s">
        <v>199</v>
      </c>
      <c r="J61" s="2"/>
      <c r="K61" s="25">
        <v>56</v>
      </c>
      <c r="L61" s="26" t="s">
        <v>204</v>
      </c>
      <c r="M61" s="27" t="s">
        <v>105</v>
      </c>
      <c r="N61" s="69">
        <v>123</v>
      </c>
      <c r="O61" s="32">
        <v>-71</v>
      </c>
      <c r="P61" s="67">
        <v>-3.2305983883333331</v>
      </c>
      <c r="Q61" s="29">
        <v>1.3421838551538867</v>
      </c>
      <c r="R61" s="68">
        <v>0</v>
      </c>
      <c r="S61" s="30" t="s">
        <v>113</v>
      </c>
      <c r="T61" s="2"/>
      <c r="U61" s="31">
        <v>56</v>
      </c>
      <c r="V61" s="26" t="s">
        <v>214</v>
      </c>
      <c r="W61" s="27" t="s">
        <v>163</v>
      </c>
      <c r="X61" s="69">
        <v>141</v>
      </c>
      <c r="Y61" s="32">
        <v>10</v>
      </c>
      <c r="Z61" s="67">
        <v>-0.91373889333333325</v>
      </c>
      <c r="AA61" s="28">
        <v>0.61687477654581391</v>
      </c>
      <c r="AB61" s="68">
        <v>0</v>
      </c>
      <c r="AC61" s="30" t="s">
        <v>105</v>
      </c>
    </row>
    <row r="62" spans="1:29" ht="15.75" customHeight="1" x14ac:dyDescent="0.25">
      <c r="A62" s="25">
        <v>22</v>
      </c>
      <c r="B62" s="26" t="s">
        <v>215</v>
      </c>
      <c r="C62" s="27" t="s">
        <v>130</v>
      </c>
      <c r="D62" s="27" t="s">
        <v>236</v>
      </c>
      <c r="E62" s="66" t="s">
        <v>236</v>
      </c>
      <c r="F62" s="67">
        <v>-1.5975778950000001</v>
      </c>
      <c r="G62" s="28">
        <v>0.98633313651967147</v>
      </c>
      <c r="H62" s="68">
        <v>0</v>
      </c>
      <c r="I62" s="30" t="s">
        <v>83</v>
      </c>
      <c r="J62" s="2"/>
      <c r="K62" s="25">
        <v>57</v>
      </c>
      <c r="L62" s="26" t="s">
        <v>210</v>
      </c>
      <c r="M62" s="27" t="s">
        <v>130</v>
      </c>
      <c r="N62" s="69">
        <v>165</v>
      </c>
      <c r="O62" s="32">
        <v>-30</v>
      </c>
      <c r="P62" s="67">
        <v>-3.2362754816666666</v>
      </c>
      <c r="Q62" s="29">
        <v>0.89980557853391208</v>
      </c>
      <c r="R62" s="68">
        <v>0</v>
      </c>
      <c r="S62" s="30" t="s">
        <v>113</v>
      </c>
      <c r="T62" s="2"/>
      <c r="U62" s="31">
        <v>57</v>
      </c>
      <c r="V62" s="26" t="s">
        <v>217</v>
      </c>
      <c r="W62" s="27" t="s">
        <v>113</v>
      </c>
      <c r="X62" s="69">
        <v>187</v>
      </c>
      <c r="Y62" s="32">
        <v>51</v>
      </c>
      <c r="Z62" s="67">
        <v>-1.3314982183333335</v>
      </c>
      <c r="AA62" s="28">
        <v>1.2733946464396668</v>
      </c>
      <c r="AB62" s="68">
        <v>0</v>
      </c>
      <c r="AC62" s="30" t="s">
        <v>105</v>
      </c>
    </row>
    <row r="63" spans="1:29" ht="15" customHeight="1" x14ac:dyDescent="0.25">
      <c r="A63" s="25">
        <v>23</v>
      </c>
      <c r="B63" s="26" t="s">
        <v>218</v>
      </c>
      <c r="C63" s="27" t="s">
        <v>156</v>
      </c>
      <c r="D63" s="27" t="s">
        <v>236</v>
      </c>
      <c r="E63" s="66" t="s">
        <v>236</v>
      </c>
      <c r="F63" s="67">
        <v>-2.2032237083333337</v>
      </c>
      <c r="G63" s="28">
        <v>0.85414905465605862</v>
      </c>
      <c r="H63" s="68">
        <v>0</v>
      </c>
      <c r="I63" s="30" t="s">
        <v>181</v>
      </c>
      <c r="J63" s="2"/>
      <c r="K63" s="25">
        <v>58</v>
      </c>
      <c r="L63" s="26" t="s">
        <v>229</v>
      </c>
      <c r="M63" s="27" t="s">
        <v>105</v>
      </c>
      <c r="N63" s="69">
        <v>135</v>
      </c>
      <c r="O63" s="32">
        <v>-61</v>
      </c>
      <c r="P63" s="67">
        <v>-3.2857949345454545</v>
      </c>
      <c r="Q63" s="29">
        <v>1.332910029869711</v>
      </c>
      <c r="R63" s="68">
        <v>0</v>
      </c>
      <c r="S63" s="30" t="s">
        <v>113</v>
      </c>
      <c r="T63" s="2"/>
      <c r="U63" s="31">
        <v>58</v>
      </c>
      <c r="V63" s="26" t="s">
        <v>226</v>
      </c>
      <c r="W63" s="27" t="s">
        <v>73</v>
      </c>
      <c r="X63" s="69" t="s">
        <v>236</v>
      </c>
      <c r="Y63" s="32" t="s">
        <v>236</v>
      </c>
      <c r="Z63" s="67">
        <v>-1.3788045283333332</v>
      </c>
      <c r="AA63" s="28">
        <v>0.95101941697416714</v>
      </c>
      <c r="AB63" s="68">
        <v>0</v>
      </c>
      <c r="AC63" s="30" t="s">
        <v>113</v>
      </c>
    </row>
    <row r="64" spans="1:29" ht="15" customHeight="1" x14ac:dyDescent="0.25">
      <c r="A64" s="25">
        <v>24</v>
      </c>
      <c r="B64" s="26" t="s">
        <v>221</v>
      </c>
      <c r="C64" s="27" t="s">
        <v>130</v>
      </c>
      <c r="D64" s="27" t="s">
        <v>236</v>
      </c>
      <c r="E64" s="66" t="s">
        <v>236</v>
      </c>
      <c r="F64" s="67">
        <v>-2.2954841050000003</v>
      </c>
      <c r="G64" s="28">
        <v>1.1041329010390739</v>
      </c>
      <c r="H64" s="68">
        <v>0</v>
      </c>
      <c r="I64" s="30" t="s">
        <v>91</v>
      </c>
      <c r="J64" s="2"/>
      <c r="K64" s="25">
        <v>59</v>
      </c>
      <c r="L64" s="26" t="s">
        <v>228</v>
      </c>
      <c r="M64" s="27" t="s">
        <v>163</v>
      </c>
      <c r="N64" s="69">
        <v>148</v>
      </c>
      <c r="O64" s="32">
        <v>-50</v>
      </c>
      <c r="P64" s="67">
        <v>-3.3190984683333333</v>
      </c>
      <c r="Q64" s="29">
        <v>1.0547239033981277</v>
      </c>
      <c r="R64" s="68">
        <v>0</v>
      </c>
      <c r="S64" s="30" t="s">
        <v>113</v>
      </c>
      <c r="T64" s="2"/>
      <c r="U64" s="31">
        <v>59</v>
      </c>
      <c r="V64" s="26" t="s">
        <v>220</v>
      </c>
      <c r="W64" s="27" t="s">
        <v>163</v>
      </c>
      <c r="X64" s="69">
        <v>156</v>
      </c>
      <c r="Y64" s="32">
        <v>18</v>
      </c>
      <c r="Z64" s="67">
        <v>-1.3794660166666668</v>
      </c>
      <c r="AA64" s="28">
        <v>1.210980999650759</v>
      </c>
      <c r="AB64" s="68">
        <v>0</v>
      </c>
      <c r="AC64" s="30" t="s">
        <v>113</v>
      </c>
    </row>
    <row r="65" spans="1:29" ht="15.75" customHeight="1" thickBot="1" x14ac:dyDescent="0.3">
      <c r="A65" s="41">
        <v>25</v>
      </c>
      <c r="B65" s="33" t="s">
        <v>224</v>
      </c>
      <c r="C65" s="34" t="s">
        <v>113</v>
      </c>
      <c r="D65" s="34" t="s">
        <v>236</v>
      </c>
      <c r="E65" s="70" t="s">
        <v>236</v>
      </c>
      <c r="F65" s="42">
        <v>-2.3634320016666672</v>
      </c>
      <c r="G65" s="35">
        <v>1.3106012199955901</v>
      </c>
      <c r="H65" s="71">
        <v>0</v>
      </c>
      <c r="I65" s="37" t="s">
        <v>91</v>
      </c>
      <c r="J65" s="2"/>
      <c r="K65" s="41">
        <v>60</v>
      </c>
      <c r="L65" s="33" t="s">
        <v>201</v>
      </c>
      <c r="M65" s="34" t="s">
        <v>156</v>
      </c>
      <c r="N65" s="75">
        <v>162</v>
      </c>
      <c r="O65" s="44">
        <v>-38</v>
      </c>
      <c r="P65" s="42">
        <v>-3.3573535566666668</v>
      </c>
      <c r="Q65" s="36">
        <v>1.2112937413920735</v>
      </c>
      <c r="R65" s="71">
        <v>0</v>
      </c>
      <c r="S65" s="37" t="s">
        <v>113</v>
      </c>
      <c r="T65" s="2"/>
      <c r="U65" s="43">
        <v>60</v>
      </c>
      <c r="V65" s="33" t="s">
        <v>223</v>
      </c>
      <c r="W65" s="34" t="s">
        <v>113</v>
      </c>
      <c r="X65" s="75">
        <v>179</v>
      </c>
      <c r="Y65" s="44">
        <v>40</v>
      </c>
      <c r="Z65" s="42">
        <v>-1.4054067216666664</v>
      </c>
      <c r="AA65" s="35">
        <v>0.8918557798855683</v>
      </c>
      <c r="AB65" s="71">
        <v>0</v>
      </c>
      <c r="AC65" s="37" t="s">
        <v>113</v>
      </c>
    </row>
    <row r="66" spans="1:29" ht="15.75" customHeight="1" thickBot="1" x14ac:dyDescent="0.3">
      <c r="B66" s="2"/>
      <c r="C66" s="3"/>
      <c r="D66" s="3"/>
      <c r="E66" s="6"/>
      <c r="F66" s="3"/>
      <c r="G66" s="3"/>
      <c r="H66" s="4"/>
      <c r="I66" s="2"/>
      <c r="J66" s="2"/>
      <c r="K66" s="3"/>
      <c r="L66" s="2"/>
      <c r="M66" s="3"/>
      <c r="N66" s="5"/>
      <c r="O66" s="58"/>
      <c r="P66" s="3"/>
      <c r="Q66" s="3"/>
      <c r="R66" s="4"/>
      <c r="S66" s="2"/>
      <c r="T66" s="2"/>
      <c r="U66" s="3"/>
      <c r="V66" s="2"/>
      <c r="W66" s="3"/>
      <c r="X66" s="5"/>
      <c r="Y66" s="58"/>
      <c r="Z66" s="3"/>
      <c r="AA66" s="3"/>
      <c r="AB66" s="4"/>
      <c r="AC66" s="2"/>
    </row>
    <row r="67" spans="1:29" ht="26.25" x14ac:dyDescent="0.25">
      <c r="A67" s="45" t="s">
        <v>10</v>
      </c>
      <c r="B67" s="46" t="s">
        <v>10</v>
      </c>
      <c r="C67" s="47"/>
      <c r="D67" s="47"/>
      <c r="E67" s="47"/>
      <c r="F67" s="47"/>
      <c r="G67" s="47"/>
      <c r="H67" s="47"/>
      <c r="I67" s="48"/>
      <c r="J67" s="49"/>
      <c r="K67" s="45" t="s">
        <v>11</v>
      </c>
      <c r="L67" s="46" t="s">
        <v>11</v>
      </c>
      <c r="M67" s="47"/>
      <c r="N67" s="47"/>
      <c r="O67" s="47"/>
      <c r="P67" s="47"/>
      <c r="Q67" s="47"/>
      <c r="R67" s="47"/>
      <c r="S67" s="48"/>
      <c r="T67" s="49"/>
      <c r="U67" s="45" t="s">
        <v>12</v>
      </c>
      <c r="V67" s="46" t="s">
        <v>12</v>
      </c>
      <c r="W67" s="47"/>
      <c r="X67" s="47"/>
      <c r="Y67" s="47"/>
      <c r="Z67" s="47"/>
      <c r="AA67" s="47"/>
      <c r="AB67" s="47"/>
      <c r="AC67" s="48"/>
    </row>
    <row r="68" spans="1:29" ht="27" thickBot="1" x14ac:dyDescent="0.3">
      <c r="A68" s="50"/>
      <c r="B68" s="51"/>
      <c r="C68" s="52"/>
      <c r="D68" s="52"/>
      <c r="E68" s="52"/>
      <c r="F68" s="52"/>
      <c r="G68" s="52"/>
      <c r="H68" s="52"/>
      <c r="I68" s="53"/>
      <c r="J68" s="49"/>
      <c r="K68" s="50"/>
      <c r="L68" s="51"/>
      <c r="M68" s="52"/>
      <c r="N68" s="52"/>
      <c r="O68" s="52"/>
      <c r="P68" s="52"/>
      <c r="Q68" s="52"/>
      <c r="R68" s="52"/>
      <c r="S68" s="53"/>
      <c r="T68" s="49"/>
      <c r="U68" s="50"/>
      <c r="V68" s="51"/>
      <c r="W68" s="52"/>
      <c r="X68" s="52"/>
      <c r="Y68" s="52"/>
      <c r="Z68" s="52"/>
      <c r="AA68" s="52"/>
      <c r="AB68" s="52"/>
      <c r="AC68" s="53"/>
    </row>
    <row r="69" spans="1:29" ht="26.25" x14ac:dyDescent="0.25">
      <c r="A69" s="45" t="s">
        <v>13</v>
      </c>
      <c r="B69" s="46" t="s">
        <v>13</v>
      </c>
      <c r="C69" s="47"/>
      <c r="D69" s="47"/>
      <c r="E69" s="47"/>
      <c r="F69" s="47"/>
      <c r="G69" s="47"/>
      <c r="H69" s="47"/>
      <c r="I69" s="48"/>
      <c r="J69" s="49"/>
      <c r="K69" s="45" t="s">
        <v>14</v>
      </c>
      <c r="L69" s="46" t="s">
        <v>14</v>
      </c>
      <c r="M69" s="47"/>
      <c r="N69" s="47"/>
      <c r="O69" s="47"/>
      <c r="P69" s="47"/>
      <c r="Q69" s="47"/>
      <c r="R69" s="47"/>
      <c r="S69" s="48"/>
      <c r="T69" s="49"/>
      <c r="U69" s="45" t="s">
        <v>15</v>
      </c>
      <c r="V69" s="46" t="s">
        <v>15</v>
      </c>
      <c r="W69" s="47"/>
      <c r="X69" s="47"/>
      <c r="Y69" s="47"/>
      <c r="Z69" s="47"/>
      <c r="AA69" s="47"/>
      <c r="AB69" s="47"/>
      <c r="AC69" s="48"/>
    </row>
    <row r="70" spans="1:29" ht="27" thickBot="1" x14ac:dyDescent="0.3">
      <c r="A70" s="50"/>
      <c r="B70" s="51"/>
      <c r="C70" s="52"/>
      <c r="D70" s="52"/>
      <c r="E70" s="52"/>
      <c r="F70" s="52"/>
      <c r="G70" s="52"/>
      <c r="H70" s="52"/>
      <c r="I70" s="53"/>
      <c r="J70" s="49"/>
      <c r="K70" s="50"/>
      <c r="L70" s="51"/>
      <c r="M70" s="52"/>
      <c r="N70" s="52"/>
      <c r="O70" s="52"/>
      <c r="P70" s="52"/>
      <c r="Q70" s="52"/>
      <c r="R70" s="52"/>
      <c r="S70" s="53"/>
      <c r="T70" s="49"/>
      <c r="U70" s="50"/>
      <c r="V70" s="51"/>
      <c r="W70" s="52"/>
      <c r="X70" s="52"/>
      <c r="Y70" s="52"/>
      <c r="Z70" s="52"/>
      <c r="AA70" s="52"/>
      <c r="AB70" s="52"/>
      <c r="AC70" s="53"/>
    </row>
    <row r="71" spans="1:29" ht="26.25" x14ac:dyDescent="0.25">
      <c r="A71" s="45" t="s">
        <v>16</v>
      </c>
      <c r="B71" s="46" t="s">
        <v>16</v>
      </c>
      <c r="C71" s="47"/>
      <c r="D71" s="47"/>
      <c r="E71" s="47"/>
      <c r="F71" s="47"/>
      <c r="G71" s="47"/>
      <c r="H71" s="47"/>
      <c r="I71" s="48"/>
      <c r="J71" s="49"/>
      <c r="K71" s="45" t="s">
        <v>17</v>
      </c>
      <c r="L71" s="46" t="s">
        <v>17</v>
      </c>
      <c r="M71" s="47"/>
      <c r="N71" s="47"/>
      <c r="O71" s="47"/>
      <c r="P71" s="47"/>
      <c r="Q71" s="47"/>
      <c r="R71" s="47"/>
      <c r="S71" s="48"/>
      <c r="T71" s="49"/>
      <c r="U71" s="45" t="s">
        <v>18</v>
      </c>
      <c r="V71" s="46" t="s">
        <v>18</v>
      </c>
      <c r="W71" s="47"/>
      <c r="X71" s="47"/>
      <c r="Y71" s="47"/>
      <c r="Z71" s="47"/>
      <c r="AA71" s="47"/>
      <c r="AB71" s="47"/>
      <c r="AC71" s="48"/>
    </row>
    <row r="72" spans="1:29" ht="27" thickBot="1" x14ac:dyDescent="0.3">
      <c r="A72" s="50"/>
      <c r="B72" s="51"/>
      <c r="C72" s="52"/>
      <c r="D72" s="52"/>
      <c r="E72" s="52"/>
      <c r="F72" s="52"/>
      <c r="G72" s="52"/>
      <c r="H72" s="52"/>
      <c r="I72" s="53"/>
      <c r="J72" s="49"/>
      <c r="K72" s="50"/>
      <c r="L72" s="51"/>
      <c r="M72" s="52"/>
      <c r="N72" s="52"/>
      <c r="O72" s="52"/>
      <c r="P72" s="52"/>
      <c r="Q72" s="52"/>
      <c r="R72" s="52"/>
      <c r="S72" s="53"/>
      <c r="T72" s="49"/>
      <c r="U72" s="50"/>
      <c r="V72" s="51"/>
      <c r="W72" s="52"/>
      <c r="X72" s="52"/>
      <c r="Y72" s="52"/>
      <c r="Z72" s="52"/>
      <c r="AA72" s="52"/>
      <c r="AB72" s="52"/>
      <c r="AC72" s="53"/>
    </row>
    <row r="73" spans="1:29" ht="26.25" x14ac:dyDescent="0.25">
      <c r="A73" s="45" t="s">
        <v>19</v>
      </c>
      <c r="B73" s="46" t="s">
        <v>19</v>
      </c>
      <c r="C73" s="47"/>
      <c r="D73" s="47"/>
      <c r="E73" s="47"/>
      <c r="F73" s="47"/>
      <c r="G73" s="47"/>
      <c r="H73" s="47"/>
      <c r="I73" s="48"/>
      <c r="J73" s="49"/>
      <c r="K73" s="45" t="s">
        <v>20</v>
      </c>
      <c r="L73" s="46" t="s">
        <v>20</v>
      </c>
      <c r="M73" s="47"/>
      <c r="N73" s="47"/>
      <c r="O73" s="47"/>
      <c r="P73" s="47"/>
      <c r="Q73" s="47"/>
      <c r="R73" s="47"/>
      <c r="S73" s="48"/>
      <c r="T73" s="49"/>
      <c r="U73" s="45" t="s">
        <v>21</v>
      </c>
      <c r="V73" s="46" t="s">
        <v>21</v>
      </c>
      <c r="W73" s="47"/>
      <c r="X73" s="47"/>
      <c r="Y73" s="47"/>
      <c r="Z73" s="47"/>
      <c r="AA73" s="47"/>
      <c r="AB73" s="47"/>
      <c r="AC73" s="48"/>
    </row>
    <row r="74" spans="1:29" ht="27" thickBot="1" x14ac:dyDescent="0.3">
      <c r="A74" s="50"/>
      <c r="B74" s="51"/>
      <c r="C74" s="52"/>
      <c r="D74" s="52"/>
      <c r="E74" s="52"/>
      <c r="F74" s="52"/>
      <c r="G74" s="52"/>
      <c r="H74" s="52"/>
      <c r="I74" s="53"/>
      <c r="J74" s="49"/>
      <c r="K74" s="50"/>
      <c r="L74" s="51"/>
      <c r="M74" s="52"/>
      <c r="N74" s="52"/>
      <c r="O74" s="52"/>
      <c r="P74" s="52"/>
      <c r="Q74" s="52"/>
      <c r="R74" s="52"/>
      <c r="S74" s="53"/>
      <c r="T74" s="49"/>
      <c r="U74" s="50"/>
      <c r="V74" s="51"/>
      <c r="W74" s="52"/>
      <c r="X74" s="52"/>
      <c r="Y74" s="52"/>
      <c r="Z74" s="52"/>
      <c r="AA74" s="52"/>
      <c r="AB74" s="52"/>
      <c r="AC74" s="53"/>
    </row>
    <row r="75" spans="1:29" ht="26.25" x14ac:dyDescent="0.25">
      <c r="A75" s="45" t="s">
        <v>22</v>
      </c>
      <c r="B75" s="46" t="s">
        <v>22</v>
      </c>
      <c r="C75" s="47"/>
      <c r="D75" s="47"/>
      <c r="E75" s="47"/>
      <c r="F75" s="47"/>
      <c r="G75" s="47"/>
      <c r="H75" s="47"/>
      <c r="I75" s="48"/>
      <c r="J75" s="49"/>
      <c r="K75" s="45" t="s">
        <v>22</v>
      </c>
      <c r="L75" s="46" t="s">
        <v>23</v>
      </c>
      <c r="M75" s="47"/>
      <c r="N75" s="47"/>
      <c r="O75" s="47"/>
      <c r="P75" s="47"/>
      <c r="Q75" s="47"/>
      <c r="R75" s="47"/>
      <c r="S75" s="48"/>
      <c r="T75" s="49"/>
      <c r="U75" s="45" t="s">
        <v>22</v>
      </c>
      <c r="V75" s="46" t="s">
        <v>24</v>
      </c>
      <c r="W75" s="47"/>
      <c r="X75" s="47"/>
      <c r="Y75" s="47"/>
      <c r="Z75" s="47"/>
      <c r="AA75" s="47"/>
      <c r="AB75" s="47"/>
      <c r="AC75" s="48"/>
    </row>
    <row r="76" spans="1:29" ht="27" thickBot="1" x14ac:dyDescent="0.3">
      <c r="A76" s="50"/>
      <c r="B76" s="51"/>
      <c r="C76" s="52"/>
      <c r="D76" s="52"/>
      <c r="E76" s="52"/>
      <c r="F76" s="52"/>
      <c r="G76" s="52"/>
      <c r="H76" s="52"/>
      <c r="I76" s="53"/>
      <c r="J76" s="49"/>
      <c r="K76" s="50"/>
      <c r="L76" s="51"/>
      <c r="M76" s="52"/>
      <c r="N76" s="52"/>
      <c r="O76" s="52"/>
      <c r="P76" s="52"/>
      <c r="Q76" s="52"/>
      <c r="R76" s="52"/>
      <c r="S76" s="53"/>
      <c r="T76" s="49"/>
      <c r="U76" s="50"/>
      <c r="V76" s="51"/>
      <c r="W76" s="52"/>
      <c r="X76" s="52"/>
      <c r="Y76" s="52"/>
      <c r="Z76" s="52"/>
      <c r="AA76" s="52"/>
      <c r="AB76" s="52"/>
      <c r="AC76" s="53"/>
    </row>
    <row r="78" spans="1:29" x14ac:dyDescent="0.25">
      <c r="O78" s="56" t="s">
        <v>7</v>
      </c>
    </row>
  </sheetData>
  <mergeCells count="6">
    <mergeCell ref="B39:I39"/>
    <mergeCell ref="B1:AC1"/>
    <mergeCell ref="B2:AC2"/>
    <mergeCell ref="B4:I4"/>
    <mergeCell ref="L4:S4"/>
    <mergeCell ref="V4:AC4"/>
  </mergeCells>
  <printOptions horizontalCentered="1"/>
  <pageMargins left="0.2" right="0.2" top="0.17" bottom="0.2" header="0" footer="0"/>
  <pageSetup scale="61"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MASTER SHEET</vt:lpstr>
      <vt:lpstr>Adjustments</vt:lpstr>
      <vt:lpstr>Real Time Draft Tool</vt:lpstr>
      <vt:lpstr>R 12-0.5</vt:lpstr>
      <vt:lpstr>'R 12-0.5'!Print_Area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Chris</cp:lastModifiedBy>
  <dcterms:created xsi:type="dcterms:W3CDTF">2014-07-30T22:32:57Z</dcterms:created>
  <dcterms:modified xsi:type="dcterms:W3CDTF">2014-08-04T05:32:22Z</dcterms:modified>
</cp:coreProperties>
</file>