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ESPP" sheetId="2" r:id="rId5"/>
    <sheet state="visible" name="RSU" sheetId="3" r:id="rId6"/>
    <sheet state="visible" name="Reference" sheetId="4" r:id="rId7"/>
  </sheets>
  <definedNames>
    <definedName name="avgoFMV">Summary!$K$25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4">
      <text>
        <t xml:space="preserve">Missing necessary info is likely to occur when you have an ESPP from prior to 2012 or an RSU vest date that I did not.
In those cases you should be able to extra this info from the confirmation docs.</t>
      </text>
    </comment>
    <comment authorId="0" ref="A10">
      <text>
        <t xml:space="preserve">Sample note to illustrate the visual indication (black triangle in top right corner) of a cell note.
</t>
      </text>
    </comment>
    <comment authorId="0" ref="M24">
      <text>
        <t xml:space="preserve">Present if you want to experiment with different values for these inputs.</t>
      </text>
    </comment>
    <comment authorId="0" ref="J27">
      <text>
        <t xml:space="preserve">Uses the manual share quantities to determine the effective ratio used _per lot_, then uses that ratio to calculate the cash portion.
I've no idea of the legitimacy but added it because symmetrical/consistent treatment across an entire transaction seems a cornerstone of tax law from what I've been reading.
</t>
      </text>
    </comment>
    <comment authorId="0" ref="A29">
      <text>
        <t xml:space="preserve">VMW quantities for cash vs conversion should sum to the total holding.
This can also be checked against the sum of column D in the ESPP &amp; RSU sheets</t>
      </text>
    </comment>
    <comment authorId="0" ref="J29">
      <text>
        <t xml:space="preserve">https://github.com/hickeng/financial/issues/10
Tracks adding logic to allow exploring the extent of tax deferral possible if it's legitimate to identify specific lots for cash vs share treatment.
The totals must still add up to the expected ratios. Notes accumulating in the issue.
This is mostly so I can assess whether it's even worth asking a CPA to look into it.</t>
      </text>
    </comment>
    <comment authorId="0" ref="A30">
      <text>
        <t xml:space="preserve">cash for fraction should match the calculated value derived from the individual lot entries.
This can only be automatically validated when the value used for fractional share sale in Tweaks is the eTrade value.</t>
      </text>
    </comment>
    <comment authorId="0" ref="A31">
      <text>
        <t xml:space="preserve">should match the calculated value of cash portion calculated from individual lot values</t>
      </text>
    </comment>
    <comment authorId="0" ref="J38">
      <text>
        <t xml:space="preserve">https://github.com/hickeng/financial/issues/25
tracking adding per-lot display that's more suited to transfer to costbasis.com calculator.</t>
      </text>
    </comment>
    <comment authorId="0" ref="B42">
      <text>
        <t xml:space="preserve">This is what would have been deposited in your individual brokerage account or similar.
The Gains and the Fractional sale are the amounts you need to pay tax on.</t>
      </text>
    </comment>
    <comment authorId="0" ref="C42">
      <text>
        <t xml:space="preserve">This is the cash value received for the fractional share. The Gain associated with that sale in rolled into the appropriate Long or Short term gain bucket.</t>
      </text>
    </comment>
    <comment authorId="0" ref="E44">
      <text>
        <t xml:space="preserve">This estimate may drop if it turns out the symmetric treatment suggested in https://github.com/hickeng/financial/issues/15#issuecomment-1948444299 is the correct approach for calculating gain on sale of qualified ESPPs
</t>
      </text>
    </comment>
    <comment authorId="0" ref="G44">
      <text>
        <t xml:space="preserve">This is the pending tax on ESPP discount. It will reach minimum after 2024-03-01 when the final ESPP lot qualifies.</t>
      </text>
    </comment>
    <comment authorId="0" ref="D53">
      <text>
        <t xml:space="preserve">Worst case safe harbor for federal is 110% of previous years assessed taxes per filed 1040.
TODO: add calc to References for the 90% and 100% scenarios
</t>
      </text>
    </comment>
    <comment authorId="0" ref="C54">
      <text>
        <t xml:space="preserve">This is calculated progressively using the 2023 thresholds, and factoring in the 2023 W2 and other income/deductions from the inputs.</t>
      </text>
    </comment>
    <comment authorId="0" ref="C55">
      <text>
        <t xml:space="preserve">This is calculated using an estimated AGI for 2023 from the values in inputs and the income/stg element to decide the ltg rate that applies.
I do want to confirm that LTG isn't fully progressive. The threshold mechanism would leave patches where you'd net less for earning more as you just cleared thresholds.
Tracked in https://github.com/hickeng/financial/issues/3</t>
      </text>
    </comment>
    <comment authorId="0" ref="B56">
      <text>
        <t xml:space="preserve">Does NOT currently factor deductions as they're different values from federal.</t>
      </text>
    </comment>
  </commentList>
</comments>
</file>

<file path=xl/comments2.xml><?xml version="1.0" encoding="utf-8"?>
<comments xmlns:r="http://schemas.openxmlformats.org/officeDocument/2006/relationships" xmlns="http://schemas.openxmlformats.org/spreadsheetml/2006/main">
  <authors>
    <author/>
  </authors>
  <commentList>
    <comment authorId="0" ref="N3">
      <text>
        <t xml:space="preserve">If the fractional share should come out of a specific lot, or set of lots, check those lots here. If multiple are selected the sheet will spread the fraction equally over those lots, accounting for differences in cost-basis.
You REALLY don't want it to come out of an ESPP lot as that's a sale and will incur the ordinary income portion of tax shown in column AB.
For me, eTrade took the entire fraction from a single lot and I expect that's what happened for most people.</t>
      </text>
    </comment>
    <comment authorId="0" ref="D4">
      <text>
        <t xml:space="preserve">This is the value from "Shares Purchased" and NOT from "Total shares Purchased for Offering"</t>
      </text>
    </comment>
    <comment authorId="0" ref="M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t>
      </text>
    </comment>
    <comment authorId="0" ref="S4">
      <text>
        <t xml:space="preserve">The cost basis is the actual price paid per share times the number of shares, plus the ordinary income.</t>
      </text>
    </comment>
    <comment authorId="0" ref="Y4">
      <text>
        <t xml:space="preserve">This pulls in the ordinary income portion for the fractional share if associated with the lot.</t>
      </text>
    </comment>
    <comment authorId="0" ref="AA4">
      <text>
        <t xml:space="preserve">Cost basis on sale for disqualified ESPP includes the reported ordinary income.
See https://github.com/hickeng/financial/issues/15#issuecomment-1947700730</t>
      </text>
    </comment>
    <comment authorId="0" ref="I5">
      <text>
        <t xml:space="preserve">Put the Previous Carry Forward form your earliest ESPP confirmation for shares you still own into this cell and it'll propagate down.
It doesn't matter that it's on a different row as it's only when you start purchasing shares that it'll have an effect.
Alternatively you can 0 those rows for which you don't have a purchase and enter your earliest Carry Forward into the precise row.</t>
      </text>
    </comment>
  </commentList>
</comments>
</file>

<file path=xl/comments3.xml><?xml version="1.0" encoding="utf-8"?>
<comments xmlns:r="http://schemas.openxmlformats.org/officeDocument/2006/relationships" xmlns="http://schemas.openxmlformats.org/spreadsheetml/2006/main">
  <authors>
    <author/>
  </authors>
  <commentList>
    <comment authorId="0" ref="J3">
      <text>
        <t xml:space="preserve">If the fractional share should come out of a specific lot, or set of lots, check those lots here. If multiple are selected the sheet will spread the fraction equally over those lots, accounting for differences in cost-basis.
You REALLY don't want it to come out of an ESPP lot as that's a sale and will incur the ordinary income portion of tax shown in column AB.
For me, eTrade took the entire fraction from a single lot and I expect that's what happened for most people.</t>
      </text>
    </comment>
    <comment authorId="0" ref="I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t>
      </text>
    </comment>
    <comment authorId="0" ref="S4">
      <text>
        <t xml:space="preserve">Fraction attributed to the lot</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"Fair market value generally is the price at which property would change hands between a willing buyer and a willing seller, neither being under any compulsion to buy or sell and both having reasonable knowledge of the facts."
Immediately prior to acquisition, the elections of existing holders were known, the VMW price consideration was fixed in the MA, and Broadcom FMV was known.</t>
      </text>
    </comment>
    <comment authorId="0" ref="B4">
      <text>
        <t xml:space="preserve">Use 100% cash calc for ratio while there's an error calculating it.
This is just to avoid cascade DIV0 errors.</t>
      </text>
    </comment>
  </commentList>
</comments>
</file>

<file path=xl/sharedStrings.xml><?xml version="1.0" encoding="utf-8"?>
<sst xmlns="http://schemas.openxmlformats.org/spreadsheetml/2006/main" count="258" uniqueCount="198">
  <si>
    <t>Colour Coding</t>
  </si>
  <si>
    <t>Instructions</t>
  </si>
  <si>
    <t>Input</t>
  </si>
  <si>
    <t>0. Check the colour coding to the left - it should be useful particularly when adding info into the data grids on the other Sheets</t>
  </si>
  <si>
    <t>Input - optional</t>
  </si>
  <si>
    <r>
      <rPr>
        <rFont val="Arial"/>
      </rPr>
      <t>1. Collect eTrade confirmations for all shares held over the acquisition (</t>
    </r>
    <r>
      <rPr>
        <rFont val="Arial"/>
        <color rgb="FF1155CC"/>
        <u/>
      </rPr>
      <t>Stock Plan Account -&gt; My Account -&gt; Stock Plan Confirmations</t>
    </r>
    <r>
      <rPr>
        <rFont val="Arial"/>
      </rPr>
      <t>)</t>
    </r>
  </si>
  <si>
    <t>Input - necessary but prepopulated where available</t>
  </si>
  <si>
    <r>
      <rPr>
        <rFont val="Arial"/>
      </rPr>
      <t xml:space="preserve">2. Collect </t>
    </r>
    <r>
      <rPr>
        <rFont val="Arial"/>
        <color rgb="FF1155CC"/>
        <u/>
      </rPr>
      <t xml:space="preserve">eTrade transaction log entries </t>
    </r>
    <r>
      <rPr>
        <rFont val="Arial"/>
      </rPr>
      <t>relating to acquisition (propably between 2023-11-21 and 2023-12-09)</t>
    </r>
  </si>
  <si>
    <t>Input - reference only, not used for calc</t>
  </si>
  <si>
    <t>a. "VMW SHARES AZH26 TENDER PAYMENT PRORATED 52.09%" - prefix value goes into B26</t>
  </si>
  <si>
    <t>Output - relevent immediately</t>
  </si>
  <si>
    <t>b. "CONTRA VMWARE, INC EXCHANGE FOR CASH" - prefix value goes into B25</t>
  </si>
  <si>
    <t>Output - relevent on future sale</t>
  </si>
  <si>
    <t>c. "CONTRA VMWARE, INC EXCHANGE FOR CASH" - credited dollar value goes into B31</t>
  </si>
  <si>
    <t>Calculated - intermediate or informational</t>
  </si>
  <si>
    <t>d. "BROADCOM INC CASH IN LIEU OF FRACTIONS" - credited dollar value goes in B30</t>
  </si>
  <si>
    <t>Labels</t>
  </si>
  <si>
    <t>3. Collect number of AVGO in each lot - these should be entered into the "Share amounts from eTrade" columns in ESPP and RUS datagrids and are visible in OSPS if you still hold them in eTrade. If not, then you will have to either use the calculated values only or derived the info via other means.</t>
  </si>
  <si>
    <t>Example cell with additional note</t>
  </si>
  <si>
    <t>4. Add validation - total number of VMW shares held to acquisition goes into B29</t>
  </si>
  <si>
    <t>5. 2023 W2 values go into G26 to G30 as indicated at the cells</t>
  </si>
  <si>
    <r>
      <rPr/>
      <t xml:space="preserve">Github Release: </t>
    </r>
    <r>
      <rPr>
        <color rgb="FF1155CC"/>
        <u/>
      </rPr>
      <t>v0.1.0</t>
    </r>
  </si>
  <si>
    <t>6. 2022 total federal tax paid goes into G25 - used to calculate safe harbor amounts</t>
  </si>
  <si>
    <t>7. Enter values into the RSU and ESPP sheets - if you need to add a row, you can insert, select the entire row above or below without unhiding columns, fill into the new row, and replace the values with yours. Sanity check the SUM ranges in the totals row includes the full range.</t>
  </si>
  <si>
    <t>a. Enter values from ESPP purchase confirmation documents into the ESPP Sheet - the column heading exactly match the field names from the docs</t>
  </si>
  <si>
    <t>b. Enter values from RSU release confirmation documents into the RSU Sheet - the column headings exactly match the field names from the docs. I've left duplicate release date rows in the sheet where I had multiple vests, given it's easier to enter 0 for a row than insert a new one.</t>
  </si>
  <si>
    <t>c. It's expected you'll need to add rows for RSU grants where you had more than one vest on a given date - in that case it's easiest to insert a row below the entry for the corresponding date, copy the entire populated row down to get the release date and market value, then fill in the specific share quantity for the lot.</t>
  </si>
  <si>
    <t>8. For the fractional share - if you're providing the manual values for number of shares, add the fractional amount back into any lot it came from if deducted. This avoids needing a single row with different handling based on whether the manual value has a fraction removed or not.</t>
  </si>
  <si>
    <t>a. Check the Fraction box for any lot you want to the fraction to be attributed to. The fraction is evenly spread across the selected lots.</t>
  </si>
  <si>
    <t>9. Look for the little black triangles in the top right corner of cells, including headers. This indicates a note. Generally I've tried to add notes useful to explaining how the sheet and any given calculation works</t>
  </si>
  <si>
    <t>10. Look for the horizontal paired arrows between column labels in the RSU and ESPP sheets - these allow you to expand the hidden columns if you want to see the informational and intermediate calculations</t>
  </si>
  <si>
    <t>Inputs (eTrade transaction log)</t>
  </si>
  <si>
    <t>Inputs (W2 &amp; 1040)</t>
  </si>
  <si>
    <t>Inputs (Tweaks)</t>
  </si>
  <si>
    <t>Necessary</t>
  </si>
  <si>
    <t>Form</t>
  </si>
  <si>
    <t>Year</t>
  </si>
  <si>
    <t>Box</t>
  </si>
  <si>
    <t>Value</t>
  </si>
  <si>
    <t>Comment</t>
  </si>
  <si>
    <t>Active</t>
  </si>
  <si>
    <t>Custom</t>
  </si>
  <si>
    <t>Shares liquidated for cash (vmw)</t>
  </si>
  <si>
    <t>1040 (tax return)</t>
  </si>
  <si>
    <t>2022</t>
  </si>
  <si>
    <t>Federal tax (prior year)</t>
  </si>
  <si>
    <t>AVGO FMV</t>
  </si>
  <si>
    <t>Mean</t>
  </si>
  <si>
    <t>Shares for conversion (vmw)</t>
  </si>
  <si>
    <t>W2</t>
  </si>
  <si>
    <t>2023</t>
  </si>
  <si>
    <t>Federal income</t>
  </si>
  <si>
    <t>AVGO share quantities</t>
  </si>
  <si>
    <t>Calculated</t>
  </si>
  <si>
    <t>Federal tax paid</t>
  </si>
  <si>
    <t>Cash consideration</t>
  </si>
  <si>
    <t>Derived from calculated values</t>
  </si>
  <si>
    <t>Validations</t>
  </si>
  <si>
    <t>State income</t>
  </si>
  <si>
    <t>Factional share value</t>
  </si>
  <si>
    <t>eTrade</t>
  </si>
  <si>
    <t>VMW held at close</t>
  </si>
  <si>
    <t>State tax paid</t>
  </si>
  <si>
    <t>Election treatment</t>
  </si>
  <si>
    <t>pro-rata</t>
  </si>
  <si>
    <t>Cash for fraction</t>
  </si>
  <si>
    <t>Cash portion without fraction</t>
  </si>
  <si>
    <t>Other Captial Gain (Short)</t>
  </si>
  <si>
    <t>Other Captial Gain (Long)</t>
  </si>
  <si>
    <t>Other income</t>
  </si>
  <si>
    <t>Status</t>
  </si>
  <si>
    <t>Single</t>
  </si>
  <si>
    <t>Outputs</t>
  </si>
  <si>
    <t>Deduction</t>
  </si>
  <si>
    <t>By status</t>
  </si>
  <si>
    <t>Doesn't apply to State</t>
  </si>
  <si>
    <t>Merger</t>
  </si>
  <si>
    <t>Display of lot values</t>
  </si>
  <si>
    <t>per-share</t>
  </si>
  <si>
    <t>Fractional Share</t>
  </si>
  <si>
    <t>Gain (Short)</t>
  </si>
  <si>
    <t>Gain (Long)</t>
  </si>
  <si>
    <t>Shares (FMV)</t>
  </si>
  <si>
    <t>Taxable income</t>
  </si>
  <si>
    <t>Shares</t>
  </si>
  <si>
    <t>Dollars</t>
  </si>
  <si>
    <t xml:space="preserve"> </t>
  </si>
  <si>
    <t>Pending</t>
  </si>
  <si>
    <t>Tax Impact</t>
  </si>
  <si>
    <t>WARNING</t>
  </si>
  <si>
    <t>There WILL be errors in the tax estimation. It doesn't even attempt AMT. I'm uncertain about how LTG progressiveness works</t>
  </si>
  <si>
    <t>The numbers you want for tax planning are the Gains in the section above</t>
  </si>
  <si>
    <t>Liability</t>
  </si>
  <si>
    <t>Safe Harbor</t>
  </si>
  <si>
    <t>Estimated Taxes</t>
  </si>
  <si>
    <t>Actual</t>
  </si>
  <si>
    <t>of which</t>
  </si>
  <si>
    <t>Threshold</t>
  </si>
  <si>
    <t>Outstanding</t>
  </si>
  <si>
    <t>Paid</t>
  </si>
  <si>
    <t>Owed</t>
  </si>
  <si>
    <t>Federal  - total</t>
  </si>
  <si>
    <t>Federal - income &amp; short term gain</t>
  </si>
  <si>
    <t>Federal - long term gain</t>
  </si>
  <si>
    <t>California</t>
  </si>
  <si>
    <t>Totals</t>
  </si>
  <si>
    <t>Output</t>
  </si>
  <si>
    <t>From ESPP purchase confirmation docs</t>
  </si>
  <si>
    <t>From eTrade</t>
  </si>
  <si>
    <t>Now</t>
  </si>
  <si>
    <t>Future</t>
  </si>
  <si>
    <t xml:space="preserve">Input </t>
  </si>
  <si>
    <t>Derived - informational only</t>
  </si>
  <si>
    <t>Derived - should match vlaues from ESPP purchase confirmation</t>
  </si>
  <si>
    <t>Input - alternate for cross check</t>
  </si>
  <si>
    <t>Use for fraction</t>
  </si>
  <si>
    <t>Cash received</t>
  </si>
  <si>
    <t>Basis adjustment for Dell dividends</t>
  </si>
  <si>
    <t>Cost basis entering merger</t>
  </si>
  <si>
    <t>Shares received</t>
  </si>
  <si>
    <t>Alternate gain calculation</t>
  </si>
  <si>
    <t>Gain</t>
  </si>
  <si>
    <t>Treatment</t>
  </si>
  <si>
    <t>Reference for future sale</t>
  </si>
  <si>
    <t>Purchase Begin Date</t>
  </si>
  <si>
    <t>Grant Date</t>
  </si>
  <si>
    <t>Purchase Date</t>
  </si>
  <si>
    <t>Shares Purchased</t>
  </si>
  <si>
    <t>Grant Date Market Value</t>
  </si>
  <si>
    <t>Purchase Value per Share</t>
  </si>
  <si>
    <t>Current Contributions</t>
  </si>
  <si>
    <t>Total Price</t>
  </si>
  <si>
    <t>Previous Carry Forward</t>
  </si>
  <si>
    <t>Total Contributions</t>
  </si>
  <si>
    <t>Carry Forward</t>
  </si>
  <si>
    <t>Purchase Price per Share</t>
  </si>
  <si>
    <t>Share amounts from eTrade</t>
  </si>
  <si>
    <t>Pro-rata cash</t>
  </si>
  <si>
    <t>Pro-rata cash (manual shares)</t>
  </si>
  <si>
    <t>1st special divident basis adjustment</t>
  </si>
  <si>
    <t>2nd dividend basis adjustment</t>
  </si>
  <si>
    <t>VMW cost-basis per share</t>
  </si>
  <si>
    <t>AVGO converted shares</t>
  </si>
  <si>
    <t>Gain (cash+FMV AVGO-basis)</t>
  </si>
  <si>
    <t>Fractional share</t>
  </si>
  <si>
    <t>Fraction</t>
  </si>
  <si>
    <t>Income &amp; short term gain</t>
  </si>
  <si>
    <t>Long term gain</t>
  </si>
  <si>
    <t>New cost basis per share</t>
  </si>
  <si>
    <t>Potential Captial Gain (AVGO)</t>
  </si>
  <si>
    <t>Qualified</t>
  </si>
  <si>
    <t>Pending Ordinary Income</t>
  </si>
  <si>
    <t>Long term Captial Gain</t>
  </si>
  <si>
    <t>From RSU release confirmation docs</t>
  </si>
  <si>
    <t>Input for calculating tax withheld</t>
  </si>
  <si>
    <t>Award Number</t>
  </si>
  <si>
    <t>Award Date</t>
  </si>
  <si>
    <t>Release Date</t>
  </si>
  <si>
    <t>Shares Issued</t>
  </si>
  <si>
    <t>Market Value Per Share</t>
  </si>
  <si>
    <t>Shares Traded</t>
  </si>
  <si>
    <t>Tax basis on receipt</t>
  </si>
  <si>
    <t>Tax paid on receipt</t>
  </si>
  <si>
    <t>Pro-rata cash (manual)</t>
  </si>
  <si>
    <t>VMW cost-basis per lot</t>
  </si>
  <si>
    <t>Short Term Capital Gain</t>
  </si>
  <si>
    <t>Long Term Capital Gain</t>
  </si>
  <si>
    <t>This Sheet is a collection of reference values used by the others. I do not expect anyone to need to make changes to these values.</t>
  </si>
  <si>
    <t>VMW final sale price</t>
  </si>
  <si>
    <t>VMW FMV</t>
  </si>
  <si>
    <t>Cash ratio (calculated)</t>
  </si>
  <si>
    <t>Avgo ratio (calculated)</t>
  </si>
  <si>
    <t>AVGO conversion ratio</t>
  </si>
  <si>
    <t>Long term Captial Gains</t>
  </si>
  <si>
    <t>AVGO live value</t>
  </si>
  <si>
    <t>AVGO FMV (close of merger)</t>
  </si>
  <si>
    <t>Close</t>
  </si>
  <si>
    <t>High</t>
  </si>
  <si>
    <t>Low</t>
  </si>
  <si>
    <t>Factional Share value</t>
  </si>
  <si>
    <t>Form 8937</t>
  </si>
  <si>
    <t>Cost-basis events</t>
  </si>
  <si>
    <t>Basis adjustment</t>
  </si>
  <si>
    <t>Dell special dividend</t>
  </si>
  <si>
    <t>Broadcom Merger</t>
  </si>
  <si>
    <t>Future sale of ESPP</t>
  </si>
  <si>
    <t>Short term captial gains &amp; income</t>
  </si>
  <si>
    <t>Long term captial gains</t>
  </si>
  <si>
    <t>Joint</t>
  </si>
  <si>
    <t>Head of household</t>
  </si>
  <si>
    <t>Standard deduction</t>
  </si>
  <si>
    <t>Long Term Capital Gains Thresholds</t>
  </si>
  <si>
    <t>Long Term Gains Active Rate</t>
  </si>
  <si>
    <t>Federal thresholds</t>
  </si>
  <si>
    <t>California thresholds</t>
  </si>
  <si>
    <t>Federal Income Tax</t>
  </si>
  <si>
    <t>Federal Long Term Gains Tax</t>
  </si>
  <si>
    <t>State Income Tax</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</si>
</sst>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0.00;(#,##0.00)"/>
    <numFmt numFmtId="165" formatCode="#,##0.0000"/>
    <numFmt numFmtId="166" formatCode="yyyy&quot;-&quot;mm&quot;-&quot;dd"/>
    <numFmt numFmtId="167" formatCode="#,##0.00000000000000"/>
    <numFmt numFmtId="168" formatCode="#,##0.000000"/>
    <numFmt numFmtId="169" formatCode="&quot;$&quot;#,##0.00"/>
    <numFmt numFmtId="170" formatCode="#,##0.000"/>
    <numFmt numFmtId="171" formatCode="0.0000"/>
    <numFmt numFmtId="172" formatCode="0.000"/>
    <numFmt numFmtId="173" formatCode="0.000000"/>
    <numFmt numFmtId="174" formatCode="yyyy-mm-dd"/>
  </numFmts>
  <fonts count="22">
    <font>
      <sz val="10.0"/>
      <color rgb="FF000000"/>
      <name val="Arial"/>
      <scheme val="minor"/>
    </font>
    <font>
      <b/>
      <color theme="1"/>
      <name val="Arial"/>
      <scheme val="minor"/>
    </font>
    <font>
      <color theme="1"/>
      <name val="Arial"/>
      <scheme val="minor"/>
    </font>
    <font>
      <color theme="1"/>
      <name val="Arial"/>
    </font>
    <font>
      <u/>
      <color rgb="FF0000FF"/>
      <name val="Arial"/>
    </font>
    <font>
      <u/>
      <color rgb="FF0000FF"/>
      <name val="Arial"/>
    </font>
    <font>
      <u/>
      <color rgb="FF0000FF"/>
    </font>
    <font>
      <sz val="11.0"/>
      <color theme="1"/>
      <name val="Arial"/>
    </font>
    <font>
      <i/>
      <color theme="1"/>
      <name val="Arial"/>
      <scheme val="minor"/>
    </font>
    <font>
      <b/>
      <color rgb="FFFF0000"/>
      <name val="Arial"/>
      <scheme val="minor"/>
    </font>
    <font>
      <b/>
      <sz val="9.0"/>
      <color theme="1"/>
      <name val="Arial"/>
      <scheme val="minor"/>
    </font>
    <font/>
    <font>
      <sz val="10.0"/>
      <color theme="1"/>
      <name val="Arial"/>
      <scheme val="minor"/>
    </font>
    <font>
      <sz val="11.0"/>
      <color rgb="FF1F1F1F"/>
      <name val="&quot;Google Sans&quot;"/>
    </font>
    <font>
      <sz val="10.0"/>
      <color rgb="FF1F1F1F"/>
      <name val="Arial"/>
      <scheme val="minor"/>
    </font>
    <font>
      <sz val="9.0"/>
      <color theme="1"/>
      <name val="&quot;Google Sans Mono&quot;"/>
    </font>
    <font>
      <b/>
      <color rgb="FF000000"/>
      <name val="Arial"/>
    </font>
    <font>
      <color rgb="FFD0E0E3"/>
      <name val="Arial"/>
    </font>
    <font>
      <b/>
      <sz val="10.0"/>
      <color theme="1"/>
      <name val="Arial"/>
      <scheme val="minor"/>
    </font>
    <font>
      <b/>
      <sz val="11.0"/>
      <color theme="1"/>
      <name val="Arial"/>
    </font>
    <font>
      <sz val="10.0"/>
      <color rgb="FF1B1B1B"/>
      <name val="Arial"/>
      <scheme val="minor"/>
    </font>
    <font>
      <b/>
      <sz val="10.0"/>
      <color rgb="FF000000"/>
      <name val="Arial"/>
      <scheme val="minor"/>
    </font>
  </fonts>
  <fills count="13">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DED5BA"/>
        <bgColor rgb="FFDED5BA"/>
      </patternFill>
    </fill>
    <fill>
      <patternFill patternType="solid">
        <fgColor rgb="FFEAD1DC"/>
        <bgColor rgb="FFEAD1DC"/>
      </patternFill>
    </fill>
    <fill>
      <patternFill patternType="solid">
        <fgColor rgb="FFEFEFEF"/>
        <bgColor rgb="FFEFEFEF"/>
      </patternFill>
    </fill>
    <fill>
      <patternFill patternType="solid">
        <fgColor rgb="FFD0E0E3"/>
        <bgColor rgb="FFD0E0E3"/>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A2C4C9"/>
        <bgColor rgb="FFA2C4C9"/>
      </patternFill>
    </fill>
    <fill>
      <patternFill patternType="solid">
        <fgColor rgb="FFD5A6BD"/>
        <bgColor rgb="FFD5A6BD"/>
      </patternFill>
    </fill>
  </fills>
  <borders count="16">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325">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xf>
    <xf borderId="0" fillId="0" fontId="2" numFmtId="49" xfId="0" applyFont="1" applyNumberFormat="1"/>
    <xf borderId="0" fillId="0" fontId="1" numFmtId="49" xfId="0" applyAlignment="1" applyFont="1" applyNumberFormat="1">
      <alignment readingOrder="0"/>
    </xf>
    <xf borderId="0" fillId="0" fontId="1" numFmtId="49" xfId="0" applyAlignment="1" applyFont="1" applyNumberFormat="1">
      <alignment readingOrder="0"/>
    </xf>
    <xf borderId="2" fillId="3" fontId="2" numFmtId="49" xfId="0" applyAlignment="1" applyBorder="1" applyFill="1" applyFont="1" applyNumberFormat="1">
      <alignment readingOrder="0"/>
    </xf>
    <xf borderId="0" fillId="0" fontId="3" numFmtId="49" xfId="0" applyAlignment="1" applyFont="1" applyNumberFormat="1">
      <alignment shrinkToFit="0" vertical="bottom" wrapText="0"/>
    </xf>
    <xf borderId="0" fillId="0" fontId="3" numFmtId="49" xfId="0" applyAlignment="1" applyFont="1" applyNumberFormat="1">
      <alignment vertical="bottom"/>
    </xf>
    <xf borderId="2" fillId="4" fontId="2" numFmtId="49" xfId="0" applyAlignment="1" applyBorder="1" applyFill="1" applyFont="1" applyNumberFormat="1">
      <alignment readingOrder="0"/>
    </xf>
    <xf borderId="0" fillId="0" fontId="4" numFmtId="49" xfId="0" applyAlignment="1" applyFont="1" applyNumberFormat="1">
      <alignment shrinkToFit="0" vertical="bottom" wrapText="0"/>
    </xf>
    <xf borderId="2" fillId="5" fontId="2" numFmtId="49" xfId="0" applyAlignment="1" applyBorder="1" applyFill="1" applyFont="1" applyNumberFormat="1">
      <alignment readingOrder="0"/>
    </xf>
    <xf borderId="0" fillId="0" fontId="5" numFmtId="49" xfId="0" applyAlignment="1" applyFont="1" applyNumberFormat="1">
      <alignment shrinkToFit="0" vertical="bottom" wrapText="0"/>
    </xf>
    <xf borderId="2" fillId="6" fontId="2" numFmtId="49" xfId="0" applyAlignment="1" applyBorder="1" applyFill="1" applyFont="1" applyNumberFormat="1">
      <alignment readingOrder="0"/>
    </xf>
    <xf borderId="2" fillId="7" fontId="2" numFmtId="49" xfId="0" applyAlignment="1" applyBorder="1" applyFill="1" applyFont="1" applyNumberFormat="1">
      <alignment readingOrder="0"/>
    </xf>
    <xf borderId="2" fillId="8" fontId="2" numFmtId="49" xfId="0" applyAlignment="1" applyBorder="1" applyFill="1" applyFont="1" applyNumberFormat="1">
      <alignment readingOrder="0"/>
    </xf>
    <xf borderId="2" fillId="2" fontId="2" numFmtId="49" xfId="0" applyAlignment="1" applyBorder="1" applyFont="1" applyNumberFormat="1">
      <alignment readingOrder="0"/>
    </xf>
    <xf borderId="2"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3"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0" fillId="0" fontId="6" numFmtId="49" xfId="0" applyAlignment="1" applyFont="1" applyNumberFormat="1">
      <alignment readingOrder="0"/>
    </xf>
    <xf borderId="4" fillId="0" fontId="1" numFmtId="49" xfId="0" applyAlignment="1" applyBorder="1" applyFont="1" applyNumberFormat="1">
      <alignment readingOrder="0"/>
    </xf>
    <xf borderId="5" fillId="0" fontId="2" numFmtId="49" xfId="0" applyBorder="1" applyFont="1" applyNumberFormat="1"/>
    <xf borderId="6" fillId="0" fontId="2" numFmtId="49" xfId="0" applyBorder="1" applyFont="1" applyNumberFormat="1"/>
    <xf borderId="6" fillId="0" fontId="1" numFmtId="49" xfId="0" applyAlignment="1" applyBorder="1" applyFont="1" applyNumberFormat="1">
      <alignment horizontal="right" readingOrder="0"/>
    </xf>
    <xf borderId="5" fillId="0" fontId="1" numFmtId="49" xfId="0" applyAlignment="1" applyBorder="1" applyFont="1" applyNumberFormat="1">
      <alignment horizontal="right" readingOrder="0"/>
    </xf>
    <xf borderId="7" fillId="0" fontId="2" numFmtId="49" xfId="0" applyAlignment="1" applyBorder="1" applyFont="1" applyNumberFormat="1">
      <alignment readingOrder="0"/>
    </xf>
    <xf borderId="8" fillId="0" fontId="7" numFmtId="49" xfId="0" applyAlignment="1" applyBorder="1" applyFont="1" applyNumberFormat="1">
      <alignment horizontal="right" readingOrder="0"/>
    </xf>
    <xf borderId="7" fillId="0" fontId="2" numFmtId="49" xfId="0" applyBorder="1" applyFont="1" applyNumberFormat="1"/>
    <xf borderId="8" fillId="0" fontId="2" numFmtId="49" xfId="0" applyBorder="1" applyFont="1" applyNumberFormat="1"/>
    <xf borderId="4" fillId="0" fontId="8" numFmtId="49" xfId="0" applyAlignment="1" applyBorder="1" applyFont="1" applyNumberFormat="1">
      <alignment readingOrder="0"/>
    </xf>
    <xf borderId="5" fillId="0" fontId="7" numFmtId="49" xfId="0" applyAlignment="1" applyBorder="1" applyFont="1" applyNumberFormat="1">
      <alignment horizontal="right" readingOrder="0"/>
    </xf>
    <xf borderId="9" fillId="0" fontId="8" numFmtId="49" xfId="0" applyAlignment="1" applyBorder="1" applyFont="1" applyNumberFormat="1">
      <alignment readingOrder="0"/>
    </xf>
    <xf borderId="10" fillId="0" fontId="8" numFmtId="49" xfId="0" applyAlignment="1" applyBorder="1" applyFont="1" applyNumberFormat="1">
      <alignment readingOrder="0"/>
    </xf>
    <xf borderId="11" fillId="4" fontId="8" numFmtId="49" xfId="0" applyAlignment="1" applyBorder="1" applyFont="1" applyNumberFormat="1">
      <alignment readingOrder="0"/>
    </xf>
    <xf borderId="12" fillId="0" fontId="8" numFmtId="49" xfId="0" applyAlignment="1" applyBorder="1" applyFont="1" applyNumberFormat="1">
      <alignment readingOrder="0"/>
    </xf>
    <xf borderId="0" fillId="0" fontId="1" numFmtId="49" xfId="0" applyAlignment="1" applyFont="1" applyNumberFormat="1">
      <alignment horizontal="right" readingOrder="0"/>
    </xf>
    <xf borderId="8" fillId="3" fontId="7" numFmtId="3" xfId="0" applyAlignment="1" applyBorder="1" applyFont="1" applyNumberFormat="1">
      <alignment horizontal="right" vertical="bottom"/>
    </xf>
    <xf borderId="9" fillId="0" fontId="2" numFmtId="49" xfId="0" applyAlignment="1" applyBorder="1" applyFont="1" applyNumberFormat="1">
      <alignment readingOrder="0"/>
    </xf>
    <xf borderId="10" fillId="0" fontId="2" numFmtId="49" xfId="0" applyAlignment="1" applyBorder="1" applyFont="1" applyNumberFormat="1">
      <alignment horizontal="left" readingOrder="0"/>
    </xf>
    <xf borderId="10" fillId="0" fontId="2" numFmtId="1" xfId="0" applyAlignment="1" applyBorder="1" applyFont="1" applyNumberFormat="1">
      <alignment horizontal="left" readingOrder="0"/>
    </xf>
    <xf borderId="11" fillId="4" fontId="3" numFmtId="164" xfId="0" applyAlignment="1" applyBorder="1" applyFont="1" applyNumberFormat="1">
      <alignment horizontal="right" vertical="bottom"/>
    </xf>
    <xf borderId="12" fillId="0" fontId="2" numFmtId="49" xfId="0" applyAlignment="1" applyBorder="1" applyFont="1" applyNumberFormat="1">
      <alignment readingOrder="0"/>
    </xf>
    <xf borderId="0" fillId="5" fontId="2" numFmtId="49" xfId="0" applyAlignment="1" applyFont="1" applyNumberFormat="1">
      <alignment readingOrder="0"/>
    </xf>
    <xf borderId="0" fillId="2" fontId="2" numFmtId="164" xfId="0" applyFont="1" applyNumberFormat="1"/>
    <xf borderId="0" fillId="4" fontId="2" numFmtId="164" xfId="0" applyAlignment="1" applyFont="1" applyNumberFormat="1">
      <alignment readingOrder="0"/>
    </xf>
    <xf borderId="13" fillId="0" fontId="2" numFmtId="49" xfId="0" applyAlignment="1" applyBorder="1" applyFont="1" applyNumberFormat="1">
      <alignment readingOrder="0"/>
    </xf>
    <xf borderId="14" fillId="3" fontId="7" numFmtId="3" xfId="0" applyAlignment="1" applyBorder="1" applyFont="1" applyNumberFormat="1">
      <alignment horizontal="right" vertical="bottom"/>
    </xf>
    <xf borderId="7" fillId="0" fontId="2" numFmtId="49" xfId="0" applyAlignment="1" applyBorder="1" applyFont="1" applyNumberFormat="1">
      <alignment horizontal="left" readingOrder="0"/>
    </xf>
    <xf borderId="0" fillId="0" fontId="2" numFmtId="49" xfId="0" applyAlignment="1" applyFont="1" applyNumberFormat="1">
      <alignment horizontal="left" readingOrder="0"/>
    </xf>
    <xf borderId="0" fillId="0" fontId="2" numFmtId="1" xfId="0" applyAlignment="1" applyFont="1" applyNumberFormat="1">
      <alignment horizontal="left" readingOrder="0"/>
    </xf>
    <xf borderId="2" fillId="4" fontId="3" numFmtId="164" xfId="0" applyAlignment="1" applyBorder="1" applyFont="1" applyNumberFormat="1">
      <alignment horizontal="right" vertical="bottom"/>
    </xf>
    <xf borderId="8" fillId="0" fontId="2" numFmtId="49" xfId="0" applyAlignment="1" applyBorder="1" applyFont="1" applyNumberFormat="1">
      <alignment readingOrder="0"/>
    </xf>
    <xf borderId="0" fillId="0" fontId="2" numFmtId="49" xfId="0" applyAlignment="1" applyFont="1" applyNumberFormat="1">
      <alignment readingOrder="0"/>
    </xf>
    <xf borderId="7" fillId="0" fontId="8" numFmtId="49" xfId="0" applyAlignment="1" applyBorder="1" applyFont="1" applyNumberFormat="1">
      <alignment readingOrder="0"/>
    </xf>
    <xf borderId="8" fillId="4" fontId="3" numFmtId="3" xfId="0" applyAlignment="1" applyBorder="1" applyFont="1" applyNumberFormat="1">
      <alignment horizontal="right" vertical="bottom"/>
    </xf>
    <xf borderId="8" fillId="4" fontId="3" numFmtId="164" xfId="0" applyAlignment="1" applyBorder="1" applyFont="1" applyNumberFormat="1">
      <alignment horizontal="right" vertical="bottom"/>
    </xf>
    <xf borderId="0" fillId="9" fontId="3" numFmtId="164" xfId="0" applyAlignment="1" applyFill="1" applyFont="1" applyNumberFormat="1">
      <alignment horizontal="right" vertical="bottom"/>
    </xf>
    <xf borderId="14" fillId="4" fontId="3" numFmtId="164" xfId="0" applyAlignment="1" applyBorder="1" applyFont="1" applyNumberFormat="1">
      <alignment horizontal="right" vertical="bottom"/>
    </xf>
    <xf borderId="13" fillId="0" fontId="2" numFmtId="0" xfId="0" applyBorder="1" applyFont="1"/>
    <xf borderId="15" fillId="0" fontId="2" numFmtId="0" xfId="0" applyBorder="1" applyFont="1"/>
    <xf borderId="14" fillId="0" fontId="2" numFmtId="0" xfId="0" applyBorder="1" applyFont="1"/>
    <xf borderId="0" fillId="0" fontId="2" numFmtId="49" xfId="0" applyAlignment="1" applyFont="1" applyNumberFormat="1">
      <alignment horizontal="right" readingOrder="0"/>
    </xf>
    <xf borderId="0" fillId="4" fontId="2" numFmtId="49" xfId="0" applyAlignment="1" applyFont="1" applyNumberFormat="1">
      <alignment readingOrder="0"/>
    </xf>
    <xf borderId="6" fillId="0" fontId="1" numFmtId="49" xfId="0" applyAlignment="1" applyBorder="1" applyFont="1" applyNumberFormat="1">
      <alignment horizontal="center" readingOrder="0"/>
    </xf>
    <xf borderId="0" fillId="2" fontId="2" numFmtId="0" xfId="0" applyFont="1"/>
    <xf borderId="0" fillId="4" fontId="2" numFmtId="0" xfId="0" applyAlignment="1" applyFont="1">
      <alignment readingOrder="0"/>
    </xf>
    <xf borderId="0" fillId="0" fontId="1" numFmtId="49" xfId="0" applyAlignment="1" applyFont="1" applyNumberFormat="1">
      <alignment horizontal="center" readingOrder="0"/>
    </xf>
    <xf borderId="14" fillId="0" fontId="2" numFmtId="49" xfId="0" applyBorder="1" applyFont="1" applyNumberFormat="1"/>
    <xf borderId="6" fillId="0" fontId="1" numFmtId="49" xfId="0" applyAlignment="1" applyBorder="1" applyFont="1" applyNumberFormat="1">
      <alignment readingOrder="0"/>
    </xf>
    <xf borderId="15" fillId="6" fontId="2" numFmtId="49" xfId="0" applyAlignment="1" applyBorder="1" applyFont="1" applyNumberFormat="1">
      <alignment readingOrder="0"/>
    </xf>
    <xf borderId="15" fillId="0" fontId="2" numFmtId="49" xfId="0" applyBorder="1" applyFont="1" applyNumberFormat="1"/>
    <xf borderId="0" fillId="0" fontId="1" numFmtId="164" xfId="0" applyAlignment="1" applyFont="1" applyNumberFormat="1">
      <alignment horizontal="center" readingOrder="0"/>
    </xf>
    <xf borderId="0" fillId="0" fontId="1" numFmtId="0" xfId="0" applyAlignment="1" applyFont="1">
      <alignment readingOrder="0"/>
    </xf>
    <xf borderId="4" fillId="0" fontId="2" numFmtId="49" xfId="0" applyBorder="1" applyFont="1" applyNumberFormat="1"/>
    <xf borderId="6" fillId="2" fontId="2" numFmtId="165" xfId="0" applyBorder="1" applyFont="1" applyNumberFormat="1"/>
    <xf borderId="6" fillId="0" fontId="2" numFmtId="0" xfId="0" applyBorder="1" applyFont="1"/>
    <xf borderId="6" fillId="2" fontId="2" numFmtId="0" xfId="0" applyBorder="1" applyFont="1"/>
    <xf borderId="5" fillId="0" fontId="2" numFmtId="0" xfId="0" applyBorder="1" applyFont="1"/>
    <xf borderId="0" fillId="0" fontId="2" numFmtId="164" xfId="0" applyFont="1" applyNumberFormat="1"/>
    <xf borderId="7" fillId="0" fontId="1" numFmtId="49" xfId="0" applyAlignment="1" applyBorder="1" applyFont="1" applyNumberFormat="1">
      <alignment readingOrder="0"/>
    </xf>
    <xf borderId="13" fillId="2" fontId="2" numFmtId="164" xfId="0" applyAlignment="1" applyBorder="1" applyFont="1" applyNumberFormat="1">
      <alignment horizontal="right" readingOrder="0"/>
    </xf>
    <xf borderId="15" fillId="2" fontId="2" numFmtId="164" xfId="0" applyBorder="1" applyFont="1" applyNumberFormat="1"/>
    <xf borderId="15" fillId="7" fontId="2" numFmtId="164" xfId="0" applyBorder="1" applyFont="1" applyNumberFormat="1"/>
    <xf borderId="15" fillId="2" fontId="2" numFmtId="164" xfId="0" applyAlignment="1" applyBorder="1" applyFont="1" applyNumberFormat="1">
      <alignment horizontal="right" readingOrder="0"/>
    </xf>
    <xf borderId="0" fillId="0" fontId="2" numFmtId="164" xfId="0" applyAlignment="1" applyFont="1" applyNumberFormat="1">
      <alignment horizontal="center" readingOrder="0"/>
    </xf>
    <xf borderId="8" fillId="0" fontId="2" numFmtId="0" xfId="0" applyBorder="1" applyFont="1"/>
    <xf borderId="0" fillId="0" fontId="2" numFmtId="165" xfId="0" applyFont="1" applyNumberFormat="1"/>
    <xf borderId="13" fillId="0" fontId="1" numFmtId="49" xfId="0" applyAlignment="1" applyBorder="1" applyFont="1" applyNumberFormat="1">
      <alignment readingOrder="0"/>
    </xf>
    <xf borderId="9" fillId="0" fontId="2" numFmtId="49" xfId="0" applyBorder="1" applyFont="1" applyNumberFormat="1"/>
    <xf borderId="10" fillId="0" fontId="2" numFmtId="49" xfId="0" applyBorder="1" applyFont="1" applyNumberFormat="1"/>
    <xf borderId="10" fillId="8" fontId="2" numFmtId="164" xfId="0" applyBorder="1" applyFont="1" applyNumberFormat="1"/>
    <xf borderId="10" fillId="0" fontId="2" numFmtId="0" xfId="0" applyBorder="1" applyFont="1"/>
    <xf borderId="12" fillId="8" fontId="2" numFmtId="164" xfId="0" applyBorder="1" applyFont="1" applyNumberFormat="1"/>
    <xf borderId="6" fillId="0" fontId="9" numFmtId="49" xfId="0" applyAlignment="1" applyBorder="1" applyFont="1" applyNumberFormat="1">
      <alignment horizontal="right" readingOrder="0"/>
    </xf>
    <xf borderId="6" fillId="0" fontId="10" numFmtId="49" xfId="0" applyAlignment="1" applyBorder="1" applyFont="1" applyNumberFormat="1">
      <alignment horizontal="left" readingOrder="0"/>
    </xf>
    <xf borderId="6" fillId="0" fontId="11" numFmtId="0" xfId="0" applyBorder="1" applyFont="1"/>
    <xf borderId="5" fillId="0" fontId="11" numFmtId="0" xfId="0" applyBorder="1" applyFont="1"/>
    <xf borderId="0" fillId="0" fontId="10" numFmtId="49" xfId="0" applyAlignment="1" applyFont="1" applyNumberFormat="1">
      <alignment horizontal="left" readingOrder="0"/>
    </xf>
    <xf borderId="4" fillId="0" fontId="8" numFmtId="49" xfId="0" applyAlignment="1" applyBorder="1" applyFont="1" applyNumberFormat="1">
      <alignment horizontal="center" readingOrder="0"/>
    </xf>
    <xf borderId="12" fillId="0" fontId="8" numFmtId="49" xfId="0" applyAlignment="1" applyBorder="1" applyFont="1" applyNumberFormat="1">
      <alignment horizontal="center" readingOrder="0"/>
    </xf>
    <xf borderId="6" fillId="0" fontId="8" numFmtId="49" xfId="0" applyAlignment="1" applyBorder="1" applyFont="1" applyNumberFormat="1">
      <alignment horizontal="center" readingOrder="0"/>
    </xf>
    <xf borderId="5" fillId="0" fontId="8" numFmtId="49" xfId="0" applyAlignment="1" applyBorder="1" applyFont="1" applyNumberFormat="1">
      <alignment horizontal="center" readingOrder="0"/>
    </xf>
    <xf borderId="4" fillId="7" fontId="2" numFmtId="164" xfId="0" applyBorder="1" applyFont="1" applyNumberFormat="1"/>
    <xf borderId="0" fillId="9" fontId="2" numFmtId="164" xfId="0" applyFont="1" applyNumberFormat="1"/>
    <xf borderId="5" fillId="7" fontId="2" numFmtId="164" xfId="0" applyBorder="1" applyFont="1" applyNumberFormat="1"/>
    <xf borderId="4" fillId="3" fontId="2" numFmtId="164" xfId="0" applyAlignment="1" applyBorder="1" applyFont="1" applyNumberFormat="1">
      <alignment readingOrder="0"/>
    </xf>
    <xf borderId="5" fillId="7" fontId="2" numFmtId="164" xfId="0" applyAlignment="1" applyBorder="1" applyFont="1" applyNumberFormat="1">
      <alignment readingOrder="0"/>
    </xf>
    <xf borderId="7" fillId="9" fontId="2" numFmtId="164" xfId="0" applyBorder="1" applyFont="1" applyNumberFormat="1"/>
    <xf borderId="0" fillId="2" fontId="12" numFmtId="164" xfId="0" applyAlignment="1" applyFont="1" applyNumberFormat="1">
      <alignment readingOrder="0"/>
    </xf>
    <xf borderId="7" fillId="0" fontId="2" numFmtId="0" xfId="0" applyBorder="1" applyFont="1"/>
    <xf borderId="13" fillId="7" fontId="2" numFmtId="164" xfId="0" applyBorder="1" applyFont="1" applyNumberFormat="1"/>
    <xf borderId="7" fillId="7" fontId="2" numFmtId="164" xfId="0" applyBorder="1" applyFont="1" applyNumberFormat="1"/>
    <xf borderId="8" fillId="7" fontId="2" numFmtId="164" xfId="0" applyBorder="1" applyFont="1" applyNumberFormat="1"/>
    <xf borderId="7" fillId="3" fontId="2" numFmtId="164" xfId="0" applyAlignment="1" applyBorder="1" applyFont="1" applyNumberFormat="1">
      <alignment readingOrder="0"/>
    </xf>
    <xf borderId="8" fillId="7" fontId="2" numFmtId="164" xfId="0" applyAlignment="1" applyBorder="1" applyFont="1" applyNumberFormat="1">
      <alignment readingOrder="0"/>
    </xf>
    <xf borderId="9" fillId="0" fontId="1" numFmtId="49" xfId="0" applyAlignment="1" applyBorder="1" applyFont="1" applyNumberFormat="1">
      <alignment readingOrder="0"/>
    </xf>
    <xf borderId="9" fillId="2" fontId="2" numFmtId="164" xfId="0" applyBorder="1" applyFont="1" applyNumberFormat="1"/>
    <xf borderId="12" fillId="2" fontId="2" numFmtId="164" xfId="0" applyBorder="1" applyFont="1" applyNumberFormat="1"/>
    <xf borderId="9" fillId="2" fontId="1" numFmtId="164" xfId="0" applyBorder="1" applyFont="1" applyNumberFormat="1"/>
    <xf borderId="12" fillId="7" fontId="1" numFmtId="164" xfId="0" applyBorder="1" applyFont="1" applyNumberFormat="1"/>
    <xf borderId="0" fillId="0" fontId="2" numFmtId="166" xfId="0" applyFont="1" applyNumberFormat="1"/>
    <xf borderId="0" fillId="0" fontId="2" numFmtId="164" xfId="0" applyAlignment="1" applyFont="1" applyNumberFormat="1">
      <alignment readingOrder="0"/>
    </xf>
    <xf borderId="0" fillId="0" fontId="1" numFmtId="164" xfId="0" applyAlignment="1" applyFont="1" applyNumberFormat="1">
      <alignment horizontal="right" readingOrder="0"/>
    </xf>
    <xf borderId="0" fillId="0" fontId="7" numFmtId="164" xfId="0" applyAlignment="1" applyFont="1" applyNumberFormat="1">
      <alignment horizontal="right" readingOrder="0"/>
    </xf>
    <xf borderId="0" fillId="0" fontId="13" numFmtId="167" xfId="0" applyAlignment="1" applyFont="1" applyNumberFormat="1">
      <alignment readingOrder="0"/>
    </xf>
    <xf borderId="0" fillId="9" fontId="13" numFmtId="167" xfId="0" applyAlignment="1" applyFont="1" applyNumberFormat="1">
      <alignment readingOrder="0"/>
    </xf>
    <xf borderId="0" fillId="0" fontId="14" numFmtId="167" xfId="0" applyAlignment="1" applyFont="1" applyNumberFormat="1">
      <alignment readingOrder="0"/>
    </xf>
    <xf borderId="0" fillId="0" fontId="2" numFmtId="167" xfId="0" applyFont="1" applyNumberFormat="1"/>
    <xf borderId="0" fillId="0" fontId="2" numFmtId="168" xfId="0" applyAlignment="1" applyFont="1" applyNumberFormat="1">
      <alignment readingOrder="0"/>
    </xf>
    <xf borderId="0" fillId="0" fontId="2" numFmtId="0" xfId="0" applyAlignment="1" applyFont="1">
      <alignment readingOrder="0"/>
    </xf>
    <xf borderId="0" fillId="0" fontId="2" numFmtId="10" xfId="0" applyAlignment="1" applyFont="1" applyNumberFormat="1">
      <alignment readingOrder="0"/>
    </xf>
    <xf borderId="0" fillId="0" fontId="3" numFmtId="169" xfId="0" applyAlignment="1" applyFont="1" applyNumberFormat="1">
      <alignment horizontal="right" vertical="bottom"/>
    </xf>
    <xf borderId="0" fillId="0" fontId="15" numFmtId="164" xfId="0" applyFont="1" applyNumberFormat="1"/>
    <xf borderId="0" fillId="0" fontId="1" numFmtId="164" xfId="0" applyAlignment="1" applyFont="1" applyNumberFormat="1">
      <alignment horizontal="center"/>
    </xf>
    <xf borderId="0" fillId="9" fontId="15" numFmtId="164" xfId="0" applyFont="1" applyNumberFormat="1"/>
    <xf borderId="0" fillId="9" fontId="0" numFmtId="164" xfId="0" applyAlignment="1" applyFont="1" applyNumberFormat="1">
      <alignment readingOrder="0"/>
    </xf>
    <xf borderId="7" fillId="0" fontId="1" numFmtId="0" xfId="0" applyAlignment="1" applyBorder="1" applyFont="1">
      <alignment horizontal="center" readingOrder="0"/>
    </xf>
    <xf borderId="8" fillId="0" fontId="11" numFmtId="0" xfId="0" applyBorder="1" applyFont="1"/>
    <xf borderId="6" fillId="9" fontId="16" numFmtId="0" xfId="0" applyAlignment="1" applyBorder="1" applyFont="1">
      <alignment horizontal="center" readingOrder="0"/>
    </xf>
    <xf borderId="4" fillId="0" fontId="1" numFmtId="170" xfId="0" applyAlignment="1" applyBorder="1" applyFont="1" applyNumberFormat="1">
      <alignment horizontal="center" readingOrder="0"/>
    </xf>
    <xf borderId="6" fillId="0" fontId="1" numFmtId="164" xfId="0" applyAlignment="1" applyBorder="1" applyFont="1" applyNumberFormat="1">
      <alignment horizontal="center" readingOrder="0"/>
    </xf>
    <xf borderId="4" fillId="0" fontId="1" numFmtId="164" xfId="0" applyAlignment="1" applyBorder="1" applyFont="1" applyNumberFormat="1">
      <alignment horizontal="center" readingOrder="0"/>
    </xf>
    <xf borderId="6" fillId="0" fontId="1" numFmtId="0" xfId="0" applyAlignment="1" applyBorder="1" applyFont="1">
      <alignment horizontal="center" readingOrder="0"/>
    </xf>
    <xf borderId="8" fillId="0" fontId="2" numFmtId="0" xfId="0" applyAlignment="1" applyBorder="1" applyFont="1">
      <alignment horizontal="center" readingOrder="0"/>
    </xf>
    <xf borderId="0" fillId="0" fontId="2" numFmtId="0" xfId="0" applyAlignment="1" applyFont="1">
      <alignment horizontal="center" readingOrder="0"/>
    </xf>
    <xf borderId="2" fillId="0" fontId="2" numFmtId="0" xfId="0" applyAlignment="1" applyBorder="1" applyFont="1">
      <alignment horizontal="center" readingOrder="0"/>
    </xf>
    <xf borderId="2" fillId="0" fontId="2" numFmtId="170" xfId="0" applyAlignment="1" applyBorder="1" applyFont="1" applyNumberFormat="1">
      <alignment readingOrder="0"/>
    </xf>
    <xf borderId="8" fillId="0" fontId="2" numFmtId="170" xfId="0" applyAlignment="1" applyBorder="1" applyFont="1" applyNumberFormat="1">
      <alignment readingOrder="0"/>
    </xf>
    <xf borderId="7" fillId="0" fontId="2" numFmtId="0" xfId="0" applyAlignment="1" applyBorder="1" applyFont="1">
      <alignment horizontal="center" readingOrder="0"/>
    </xf>
    <xf borderId="0" fillId="0" fontId="2" numFmtId="0" xfId="0" applyAlignment="1" applyFont="1">
      <alignment horizontal="center" readingOrder="0"/>
    </xf>
    <xf borderId="5" fillId="0" fontId="2" numFmtId="0" xfId="0" applyAlignment="1" applyBorder="1" applyFont="1">
      <alignment readingOrder="0"/>
    </xf>
    <xf borderId="6" fillId="0" fontId="2" numFmtId="166" xfId="0" applyAlignment="1" applyBorder="1" applyFont="1" applyNumberFormat="1">
      <alignment readingOrder="0"/>
    </xf>
    <xf borderId="6" fillId="0" fontId="2" numFmtId="0" xfId="0" applyAlignment="1" applyBorder="1" applyFont="1">
      <alignment readingOrder="0"/>
    </xf>
    <xf borderId="4" fillId="0" fontId="2" numFmtId="0" xfId="0" applyAlignment="1" applyBorder="1" applyFont="1">
      <alignment readingOrder="0"/>
    </xf>
    <xf borderId="6" fillId="0" fontId="2" numFmtId="164" xfId="0" applyAlignment="1" applyBorder="1" applyFont="1" applyNumberFormat="1">
      <alignment readingOrder="0"/>
    </xf>
    <xf borderId="6" fillId="0" fontId="2" numFmtId="0" xfId="0" applyAlignment="1" applyBorder="1" applyFont="1">
      <alignment horizontal="right" readingOrder="0"/>
    </xf>
    <xf borderId="4" fillId="0" fontId="2" numFmtId="170" xfId="0" applyAlignment="1" applyBorder="1" applyFont="1" applyNumberFormat="1">
      <alignment readingOrder="0"/>
    </xf>
    <xf borderId="5" fillId="0" fontId="2" numFmtId="170" xfId="0" applyAlignment="1" applyBorder="1" applyFont="1" applyNumberFormat="1">
      <alignment readingOrder="0"/>
    </xf>
    <xf borderId="6" fillId="0" fontId="12" numFmtId="164" xfId="0" applyAlignment="1" applyBorder="1" applyFont="1" applyNumberFormat="1">
      <alignment readingOrder="0"/>
    </xf>
    <xf borderId="4" fillId="0" fontId="2" numFmtId="0" xfId="0" applyAlignment="1" applyBorder="1" applyFont="1">
      <alignment horizontal="center" readingOrder="0"/>
    </xf>
    <xf borderId="6" fillId="0" fontId="2" numFmtId="0" xfId="0" applyAlignment="1" applyBorder="1" applyFont="1">
      <alignment horizontal="center" readingOrder="0"/>
    </xf>
    <xf borderId="5" fillId="0" fontId="2" numFmtId="164" xfId="0" applyAlignment="1" applyBorder="1" applyFont="1" applyNumberFormat="1">
      <alignment readingOrder="0"/>
    </xf>
    <xf borderId="5" fillId="0" fontId="2" numFmtId="0" xfId="0" applyAlignment="1" applyBorder="1" applyFont="1">
      <alignment readingOrder="0"/>
    </xf>
    <xf borderId="4" fillId="0" fontId="2" numFmtId="0" xfId="0" applyAlignment="1" applyBorder="1" applyFont="1">
      <alignment readingOrder="0"/>
    </xf>
    <xf borderId="6" fillId="0" fontId="2" numFmtId="0" xfId="0" applyAlignment="1" applyBorder="1" applyFont="1">
      <alignment readingOrder="0"/>
    </xf>
    <xf borderId="8" fillId="6" fontId="3" numFmtId="166" xfId="0" applyAlignment="1" applyBorder="1" applyFont="1" applyNumberFormat="1">
      <alignment horizontal="right" vertical="bottom"/>
    </xf>
    <xf borderId="0" fillId="5" fontId="3" numFmtId="166" xfId="0" applyAlignment="1" applyFont="1" applyNumberFormat="1">
      <alignment horizontal="right" vertical="bottom"/>
    </xf>
    <xf borderId="8" fillId="5" fontId="3" numFmtId="166" xfId="0" applyAlignment="1" applyBorder="1" applyFont="1" applyNumberFormat="1">
      <alignment horizontal="right" vertical="bottom"/>
    </xf>
    <xf borderId="0" fillId="3" fontId="3" numFmtId="1" xfId="0" applyAlignment="1" applyFont="1" applyNumberFormat="1">
      <alignment horizontal="right" vertical="bottom"/>
    </xf>
    <xf borderId="0" fillId="5" fontId="3" numFmtId="164" xfId="0" applyAlignment="1" applyFont="1" applyNumberFormat="1">
      <alignment horizontal="right" vertical="bottom"/>
    </xf>
    <xf borderId="0" fillId="3" fontId="3" numFmtId="164" xfId="0" applyAlignment="1" applyFont="1" applyNumberFormat="1">
      <alignment horizontal="right" vertical="bottom"/>
    </xf>
    <xf borderId="0" fillId="2" fontId="3" numFmtId="164" xfId="0" applyAlignment="1" applyFont="1" applyNumberFormat="1">
      <alignment horizontal="right" vertical="bottom"/>
    </xf>
    <xf borderId="8" fillId="2" fontId="3" numFmtId="171" xfId="0" applyAlignment="1" applyBorder="1" applyFont="1" applyNumberFormat="1">
      <alignment horizontal="right" vertical="bottom"/>
    </xf>
    <xf borderId="0" fillId="4" fontId="3" numFmtId="172" xfId="0" applyAlignment="1" applyFont="1" applyNumberFormat="1">
      <alignment horizontal="right" vertical="bottom"/>
    </xf>
    <xf borderId="8" fillId="3" fontId="15" numFmtId="170" xfId="0" applyAlignment="1" applyBorder="1" applyFont="1" applyNumberFormat="1">
      <alignment horizontal="center"/>
    </xf>
    <xf borderId="0" fillId="2" fontId="3" numFmtId="172" xfId="0" applyAlignment="1" applyFont="1" applyNumberFormat="1">
      <alignment horizontal="right" vertical="bottom"/>
    </xf>
    <xf borderId="8" fillId="2" fontId="3" numFmtId="164" xfId="0" applyAlignment="1" applyBorder="1" applyFont="1" applyNumberFormat="1">
      <alignment horizontal="right" vertical="bottom"/>
    </xf>
    <xf borderId="0" fillId="2" fontId="3" numFmtId="165" xfId="0" applyAlignment="1" applyFont="1" applyNumberFormat="1">
      <alignment horizontal="right" vertical="bottom"/>
    </xf>
    <xf borderId="0" fillId="7" fontId="17" numFmtId="165" xfId="0" applyAlignment="1" applyFont="1" applyNumberFormat="1">
      <alignment horizontal="right" vertical="bottom"/>
    </xf>
    <xf borderId="8" fillId="7" fontId="3" numFmtId="164" xfId="0" applyAlignment="1" applyBorder="1" applyFont="1" applyNumberFormat="1">
      <alignment horizontal="right" vertical="bottom"/>
    </xf>
    <xf borderId="0" fillId="7" fontId="15" numFmtId="164" xfId="0" applyAlignment="1" applyFont="1" applyNumberFormat="1">
      <alignment horizontal="right" vertical="bottom"/>
    </xf>
    <xf borderId="8" fillId="7" fontId="15" numFmtId="164" xfId="0" applyAlignment="1" applyBorder="1" applyFont="1" applyNumberFormat="1">
      <alignment horizontal="right" vertical="bottom"/>
    </xf>
    <xf borderId="0" fillId="8" fontId="15" numFmtId="164" xfId="0" applyAlignment="1" applyFont="1" applyNumberFormat="1">
      <alignment horizontal="right" vertical="bottom"/>
    </xf>
    <xf borderId="0" fillId="8" fontId="3" numFmtId="164" xfId="0" applyAlignment="1" applyFont="1" applyNumberFormat="1">
      <alignment horizontal="right" vertical="bottom"/>
    </xf>
    <xf borderId="0" fillId="2" fontId="3" numFmtId="164" xfId="0" applyAlignment="1" applyFont="1" applyNumberFormat="1">
      <alignment horizontal="center" vertical="bottom"/>
    </xf>
    <xf borderId="8" fillId="8" fontId="3" numFmtId="164" xfId="0" applyAlignment="1" applyBorder="1" applyFont="1" applyNumberFormat="1">
      <alignment horizontal="right" vertical="bottom"/>
    </xf>
    <xf borderId="0" fillId="10" fontId="3" numFmtId="172" xfId="0" applyAlignment="1" applyFill="1" applyFont="1" applyNumberFormat="1">
      <alignment horizontal="right" vertical="bottom"/>
    </xf>
    <xf borderId="8" fillId="3" fontId="15" numFmtId="170" xfId="0" applyAlignment="1" applyBorder="1" applyFont="1" applyNumberFormat="1">
      <alignment horizontal="center" readingOrder="0"/>
    </xf>
    <xf borderId="8" fillId="3" fontId="3" numFmtId="170" xfId="0" applyAlignment="1" applyBorder="1" applyFont="1" applyNumberFormat="1">
      <alignment horizontal="center"/>
    </xf>
    <xf borderId="8" fillId="2" fontId="3" numFmtId="2" xfId="0" applyAlignment="1" applyBorder="1" applyFont="1" applyNumberFormat="1">
      <alignment horizontal="right" vertical="bottom"/>
    </xf>
    <xf borderId="14" fillId="6" fontId="3" numFmtId="166" xfId="0" applyAlignment="1" applyBorder="1" applyFont="1" applyNumberFormat="1">
      <alignment horizontal="right" vertical="bottom"/>
    </xf>
    <xf borderId="15" fillId="5" fontId="3" numFmtId="166" xfId="0" applyAlignment="1" applyBorder="1" applyFont="1" applyNumberFormat="1">
      <alignment horizontal="right" vertical="bottom"/>
    </xf>
    <xf borderId="14" fillId="5" fontId="3" numFmtId="166" xfId="0" applyAlignment="1" applyBorder="1" applyFont="1" applyNumberFormat="1">
      <alignment horizontal="right" vertical="bottom"/>
    </xf>
    <xf borderId="15" fillId="3" fontId="3" numFmtId="1" xfId="0" applyAlignment="1" applyBorder="1" applyFont="1" applyNumberFormat="1">
      <alignment horizontal="right" vertical="bottom"/>
    </xf>
    <xf borderId="15" fillId="5" fontId="3" numFmtId="164" xfId="0" applyAlignment="1" applyBorder="1" applyFont="1" applyNumberFormat="1">
      <alignment horizontal="right" vertical="bottom"/>
    </xf>
    <xf borderId="15" fillId="3" fontId="3" numFmtId="164" xfId="0" applyAlignment="1" applyBorder="1" applyFont="1" applyNumberFormat="1">
      <alignment horizontal="right" vertical="bottom"/>
    </xf>
    <xf borderId="15" fillId="2" fontId="3" numFmtId="164" xfId="0" applyAlignment="1" applyBorder="1" applyFont="1" applyNumberFormat="1">
      <alignment horizontal="right" vertical="bottom"/>
    </xf>
    <xf borderId="14" fillId="2" fontId="3" numFmtId="2" xfId="0" applyAlignment="1" applyBorder="1" applyFont="1" applyNumberFormat="1">
      <alignment horizontal="right" vertical="bottom"/>
    </xf>
    <xf borderId="15" fillId="4" fontId="3" numFmtId="172" xfId="0" applyAlignment="1" applyBorder="1" applyFont="1" applyNumberFormat="1">
      <alignment horizontal="right" vertical="bottom"/>
    </xf>
    <xf borderId="14" fillId="3" fontId="3" numFmtId="170" xfId="0" applyAlignment="1" applyBorder="1" applyFont="1" applyNumberFormat="1">
      <alignment horizontal="center"/>
    </xf>
    <xf borderId="15" fillId="2" fontId="3" numFmtId="172" xfId="0" applyAlignment="1" applyBorder="1" applyFont="1" applyNumberFormat="1">
      <alignment horizontal="right" vertical="bottom"/>
    </xf>
    <xf borderId="14" fillId="2" fontId="3" numFmtId="164" xfId="0" applyAlignment="1" applyBorder="1" applyFont="1" applyNumberFormat="1">
      <alignment horizontal="right" vertical="bottom"/>
    </xf>
    <xf borderId="15" fillId="2" fontId="3" numFmtId="165" xfId="0" applyAlignment="1" applyBorder="1" applyFont="1" applyNumberFormat="1">
      <alignment horizontal="right" vertical="bottom"/>
    </xf>
    <xf borderId="15" fillId="7" fontId="17" numFmtId="165" xfId="0" applyAlignment="1" applyBorder="1" applyFont="1" applyNumberFormat="1">
      <alignment horizontal="right" vertical="bottom"/>
    </xf>
    <xf borderId="14" fillId="7" fontId="3" numFmtId="164" xfId="0" applyAlignment="1" applyBorder="1" applyFont="1" applyNumberFormat="1">
      <alignment horizontal="right" vertical="bottom"/>
    </xf>
    <xf borderId="15" fillId="7" fontId="15" numFmtId="164" xfId="0" applyAlignment="1" applyBorder="1" applyFont="1" applyNumberFormat="1">
      <alignment horizontal="right" vertical="bottom"/>
    </xf>
    <xf borderId="14" fillId="7" fontId="15" numFmtId="164" xfId="0" applyAlignment="1" applyBorder="1" applyFont="1" applyNumberFormat="1">
      <alignment horizontal="right" vertical="bottom"/>
    </xf>
    <xf borderId="15" fillId="8" fontId="15" numFmtId="164" xfId="0" applyAlignment="1" applyBorder="1" applyFont="1" applyNumberFormat="1">
      <alignment horizontal="right" vertical="bottom"/>
    </xf>
    <xf borderId="15" fillId="8" fontId="3" numFmtId="164" xfId="0" applyAlignment="1" applyBorder="1" applyFont="1" applyNumberFormat="1">
      <alignment horizontal="right" vertical="bottom"/>
    </xf>
    <xf borderId="15" fillId="2" fontId="3" numFmtId="164" xfId="0" applyAlignment="1" applyBorder="1" applyFont="1" applyNumberFormat="1">
      <alignment horizontal="center" vertical="bottom"/>
    </xf>
    <xf borderId="14" fillId="8" fontId="3" numFmtId="164" xfId="0" applyAlignment="1" applyBorder="1" applyFont="1" applyNumberFormat="1">
      <alignment horizontal="right" vertical="bottom"/>
    </xf>
    <xf borderId="9" fillId="0" fontId="2" numFmtId="0" xfId="0" applyBorder="1" applyFont="1"/>
    <xf borderId="9" fillId="2" fontId="2" numFmtId="1" xfId="0" applyBorder="1" applyFont="1" applyNumberFormat="1"/>
    <xf borderId="12" fillId="0" fontId="2" numFmtId="0" xfId="0" applyBorder="1" applyFont="1"/>
    <xf borderId="10" fillId="2" fontId="2" numFmtId="164" xfId="0" applyBorder="1" applyFont="1" applyNumberFormat="1"/>
    <xf borderId="9" fillId="2" fontId="2" numFmtId="172" xfId="0" applyBorder="1" applyFont="1" applyNumberFormat="1"/>
    <xf borderId="10" fillId="0" fontId="2" numFmtId="164" xfId="0" applyBorder="1" applyFont="1" applyNumberFormat="1"/>
    <xf borderId="10" fillId="2" fontId="2" numFmtId="165" xfId="0" applyBorder="1" applyFont="1" applyNumberFormat="1"/>
    <xf borderId="9" fillId="7" fontId="2" numFmtId="0" xfId="0" applyBorder="1" applyFont="1"/>
    <xf borderId="10" fillId="7" fontId="2" numFmtId="164" xfId="0" applyBorder="1" applyFont="1" applyNumberFormat="1"/>
    <xf borderId="9" fillId="7" fontId="2" numFmtId="164" xfId="0" applyBorder="1" applyFont="1" applyNumberFormat="1"/>
    <xf borderId="12" fillId="7" fontId="2" numFmtId="164" xfId="0" applyBorder="1" applyFont="1" applyNumberFormat="1"/>
    <xf borderId="7" fillId="0" fontId="18" numFmtId="0" xfId="0" applyAlignment="1" applyBorder="1" applyFont="1">
      <alignment horizontal="center" readingOrder="0"/>
    </xf>
    <xf borderId="7" fillId="0" fontId="18" numFmtId="164" xfId="0" applyAlignment="1" applyBorder="1" applyFont="1" applyNumberFormat="1">
      <alignment horizontal="center" readingOrder="0"/>
    </xf>
    <xf borderId="6" fillId="0" fontId="18" numFmtId="0" xfId="0" applyAlignment="1" applyBorder="1" applyFont="1">
      <alignment horizontal="center" readingOrder="0"/>
    </xf>
    <xf borderId="4" fillId="0" fontId="18" numFmtId="170" xfId="0" applyAlignment="1" applyBorder="1" applyFont="1" applyNumberFormat="1">
      <alignment horizontal="center" readingOrder="0"/>
    </xf>
    <xf borderId="6" fillId="0" fontId="18" numFmtId="164" xfId="0" applyAlignment="1" applyBorder="1" applyFont="1" applyNumberFormat="1">
      <alignment horizontal="center" readingOrder="0"/>
    </xf>
    <xf borderId="4" fillId="0" fontId="18" numFmtId="49" xfId="0" applyAlignment="1" applyBorder="1" applyFont="1" applyNumberFormat="1">
      <alignment horizontal="center" readingOrder="0"/>
    </xf>
    <xf borderId="6" fillId="0" fontId="18" numFmtId="0" xfId="0" applyAlignment="1" applyBorder="1" applyFont="1">
      <alignment horizontal="center" readingOrder="0"/>
    </xf>
    <xf borderId="8" fillId="0" fontId="12" numFmtId="0" xfId="0" applyAlignment="1" applyBorder="1" applyFont="1">
      <alignment horizontal="center" readingOrder="0"/>
    </xf>
    <xf borderId="0" fillId="0" fontId="12" numFmtId="0" xfId="0" applyAlignment="1" applyFont="1">
      <alignment horizontal="center" readingOrder="0"/>
    </xf>
    <xf borderId="2" fillId="0" fontId="12" numFmtId="0" xfId="0" applyAlignment="1" applyBorder="1" applyFont="1">
      <alignment readingOrder="0"/>
    </xf>
    <xf borderId="7" fillId="0" fontId="12" numFmtId="0" xfId="0" applyAlignment="1" applyBorder="1" applyFont="1">
      <alignment horizontal="center" readingOrder="0"/>
    </xf>
    <xf borderId="2" fillId="0" fontId="12" numFmtId="170" xfId="0" applyAlignment="1" applyBorder="1" applyFont="1" applyNumberFormat="1">
      <alignment readingOrder="0"/>
    </xf>
    <xf borderId="8" fillId="0" fontId="12" numFmtId="170" xfId="0" applyAlignment="1" applyBorder="1" applyFont="1" applyNumberFormat="1">
      <alignment readingOrder="0"/>
    </xf>
    <xf borderId="0" fillId="0" fontId="12" numFmtId="164" xfId="0" applyAlignment="1" applyFont="1" applyNumberFormat="1">
      <alignment horizontal="center" readingOrder="0"/>
    </xf>
    <xf borderId="0" fillId="0" fontId="12" numFmtId="0" xfId="0" applyAlignment="1" applyFont="1">
      <alignment horizontal="center" readingOrder="0"/>
    </xf>
    <xf borderId="5" fillId="0" fontId="12" numFmtId="0" xfId="0" applyAlignment="1" applyBorder="1" applyFont="1">
      <alignment readingOrder="0"/>
    </xf>
    <xf borderId="10" fillId="0" fontId="12" numFmtId="0" xfId="0" applyAlignment="1" applyBorder="1" applyFont="1">
      <alignment readingOrder="0"/>
    </xf>
    <xf borderId="4" fillId="0" fontId="12" numFmtId="0" xfId="0" applyAlignment="1" applyBorder="1" applyFont="1">
      <alignment readingOrder="0"/>
    </xf>
    <xf borderId="11" fillId="0" fontId="12" numFmtId="0" xfId="0" applyAlignment="1" applyBorder="1" applyFont="1">
      <alignment readingOrder="0"/>
    </xf>
    <xf borderId="6" fillId="0" fontId="12" numFmtId="0" xfId="0" applyAlignment="1" applyBorder="1" applyFont="1">
      <alignment horizontal="center" readingOrder="0"/>
    </xf>
    <xf borderId="9" fillId="0" fontId="2" numFmtId="170" xfId="0" applyAlignment="1" applyBorder="1" applyFont="1" applyNumberFormat="1">
      <alignment readingOrder="0"/>
    </xf>
    <xf borderId="5" fillId="0" fontId="12" numFmtId="49" xfId="0" applyAlignment="1" applyBorder="1" applyFont="1" applyNumberFormat="1">
      <alignment readingOrder="0"/>
    </xf>
    <xf borderId="9" fillId="0" fontId="12" numFmtId="0" xfId="0" applyAlignment="1" applyBorder="1" applyFont="1">
      <alignment horizontal="center" readingOrder="0"/>
    </xf>
    <xf borderId="10" fillId="0" fontId="12" numFmtId="0" xfId="0" applyAlignment="1" applyBorder="1" applyFont="1">
      <alignment horizontal="center" readingOrder="0"/>
    </xf>
    <xf borderId="12" fillId="0" fontId="12" numFmtId="164" xfId="0" applyAlignment="1" applyBorder="1" applyFont="1" applyNumberFormat="1">
      <alignment readingOrder="0"/>
    </xf>
    <xf borderId="12" fillId="0" fontId="12" numFmtId="0" xfId="0" applyAlignment="1" applyBorder="1" applyFont="1">
      <alignment readingOrder="0"/>
    </xf>
    <xf borderId="9" fillId="0" fontId="12" numFmtId="0" xfId="0" applyAlignment="1" applyBorder="1" applyFont="1">
      <alignment readingOrder="0"/>
    </xf>
    <xf borderId="10" fillId="0" fontId="12" numFmtId="0" xfId="0" applyAlignment="1" applyBorder="1" applyFont="1">
      <alignment readingOrder="0"/>
    </xf>
    <xf borderId="5" fillId="0" fontId="12" numFmtId="0" xfId="0" applyAlignment="1" applyBorder="1" applyFont="1">
      <alignment readingOrder="0"/>
    </xf>
    <xf borderId="5" fillId="6" fontId="3" numFmtId="49" xfId="0" applyAlignment="1" applyBorder="1" applyFont="1" applyNumberFormat="1">
      <alignment vertical="bottom"/>
    </xf>
    <xf borderId="6" fillId="6" fontId="3" numFmtId="166" xfId="0" applyAlignment="1" applyBorder="1" applyFont="1" applyNumberFormat="1">
      <alignment horizontal="right" vertical="bottom"/>
    </xf>
    <xf borderId="5" fillId="5" fontId="3" numFmtId="166" xfId="0" applyAlignment="1" applyBorder="1" applyFont="1" applyNumberFormat="1">
      <alignment horizontal="right" vertical="bottom"/>
    </xf>
    <xf borderId="6" fillId="3" fontId="3" numFmtId="1" xfId="0" applyAlignment="1" applyBorder="1" applyFont="1" applyNumberFormat="1">
      <alignment horizontal="right" vertical="bottom"/>
    </xf>
    <xf borderId="5" fillId="5" fontId="3" numFmtId="164" xfId="0" applyAlignment="1" applyBorder="1" applyFont="1" applyNumberFormat="1">
      <alignment horizontal="right" vertical="bottom"/>
    </xf>
    <xf borderId="5" fillId="4" fontId="3" numFmtId="1" xfId="0" applyAlignment="1" applyBorder="1" applyFont="1" applyNumberFormat="1">
      <alignment horizontal="right" vertical="bottom"/>
    </xf>
    <xf borderId="6" fillId="2" fontId="3" numFmtId="164" xfId="0" applyAlignment="1" applyBorder="1" applyFont="1" applyNumberFormat="1">
      <alignment horizontal="right" vertical="bottom"/>
    </xf>
    <xf borderId="5" fillId="2" fontId="3" numFmtId="164" xfId="0" applyAlignment="1" applyBorder="1" applyFont="1" applyNumberFormat="1">
      <alignment horizontal="right" vertical="bottom"/>
    </xf>
    <xf borderId="6" fillId="4" fontId="3" numFmtId="170" xfId="0" applyAlignment="1" applyBorder="1" applyFont="1" applyNumberFormat="1">
      <alignment horizontal="right" vertical="bottom"/>
    </xf>
    <xf borderId="5" fillId="3" fontId="3" numFmtId="170" xfId="0" applyAlignment="1" applyBorder="1" applyFont="1" applyNumberFormat="1">
      <alignment horizontal="center"/>
    </xf>
    <xf borderId="6" fillId="2" fontId="3" numFmtId="165" xfId="0" applyAlignment="1" applyBorder="1" applyFont="1" applyNumberFormat="1">
      <alignment horizontal="right" vertical="bottom"/>
    </xf>
    <xf borderId="6" fillId="7" fontId="3" numFmtId="165" xfId="0" applyAlignment="1" applyBorder="1" applyFont="1" applyNumberFormat="1">
      <alignment horizontal="right" vertical="bottom"/>
    </xf>
    <xf borderId="5" fillId="7" fontId="3" numFmtId="164" xfId="0" applyAlignment="1" applyBorder="1" applyFont="1" applyNumberFormat="1">
      <alignment horizontal="right" vertical="bottom"/>
    </xf>
    <xf borderId="6" fillId="7" fontId="3" numFmtId="164" xfId="0" applyAlignment="1" applyBorder="1" applyFont="1" applyNumberFormat="1">
      <alignment horizontal="right" vertical="bottom"/>
    </xf>
    <xf borderId="6" fillId="8" fontId="3" numFmtId="164" xfId="0" applyAlignment="1" applyBorder="1" applyFont="1" applyNumberFormat="1">
      <alignment horizontal="right" vertical="bottom"/>
    </xf>
    <xf borderId="5" fillId="8" fontId="3" numFmtId="164" xfId="0" applyAlignment="1" applyBorder="1" applyFont="1" applyNumberFormat="1">
      <alignment horizontal="right" vertical="bottom"/>
    </xf>
    <xf borderId="8" fillId="6" fontId="3" numFmtId="49" xfId="0" applyAlignment="1" applyBorder="1" applyFont="1" applyNumberFormat="1">
      <alignment vertical="bottom"/>
    </xf>
    <xf borderId="0" fillId="6" fontId="3" numFmtId="166" xfId="0" applyAlignment="1" applyFont="1" applyNumberFormat="1">
      <alignment horizontal="right" vertical="bottom"/>
    </xf>
    <xf borderId="8" fillId="5" fontId="3" numFmtId="164" xfId="0" applyAlignment="1" applyBorder="1" applyFont="1" applyNumberFormat="1">
      <alignment horizontal="right" vertical="bottom"/>
    </xf>
    <xf borderId="8" fillId="4" fontId="3" numFmtId="1" xfId="0" applyAlignment="1" applyBorder="1" applyFont="1" applyNumberFormat="1">
      <alignment horizontal="right" vertical="bottom"/>
    </xf>
    <xf borderId="0" fillId="4" fontId="3" numFmtId="170" xfId="0" applyAlignment="1" applyFont="1" applyNumberFormat="1">
      <alignment horizontal="right" vertical="bottom"/>
    </xf>
    <xf borderId="0" fillId="7" fontId="3" numFmtId="165" xfId="0" applyAlignment="1" applyFont="1" applyNumberFormat="1">
      <alignment horizontal="right" vertical="bottom"/>
    </xf>
    <xf borderId="0" fillId="7" fontId="3" numFmtId="164" xfId="0" applyAlignment="1" applyFont="1" applyNumberFormat="1">
      <alignment horizontal="right" vertical="bottom"/>
    </xf>
    <xf borderId="8" fillId="3" fontId="3" numFmtId="170" xfId="0" applyAlignment="1" applyBorder="1" applyFont="1" applyNumberFormat="1">
      <alignment horizontal="center" readingOrder="0"/>
    </xf>
    <xf borderId="0" fillId="10" fontId="3" numFmtId="170" xfId="0" applyAlignment="1" applyFont="1" applyNumberFormat="1">
      <alignment horizontal="right" vertical="bottom"/>
    </xf>
    <xf borderId="8" fillId="11" fontId="3" numFmtId="164" xfId="0" applyAlignment="1" applyBorder="1" applyFill="1" applyFont="1" applyNumberFormat="1">
      <alignment horizontal="right" vertical="bottom"/>
    </xf>
    <xf borderId="7" fillId="2" fontId="3" numFmtId="164" xfId="0" applyAlignment="1" applyBorder="1" applyFont="1" applyNumberFormat="1">
      <alignment horizontal="right" vertical="bottom"/>
    </xf>
    <xf borderId="0" fillId="6" fontId="3" numFmtId="166" xfId="0" applyAlignment="1" applyFont="1" applyNumberFormat="1">
      <alignment vertical="bottom"/>
    </xf>
    <xf borderId="0" fillId="6" fontId="3" numFmtId="49" xfId="0" applyAlignment="1" applyFont="1" applyNumberFormat="1">
      <alignment vertical="bottom"/>
    </xf>
    <xf borderId="7" fillId="6" fontId="3" numFmtId="166" xfId="0" applyAlignment="1" applyBorder="1" applyFont="1" applyNumberFormat="1">
      <alignment vertical="bottom"/>
    </xf>
    <xf borderId="8" fillId="12" fontId="3" numFmtId="166" xfId="0" applyAlignment="1" applyBorder="1" applyFill="1" applyFont="1" applyNumberFormat="1">
      <alignment horizontal="right" vertical="bottom"/>
    </xf>
    <xf borderId="7" fillId="4" fontId="3" numFmtId="1" xfId="0" applyAlignment="1" applyBorder="1" applyFont="1" applyNumberFormat="1">
      <alignment horizontal="right" vertical="bottom"/>
    </xf>
    <xf borderId="7" fillId="4" fontId="3" numFmtId="170" xfId="0" applyAlignment="1" applyBorder="1" applyFont="1" applyNumberFormat="1">
      <alignment horizontal="right" vertical="bottom"/>
    </xf>
    <xf borderId="0" fillId="4" fontId="3" numFmtId="1" xfId="0" applyAlignment="1" applyFont="1" applyNumberFormat="1">
      <alignment horizontal="right" vertical="bottom"/>
    </xf>
    <xf borderId="14" fillId="6" fontId="3" numFmtId="49" xfId="0" applyAlignment="1" applyBorder="1" applyFont="1" applyNumberFormat="1">
      <alignment vertical="bottom"/>
    </xf>
    <xf borderId="15" fillId="6" fontId="3" numFmtId="166" xfId="0" applyAlignment="1" applyBorder="1" applyFont="1" applyNumberFormat="1">
      <alignment horizontal="right" vertical="bottom"/>
    </xf>
    <xf borderId="14" fillId="5" fontId="3" numFmtId="164" xfId="0" applyAlignment="1" applyBorder="1" applyFont="1" applyNumberFormat="1">
      <alignment horizontal="right" vertical="bottom"/>
    </xf>
    <xf borderId="14" fillId="4" fontId="3" numFmtId="1" xfId="0" applyAlignment="1" applyBorder="1" applyFont="1" applyNumberFormat="1">
      <alignment horizontal="right" vertical="bottom"/>
    </xf>
    <xf borderId="15" fillId="4" fontId="3" numFmtId="170" xfId="0" applyAlignment="1" applyBorder="1" applyFont="1" applyNumberFormat="1">
      <alignment horizontal="right" vertical="bottom"/>
    </xf>
    <xf borderId="15" fillId="7" fontId="3" numFmtId="165" xfId="0" applyAlignment="1" applyBorder="1" applyFont="1" applyNumberFormat="1">
      <alignment horizontal="right" vertical="bottom"/>
    </xf>
    <xf borderId="14" fillId="11" fontId="3" numFmtId="164" xfId="0" applyAlignment="1" applyBorder="1" applyFont="1" applyNumberFormat="1">
      <alignment horizontal="right" vertical="bottom"/>
    </xf>
    <xf borderId="15" fillId="7" fontId="3" numFmtId="164" xfId="0" applyAlignment="1" applyBorder="1" applyFont="1" applyNumberFormat="1">
      <alignment horizontal="right" vertical="bottom"/>
    </xf>
    <xf borderId="13" fillId="2" fontId="2" numFmtId="164" xfId="0" applyBorder="1" applyFont="1" applyNumberFormat="1"/>
    <xf borderId="9" fillId="2" fontId="2" numFmtId="170" xfId="0" applyBorder="1" applyFont="1" applyNumberFormat="1"/>
    <xf borderId="9" fillId="7" fontId="2" numFmtId="165" xfId="0" applyBorder="1" applyFont="1" applyNumberFormat="1"/>
    <xf borderId="0" fillId="5" fontId="12" numFmtId="164" xfId="0" applyAlignment="1" applyFont="1" applyNumberFormat="1">
      <alignment readingOrder="0"/>
    </xf>
    <xf borderId="0" fillId="5" fontId="12" numFmtId="164" xfId="0" applyFont="1" applyNumberFormat="1"/>
    <xf borderId="0" fillId="2" fontId="2" numFmtId="173" xfId="0" applyFont="1" applyNumberFormat="1"/>
    <xf borderId="0" fillId="5" fontId="2" numFmtId="9" xfId="0" applyAlignment="1" applyFont="1" applyNumberFormat="1">
      <alignment readingOrder="0"/>
    </xf>
    <xf borderId="0" fillId="0" fontId="12" numFmtId="164" xfId="0" applyAlignment="1" applyFont="1" applyNumberFormat="1">
      <alignment readingOrder="0"/>
    </xf>
    <xf borderId="0" fillId="0" fontId="1" numFmtId="49" xfId="0" applyAlignment="1" applyFont="1" applyNumberFormat="1">
      <alignment horizontal="left" readingOrder="0"/>
    </xf>
    <xf borderId="0" fillId="0" fontId="8" numFmtId="49" xfId="0" applyAlignment="1" applyFont="1" applyNumberFormat="1">
      <alignment readingOrder="0"/>
    </xf>
    <xf borderId="0" fillId="9" fontId="0" numFmtId="164" xfId="0" applyFont="1" applyNumberFormat="1"/>
    <xf borderId="0" fillId="5" fontId="12" numFmtId="164" xfId="0" applyAlignment="1" applyFont="1" applyNumberFormat="1">
      <alignment horizontal="right" vertical="bottom"/>
    </xf>
    <xf borderId="0" fillId="0" fontId="12" numFmtId="164" xfId="0" applyAlignment="1" applyFont="1" applyNumberFormat="1">
      <alignment horizontal="right" vertical="bottom"/>
    </xf>
    <xf borderId="0" fillId="0" fontId="15" numFmtId="49" xfId="0" applyFont="1" applyNumberFormat="1"/>
    <xf borderId="0" fillId="0" fontId="12" numFmtId="174" xfId="0" applyAlignment="1" applyFont="1" applyNumberFormat="1">
      <alignment readingOrder="0"/>
    </xf>
    <xf borderId="0" fillId="0" fontId="12" numFmtId="174" xfId="0" applyFont="1" applyNumberFormat="1"/>
    <xf borderId="0" fillId="0" fontId="12" numFmtId="49" xfId="0" applyFont="1" applyNumberFormat="1"/>
    <xf borderId="0" fillId="2" fontId="0" numFmtId="164" xfId="0" applyFont="1" applyNumberFormat="1"/>
    <xf borderId="0" fillId="0" fontId="2" numFmtId="49" xfId="0" applyAlignment="1" applyFont="1" applyNumberFormat="1">
      <alignment horizontal="center" readingOrder="0"/>
    </xf>
    <xf borderId="0" fillId="2" fontId="12" numFmtId="164" xfId="0" applyAlignment="1" applyFont="1" applyNumberFormat="1">
      <alignment horizontal="right" readingOrder="0"/>
    </xf>
    <xf borderId="0" fillId="0" fontId="7" numFmtId="49" xfId="0" applyAlignment="1" applyFont="1" applyNumberFormat="1">
      <alignment horizontal="center" readingOrder="0"/>
    </xf>
    <xf borderId="0" fillId="0" fontId="19" numFmtId="49" xfId="0" applyAlignment="1" applyFont="1" applyNumberFormat="1">
      <alignment horizontal="center" readingOrder="0"/>
    </xf>
    <xf borderId="0" fillId="9" fontId="20" numFmtId="164" xfId="0" applyAlignment="1" applyFont="1" applyNumberFormat="1">
      <alignment horizontal="right" readingOrder="0"/>
    </xf>
    <xf borderId="0" fillId="0" fontId="1" numFmtId="9" xfId="0" applyAlignment="1" applyFont="1" applyNumberFormat="1">
      <alignment readingOrder="0"/>
    </xf>
    <xf borderId="0" fillId="0" fontId="12" numFmtId="164" xfId="0" applyFont="1" applyNumberFormat="1"/>
    <xf borderId="0" fillId="0" fontId="2" numFmtId="9" xfId="0" applyFont="1" applyNumberFormat="1"/>
    <xf borderId="0" fillId="0" fontId="12" numFmtId="164" xfId="0" applyAlignment="1" applyFont="1" applyNumberFormat="1">
      <alignment horizontal="right" readingOrder="0"/>
    </xf>
    <xf borderId="0" fillId="0" fontId="1" numFmtId="9" xfId="0" applyAlignment="1" applyFont="1" applyNumberFormat="1">
      <alignment horizontal="right" readingOrder="0"/>
    </xf>
    <xf borderId="0" fillId="0" fontId="21" numFmtId="9" xfId="0" applyAlignment="1" applyFont="1" applyNumberFormat="1">
      <alignment readingOrder="0"/>
    </xf>
    <xf borderId="0" fillId="0" fontId="0" numFmtId="164" xfId="0" applyAlignment="1" applyFont="1" applyNumberFormat="1">
      <alignment readingOrder="0"/>
    </xf>
    <xf borderId="0" fillId="0" fontId="0" numFmtId="49" xfId="0" applyAlignment="1" applyFont="1" applyNumberFormat="1">
      <alignment readingOrder="0"/>
    </xf>
  </cellXfs>
  <cellStyles count="1">
    <cellStyle xfId="0" name="Normal" builtinId="0"/>
  </cellStyles>
  <dxfs count="8">
    <dxf>
      <font>
        <color rgb="FFFF0000"/>
      </font>
      <fill>
        <patternFill patternType="none"/>
      </fill>
      <border/>
    </dxf>
    <dxf>
      <font/>
      <fill>
        <patternFill patternType="solid">
          <fgColor rgb="FFDED5BA"/>
          <bgColor rgb="FFDED5BA"/>
        </patternFill>
      </fill>
      <border/>
    </dxf>
    <dxf>
      <font>
        <color rgb="FFE69138"/>
      </font>
      <fill>
        <patternFill patternType="none"/>
      </fill>
      <border/>
    </dxf>
    <dxf>
      <font/>
      <fill>
        <patternFill patternType="solid">
          <fgColor rgb="FFB7E1CD"/>
          <bgColor rgb="FFB7E1CD"/>
        </patternFill>
      </fill>
      <border/>
    </dxf>
    <dxf>
      <font/>
      <fill>
        <patternFill patternType="solid">
          <fgColor rgb="FFFCE5CD"/>
          <bgColor rgb="FFFCE5CD"/>
        </patternFill>
      </fill>
      <border/>
    </dxf>
    <dxf>
      <font/>
      <fill>
        <patternFill patternType="solid">
          <fgColor rgb="FFA2C4C9"/>
          <bgColor rgb="FFA2C4C9"/>
        </patternFill>
      </fill>
      <border/>
    </dxf>
    <dxf>
      <font>
        <color rgb="FFD0E0E3"/>
      </font>
      <fill>
        <patternFill patternType="none"/>
      </fill>
      <border/>
    </dxf>
    <dxf>
      <font>
        <color rgb="FF000000"/>
      </font>
      <fill>
        <patternFill patternType="solid">
          <fgColor rgb="FFD0E0E3"/>
          <bgColor rgb="FFD0E0E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us.etrade.com/etx/sp/stockplan" TargetMode="External"/><Relationship Id="rId3" Type="http://schemas.openxmlformats.org/officeDocument/2006/relationships/hyperlink" Target="https://us.etrade.com/e/t/accounts/txnhistory" TargetMode="External"/><Relationship Id="rId4" Type="http://schemas.openxmlformats.org/officeDocument/2006/relationships/hyperlink" Target="https://github.com/hickeng/financial/releases/tag/v0.1.0"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14.0"/>
    <col customWidth="1" min="4" max="4" width="21.25"/>
    <col customWidth="1" min="5" max="5" width="14.0"/>
    <col customWidth="1" min="6" max="6" width="11.63"/>
    <col customWidth="1" min="7" max="7" width="13.38"/>
    <col customWidth="1" min="8" max="8" width="18.0"/>
    <col customWidth="1" min="9" max="9" width="9.25"/>
    <col customWidth="1" min="10" max="10" width="20.38"/>
    <col customWidth="1" min="11" max="11" width="28.63"/>
  </cols>
  <sheetData>
    <row r="1">
      <c r="A1" s="1" t="s">
        <v>0</v>
      </c>
      <c r="B1" s="2"/>
      <c r="C1" s="3" t="s">
        <v>1</v>
      </c>
      <c r="D1" s="2"/>
      <c r="E1" s="4"/>
      <c r="F1" s="2"/>
      <c r="G1" s="2"/>
      <c r="H1" s="2"/>
      <c r="I1" s="2"/>
      <c r="J1" s="2"/>
      <c r="K1" s="2"/>
      <c r="L1" s="2"/>
      <c r="M1" s="2"/>
      <c r="N1" s="2"/>
      <c r="O1" s="2"/>
      <c r="P1" s="2"/>
    </row>
    <row r="2">
      <c r="A2" s="5" t="s">
        <v>2</v>
      </c>
      <c r="B2" s="2"/>
      <c r="C2" s="6" t="s">
        <v>3</v>
      </c>
      <c r="D2" s="7"/>
      <c r="E2" s="2"/>
      <c r="F2" s="2"/>
      <c r="G2" s="2"/>
      <c r="H2" s="2"/>
      <c r="I2" s="2"/>
      <c r="J2" s="2"/>
      <c r="K2" s="2"/>
      <c r="L2" s="2"/>
      <c r="M2" s="2"/>
      <c r="N2" s="2"/>
      <c r="O2" s="2"/>
      <c r="P2" s="2"/>
    </row>
    <row r="3">
      <c r="A3" s="8" t="s">
        <v>4</v>
      </c>
      <c r="B3" s="2"/>
      <c r="C3" s="9" t="s">
        <v>5</v>
      </c>
      <c r="D3" s="7"/>
      <c r="E3" s="2"/>
      <c r="F3" s="2"/>
      <c r="G3" s="2"/>
      <c r="H3" s="2"/>
      <c r="I3" s="2"/>
      <c r="J3" s="2"/>
      <c r="K3" s="2"/>
      <c r="L3" s="2"/>
      <c r="M3" s="2"/>
      <c r="N3" s="2"/>
      <c r="O3" s="2"/>
      <c r="P3" s="2"/>
    </row>
    <row r="4">
      <c r="A4" s="10" t="s">
        <v>6</v>
      </c>
      <c r="B4" s="2"/>
      <c r="C4" s="11" t="s">
        <v>7</v>
      </c>
      <c r="D4" s="7"/>
      <c r="E4" s="2"/>
      <c r="F4" s="2"/>
      <c r="G4" s="2"/>
      <c r="H4" s="2"/>
      <c r="I4" s="2"/>
      <c r="J4" s="2"/>
      <c r="K4" s="2"/>
      <c r="L4" s="2"/>
      <c r="M4" s="2"/>
      <c r="N4" s="2"/>
      <c r="O4" s="2"/>
      <c r="P4" s="2"/>
    </row>
    <row r="5">
      <c r="A5" s="12" t="s">
        <v>8</v>
      </c>
      <c r="B5" s="2"/>
      <c r="C5" s="7"/>
      <c r="D5" s="6" t="s">
        <v>9</v>
      </c>
      <c r="E5" s="2"/>
      <c r="F5" s="2"/>
      <c r="G5" s="2"/>
      <c r="H5" s="2"/>
      <c r="I5" s="2"/>
      <c r="J5" s="2"/>
      <c r="K5" s="2"/>
      <c r="L5" s="2"/>
      <c r="M5" s="2"/>
      <c r="N5" s="2"/>
      <c r="O5" s="2"/>
      <c r="P5" s="2"/>
    </row>
    <row r="6">
      <c r="A6" s="13" t="s">
        <v>10</v>
      </c>
      <c r="B6" s="2"/>
      <c r="C6" s="7"/>
      <c r="D6" s="6" t="s">
        <v>11</v>
      </c>
      <c r="E6" s="2"/>
      <c r="F6" s="2"/>
      <c r="G6" s="2"/>
      <c r="H6" s="2"/>
      <c r="I6" s="2"/>
      <c r="J6" s="2"/>
      <c r="K6" s="2"/>
      <c r="L6" s="2"/>
      <c r="M6" s="2"/>
      <c r="N6" s="2"/>
      <c r="O6" s="2"/>
      <c r="P6" s="2"/>
    </row>
    <row r="7">
      <c r="A7" s="14" t="s">
        <v>12</v>
      </c>
      <c r="B7" s="2"/>
      <c r="C7" s="7"/>
      <c r="D7" s="6" t="s">
        <v>13</v>
      </c>
      <c r="E7" s="2"/>
      <c r="F7" s="2"/>
      <c r="G7" s="2"/>
      <c r="H7" s="2"/>
      <c r="I7" s="2"/>
      <c r="J7" s="2"/>
      <c r="K7" s="2"/>
      <c r="L7" s="2"/>
      <c r="M7" s="2"/>
      <c r="N7" s="2"/>
      <c r="O7" s="2"/>
      <c r="P7" s="2"/>
    </row>
    <row r="8">
      <c r="A8" s="15" t="s">
        <v>14</v>
      </c>
      <c r="B8" s="2"/>
      <c r="C8" s="7"/>
      <c r="D8" s="6" t="s">
        <v>15</v>
      </c>
      <c r="E8" s="2"/>
      <c r="F8" s="2"/>
      <c r="G8" s="2"/>
      <c r="H8" s="2"/>
      <c r="I8" s="2"/>
      <c r="J8" s="2"/>
      <c r="K8" s="2"/>
      <c r="L8" s="2"/>
      <c r="M8" s="2"/>
      <c r="N8" s="2"/>
      <c r="O8" s="2"/>
      <c r="P8" s="2"/>
    </row>
    <row r="9">
      <c r="A9" s="16" t="s">
        <v>16</v>
      </c>
      <c r="B9" s="2"/>
      <c r="C9" s="17" t="s">
        <v>17</v>
      </c>
      <c r="D9" s="7"/>
      <c r="E9" s="2"/>
      <c r="F9" s="2"/>
      <c r="G9" s="2"/>
      <c r="H9" s="2"/>
      <c r="I9" s="2"/>
      <c r="J9" s="2"/>
      <c r="K9" s="2"/>
      <c r="L9" s="2"/>
      <c r="M9" s="2"/>
      <c r="N9" s="2"/>
      <c r="O9" s="2"/>
      <c r="P9" s="2"/>
    </row>
    <row r="10">
      <c r="A10" s="18" t="s">
        <v>18</v>
      </c>
      <c r="B10" s="2"/>
      <c r="C10" s="19" t="s">
        <v>19</v>
      </c>
      <c r="D10" s="7"/>
      <c r="E10" s="2"/>
      <c r="F10" s="2"/>
      <c r="G10" s="2"/>
      <c r="H10" s="2"/>
      <c r="I10" s="2"/>
      <c r="J10" s="2"/>
      <c r="K10" s="2"/>
      <c r="L10" s="2"/>
      <c r="M10" s="2"/>
      <c r="N10" s="2"/>
      <c r="O10" s="2"/>
      <c r="P10" s="2"/>
    </row>
    <row r="11">
      <c r="A11" s="2"/>
      <c r="B11" s="2"/>
      <c r="C11" s="19" t="s">
        <v>20</v>
      </c>
      <c r="D11" s="7"/>
      <c r="E11" s="2"/>
      <c r="F11" s="2"/>
      <c r="G11" s="2"/>
      <c r="H11" s="2"/>
      <c r="I11" s="2"/>
      <c r="J11" s="2"/>
      <c r="K11" s="2"/>
      <c r="L11" s="2"/>
      <c r="M11" s="2"/>
      <c r="N11" s="2"/>
      <c r="O11" s="2"/>
      <c r="P11" s="2"/>
    </row>
    <row r="12">
      <c r="A12" s="20" t="s">
        <v>21</v>
      </c>
      <c r="B12" s="2"/>
      <c r="C12" s="19" t="s">
        <v>22</v>
      </c>
      <c r="D12" s="7"/>
      <c r="E12" s="2"/>
      <c r="F12" s="2"/>
      <c r="G12" s="2"/>
      <c r="H12" s="2"/>
      <c r="I12" s="2"/>
      <c r="J12" s="2"/>
      <c r="K12" s="2"/>
      <c r="L12" s="2"/>
      <c r="M12" s="2"/>
      <c r="N12" s="2"/>
      <c r="O12" s="2"/>
      <c r="P12" s="2"/>
    </row>
    <row r="13">
      <c r="A13" s="2"/>
      <c r="B13" s="2"/>
      <c r="C13" s="19" t="s">
        <v>23</v>
      </c>
      <c r="D13" s="7"/>
      <c r="E13" s="2"/>
      <c r="F13" s="2"/>
      <c r="G13" s="2"/>
      <c r="H13" s="2"/>
      <c r="I13" s="2"/>
      <c r="J13" s="2"/>
      <c r="K13" s="2"/>
      <c r="L13" s="2"/>
      <c r="M13" s="2"/>
      <c r="N13" s="2"/>
      <c r="O13" s="2"/>
      <c r="P13" s="2"/>
    </row>
    <row r="14">
      <c r="A14" s="2"/>
      <c r="B14" s="2"/>
      <c r="C14" s="7"/>
      <c r="D14" s="6" t="s">
        <v>24</v>
      </c>
      <c r="E14" s="2"/>
      <c r="F14" s="2"/>
      <c r="G14" s="2"/>
      <c r="H14" s="2"/>
      <c r="I14" s="2"/>
      <c r="J14" s="2"/>
      <c r="K14" s="2"/>
      <c r="L14" s="2"/>
      <c r="M14" s="2"/>
      <c r="N14" s="2"/>
      <c r="O14" s="2"/>
      <c r="P14" s="2"/>
    </row>
    <row r="15">
      <c r="A15" s="2"/>
      <c r="B15" s="2"/>
      <c r="C15" s="7"/>
      <c r="D15" s="6" t="s">
        <v>25</v>
      </c>
      <c r="E15" s="2"/>
      <c r="F15" s="2"/>
      <c r="G15" s="2"/>
      <c r="H15" s="2"/>
      <c r="I15" s="2"/>
      <c r="J15" s="2"/>
      <c r="K15" s="2"/>
      <c r="L15" s="2"/>
      <c r="M15" s="2"/>
      <c r="N15" s="2"/>
      <c r="O15" s="2"/>
      <c r="P15" s="2"/>
    </row>
    <row r="16">
      <c r="A16" s="2"/>
      <c r="B16" s="2"/>
      <c r="C16" s="7"/>
      <c r="D16" s="6" t="s">
        <v>26</v>
      </c>
      <c r="E16" s="2"/>
      <c r="F16" s="2"/>
      <c r="G16" s="2"/>
      <c r="H16" s="2"/>
      <c r="I16" s="2"/>
      <c r="J16" s="2"/>
      <c r="K16" s="2"/>
      <c r="L16" s="2"/>
      <c r="M16" s="2"/>
      <c r="N16" s="2"/>
      <c r="O16" s="2"/>
      <c r="P16" s="2"/>
    </row>
    <row r="17">
      <c r="A17" s="2"/>
      <c r="B17" s="2"/>
      <c r="C17" s="19" t="s">
        <v>27</v>
      </c>
      <c r="D17" s="7"/>
      <c r="E17" s="2"/>
      <c r="F17" s="2"/>
      <c r="G17" s="2"/>
      <c r="H17" s="2"/>
      <c r="I17" s="2"/>
      <c r="J17" s="2"/>
      <c r="K17" s="2"/>
      <c r="L17" s="2"/>
      <c r="M17" s="2"/>
      <c r="N17" s="2"/>
      <c r="O17" s="2"/>
      <c r="P17" s="2"/>
    </row>
    <row r="18">
      <c r="A18" s="2"/>
      <c r="B18" s="2"/>
      <c r="C18" s="7"/>
      <c r="D18" s="6" t="s">
        <v>28</v>
      </c>
      <c r="E18" s="2"/>
      <c r="F18" s="2"/>
      <c r="G18" s="2"/>
      <c r="H18" s="2"/>
      <c r="I18" s="2"/>
      <c r="J18" s="2"/>
      <c r="K18" s="2"/>
      <c r="L18" s="2"/>
      <c r="M18" s="2"/>
      <c r="N18" s="2"/>
      <c r="O18" s="2"/>
      <c r="P18" s="2"/>
    </row>
    <row r="19">
      <c r="A19" s="2"/>
      <c r="B19" s="2"/>
      <c r="C19" s="19" t="s">
        <v>29</v>
      </c>
      <c r="D19" s="7"/>
      <c r="E19" s="2"/>
      <c r="F19" s="2"/>
      <c r="G19" s="2"/>
      <c r="H19" s="2"/>
      <c r="I19" s="2"/>
      <c r="J19" s="2"/>
      <c r="K19" s="2"/>
      <c r="L19" s="2"/>
      <c r="M19" s="2"/>
      <c r="N19" s="2"/>
      <c r="O19" s="2"/>
      <c r="P19" s="2"/>
    </row>
    <row r="20">
      <c r="A20" s="2"/>
      <c r="B20" s="2"/>
      <c r="C20" s="19" t="s">
        <v>30</v>
      </c>
      <c r="D20" s="7"/>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21" t="s">
        <v>31</v>
      </c>
      <c r="B22" s="22"/>
      <c r="C22" s="2"/>
      <c r="D22" s="21" t="s">
        <v>32</v>
      </c>
      <c r="E22" s="23"/>
      <c r="F22" s="23"/>
      <c r="G22" s="23"/>
      <c r="H22" s="22"/>
      <c r="I22" s="2"/>
      <c r="J22" s="21" t="s">
        <v>33</v>
      </c>
      <c r="K22" s="23"/>
      <c r="L22" s="24"/>
      <c r="M22" s="24"/>
      <c r="N22" s="24"/>
      <c r="O22" s="24"/>
      <c r="P22" s="25"/>
    </row>
    <row r="23">
      <c r="A23" s="26"/>
      <c r="B23" s="27"/>
      <c r="C23" s="2"/>
      <c r="D23" s="28"/>
      <c r="E23" s="2"/>
      <c r="F23" s="2"/>
      <c r="G23" s="2"/>
      <c r="H23" s="29"/>
      <c r="I23" s="2"/>
      <c r="J23" s="28"/>
      <c r="K23" s="2"/>
      <c r="L23" s="2"/>
      <c r="M23" s="2"/>
      <c r="N23" s="2"/>
      <c r="O23" s="2"/>
      <c r="P23" s="29"/>
    </row>
    <row r="24">
      <c r="A24" s="30" t="s">
        <v>34</v>
      </c>
      <c r="B24" s="31"/>
      <c r="C24" s="2"/>
      <c r="D24" s="32" t="s">
        <v>35</v>
      </c>
      <c r="E24" s="33" t="s">
        <v>36</v>
      </c>
      <c r="F24" s="33" t="s">
        <v>37</v>
      </c>
      <c r="G24" s="34" t="s">
        <v>38</v>
      </c>
      <c r="H24" s="35" t="s">
        <v>39</v>
      </c>
      <c r="I24" s="2"/>
      <c r="J24" s="28"/>
      <c r="K24" s="2"/>
      <c r="L24" s="3" t="s">
        <v>40</v>
      </c>
      <c r="M24" s="36" t="s">
        <v>41</v>
      </c>
      <c r="N24" s="2"/>
      <c r="O24" s="2"/>
      <c r="P24" s="29"/>
    </row>
    <row r="25">
      <c r="A25" s="26" t="s">
        <v>42</v>
      </c>
      <c r="B25" s="37"/>
      <c r="C25" s="2"/>
      <c r="D25" s="38" t="s">
        <v>43</v>
      </c>
      <c r="E25" s="39" t="s">
        <v>44</v>
      </c>
      <c r="F25" s="40">
        <v>24.0</v>
      </c>
      <c r="G25" s="41"/>
      <c r="H25" s="42" t="s">
        <v>45</v>
      </c>
      <c r="I25" s="2"/>
      <c r="J25" s="26" t="s">
        <v>46</v>
      </c>
      <c r="K25" s="43" t="s">
        <v>47</v>
      </c>
      <c r="L25" s="44">
        <f>Reference!B18</f>
        <v>979.5</v>
      </c>
      <c r="M25" s="45">
        <v>123.45</v>
      </c>
      <c r="N25" s="2"/>
      <c r="O25" s="2"/>
      <c r="P25" s="29"/>
    </row>
    <row r="26">
      <c r="A26" s="46" t="s">
        <v>48</v>
      </c>
      <c r="B26" s="47"/>
      <c r="C26" s="2"/>
      <c r="D26" s="48" t="s">
        <v>49</v>
      </c>
      <c r="E26" s="49" t="s">
        <v>50</v>
      </c>
      <c r="F26" s="50">
        <v>1.0</v>
      </c>
      <c r="G26" s="51"/>
      <c r="H26" s="52" t="s">
        <v>51</v>
      </c>
      <c r="I26" s="2"/>
      <c r="J26" s="26" t="s">
        <v>52</v>
      </c>
      <c r="K26" s="43" t="s">
        <v>53</v>
      </c>
      <c r="L26" s="2"/>
      <c r="M26" s="2"/>
      <c r="N26" s="2"/>
      <c r="O26" s="2"/>
      <c r="P26" s="29"/>
    </row>
    <row r="27">
      <c r="A27" s="26"/>
      <c r="B27" s="52"/>
      <c r="C27" s="36"/>
      <c r="D27" s="48" t="s">
        <v>49</v>
      </c>
      <c r="E27" s="49" t="s">
        <v>50</v>
      </c>
      <c r="F27" s="50">
        <v>2.0</v>
      </c>
      <c r="G27" s="51"/>
      <c r="H27" s="52" t="s">
        <v>54</v>
      </c>
      <c r="I27" s="2"/>
      <c r="J27" s="26" t="s">
        <v>55</v>
      </c>
      <c r="K27" s="43" t="s">
        <v>56</v>
      </c>
      <c r="L27" s="2"/>
      <c r="M27" s="53"/>
      <c r="N27" s="2"/>
      <c r="O27" s="2"/>
      <c r="P27" s="29"/>
    </row>
    <row r="28">
      <c r="A28" s="54" t="s">
        <v>57</v>
      </c>
      <c r="B28" s="52"/>
      <c r="C28" s="36"/>
      <c r="D28" s="48" t="s">
        <v>49</v>
      </c>
      <c r="E28" s="49" t="s">
        <v>50</v>
      </c>
      <c r="F28" s="50">
        <v>16.0</v>
      </c>
      <c r="G28" s="51"/>
      <c r="H28" s="52" t="s">
        <v>58</v>
      </c>
      <c r="I28" s="2"/>
      <c r="J28" s="26" t="s">
        <v>59</v>
      </c>
      <c r="K28" s="43" t="s">
        <v>60</v>
      </c>
      <c r="L28" s="44">
        <f>Reference!B23</f>
        <v>904.79</v>
      </c>
      <c r="M28" s="45">
        <v>123.45</v>
      </c>
      <c r="N28" s="2"/>
      <c r="O28" s="2"/>
      <c r="P28" s="29"/>
    </row>
    <row r="29">
      <c r="A29" s="26" t="s">
        <v>61</v>
      </c>
      <c r="B29" s="55"/>
      <c r="C29" s="36"/>
      <c r="D29" s="48" t="s">
        <v>49</v>
      </c>
      <c r="E29" s="49" t="s">
        <v>50</v>
      </c>
      <c r="F29" s="50">
        <v>17.0</v>
      </c>
      <c r="G29" s="51"/>
      <c r="H29" s="52" t="s">
        <v>62</v>
      </c>
      <c r="I29" s="2"/>
      <c r="J29" s="26" t="s">
        <v>63</v>
      </c>
      <c r="K29" s="43" t="s">
        <v>64</v>
      </c>
      <c r="L29" s="2"/>
      <c r="M29" s="2"/>
      <c r="N29" s="2"/>
      <c r="O29" s="2"/>
      <c r="P29" s="29"/>
    </row>
    <row r="30">
      <c r="A30" s="26" t="s">
        <v>65</v>
      </c>
      <c r="B30" s="56"/>
      <c r="C30" s="36"/>
      <c r="D30" s="48"/>
      <c r="E30" s="49"/>
      <c r="F30" s="50"/>
      <c r="G30" s="57"/>
      <c r="H30" s="52"/>
      <c r="I30" s="2"/>
      <c r="J30" s="26"/>
      <c r="K30" s="53"/>
      <c r="L30" s="2"/>
      <c r="M30" s="2"/>
      <c r="N30" s="2"/>
      <c r="O30" s="2"/>
      <c r="P30" s="29"/>
    </row>
    <row r="31">
      <c r="A31" s="46" t="s">
        <v>66</v>
      </c>
      <c r="B31" s="58"/>
      <c r="C31" s="36"/>
      <c r="D31" s="59"/>
      <c r="E31" s="60"/>
      <c r="F31" s="60"/>
      <c r="G31" s="60"/>
      <c r="H31" s="61"/>
      <c r="I31" s="2"/>
      <c r="J31" s="26"/>
      <c r="K31" s="53"/>
      <c r="L31" s="2"/>
      <c r="M31" s="2"/>
      <c r="N31" s="2"/>
      <c r="O31" s="2"/>
      <c r="P31" s="29"/>
    </row>
    <row r="32">
      <c r="C32" s="36"/>
      <c r="D32" s="49"/>
      <c r="E32" s="49"/>
      <c r="F32" s="49"/>
      <c r="G32" s="62"/>
      <c r="H32" s="53"/>
      <c r="I32" s="2"/>
      <c r="J32" s="26" t="s">
        <v>67</v>
      </c>
      <c r="K32" s="45">
        <v>0.0</v>
      </c>
      <c r="L32" s="2"/>
      <c r="M32" s="2"/>
      <c r="N32" s="2"/>
      <c r="O32" s="2"/>
      <c r="P32" s="29"/>
    </row>
    <row r="33">
      <c r="C33" s="36"/>
      <c r="D33" s="36"/>
      <c r="E33" s="36"/>
      <c r="F33" s="36"/>
      <c r="G33" s="36"/>
      <c r="H33" s="2"/>
      <c r="I33" s="2"/>
      <c r="J33" s="26" t="s">
        <v>68</v>
      </c>
      <c r="K33" s="45">
        <v>0.0</v>
      </c>
      <c r="L33" s="2"/>
      <c r="M33" s="2"/>
      <c r="N33" s="2"/>
      <c r="O33" s="2"/>
      <c r="P33" s="29"/>
    </row>
    <row r="34">
      <c r="A34" s="2"/>
      <c r="B34" s="2"/>
      <c r="C34" s="36"/>
      <c r="D34" s="36"/>
      <c r="E34" s="36"/>
      <c r="F34" s="36"/>
      <c r="G34" s="36"/>
      <c r="H34" s="2"/>
      <c r="I34" s="2"/>
      <c r="J34" s="26" t="s">
        <v>69</v>
      </c>
      <c r="K34" s="45">
        <v>0.0</v>
      </c>
      <c r="L34" s="2"/>
      <c r="M34" s="2"/>
      <c r="N34" s="2"/>
      <c r="O34" s="2"/>
      <c r="P34" s="29"/>
    </row>
    <row r="35">
      <c r="A35" s="2"/>
      <c r="B35" s="2"/>
      <c r="C35" s="36"/>
      <c r="D35" s="36"/>
      <c r="E35" s="36"/>
      <c r="F35" s="36"/>
      <c r="G35" s="36"/>
      <c r="H35" s="2"/>
      <c r="I35" s="2"/>
      <c r="J35" s="26" t="s">
        <v>70</v>
      </c>
      <c r="K35" s="63" t="s">
        <v>71</v>
      </c>
      <c r="L35" s="3"/>
      <c r="M35" s="2"/>
      <c r="N35" s="2"/>
      <c r="O35" s="2"/>
      <c r="P35" s="29"/>
    </row>
    <row r="36">
      <c r="A36" s="21" t="s">
        <v>72</v>
      </c>
      <c r="B36" s="64"/>
      <c r="C36" s="64"/>
      <c r="D36" s="64"/>
      <c r="E36" s="64"/>
      <c r="F36" s="64"/>
      <c r="G36" s="23"/>
      <c r="H36" s="22"/>
      <c r="I36" s="2"/>
      <c r="J36" s="26" t="s">
        <v>73</v>
      </c>
      <c r="K36" s="63" t="s">
        <v>74</v>
      </c>
      <c r="L36" s="65">
        <f>SWITCH(K36, "By status", SWITCH(K35,"Single",Reference!B36,"Joint",Reference!C36,"Head of household",Reference!D36), "Custom",M36)</f>
        <v>13850</v>
      </c>
      <c r="M36" s="66"/>
      <c r="N36" s="53" t="s">
        <v>75</v>
      </c>
      <c r="O36" s="2"/>
      <c r="P36" s="29"/>
    </row>
    <row r="37">
      <c r="A37" s="28"/>
      <c r="B37" s="3"/>
      <c r="C37" s="67"/>
      <c r="D37" s="67"/>
      <c r="E37" s="67"/>
      <c r="F37" s="67"/>
      <c r="G37" s="2"/>
      <c r="H37" s="68"/>
      <c r="I37" s="2"/>
      <c r="J37" s="28"/>
      <c r="K37" s="2"/>
      <c r="L37" s="2"/>
      <c r="M37" s="2"/>
      <c r="N37" s="2"/>
      <c r="O37" s="2"/>
      <c r="P37" s="29"/>
    </row>
    <row r="38">
      <c r="A38" s="21" t="s">
        <v>76</v>
      </c>
      <c r="B38" s="69"/>
      <c r="C38" s="64"/>
      <c r="D38" s="64"/>
      <c r="E38" s="64"/>
      <c r="F38" s="64"/>
      <c r="G38" s="23"/>
      <c r="H38" s="29"/>
      <c r="I38" s="2"/>
      <c r="J38" s="46" t="s">
        <v>77</v>
      </c>
      <c r="K38" s="70" t="s">
        <v>78</v>
      </c>
      <c r="L38" s="71"/>
      <c r="M38" s="71"/>
      <c r="N38" s="71"/>
      <c r="O38" s="71"/>
      <c r="P38" s="68"/>
    </row>
    <row r="39">
      <c r="A39" s="2"/>
      <c r="B39" s="2"/>
      <c r="C39" s="2"/>
      <c r="D39" s="2"/>
      <c r="E39" s="2"/>
      <c r="F39" s="2"/>
      <c r="G39" s="2"/>
      <c r="H39" s="29"/>
      <c r="I39" s="2"/>
      <c r="J39" s="2"/>
      <c r="K39" s="2"/>
      <c r="L39" s="2"/>
      <c r="M39" s="2"/>
      <c r="N39" s="2"/>
      <c r="O39" s="2"/>
      <c r="P39" s="2"/>
      <c r="Q39" s="72"/>
      <c r="R39" s="72"/>
      <c r="T39" s="73"/>
    </row>
    <row r="40">
      <c r="A40" s="2"/>
      <c r="B40" s="67" t="s">
        <v>55</v>
      </c>
      <c r="C40" s="67" t="s">
        <v>79</v>
      </c>
      <c r="D40" s="67" t="s">
        <v>80</v>
      </c>
      <c r="E40" s="67" t="s">
        <v>81</v>
      </c>
      <c r="F40" s="67" t="s">
        <v>82</v>
      </c>
      <c r="G40" s="3" t="s">
        <v>83</v>
      </c>
      <c r="H40" s="29"/>
      <c r="I40" s="2"/>
      <c r="J40" s="2"/>
      <c r="K40" s="2"/>
      <c r="L40" s="2"/>
      <c r="M40" s="2"/>
      <c r="N40" s="2"/>
      <c r="O40" s="3"/>
      <c r="P40" s="3"/>
      <c r="R40" s="72"/>
    </row>
    <row r="41">
      <c r="A41" s="21" t="s">
        <v>84</v>
      </c>
      <c r="B41" s="74"/>
      <c r="C41" s="75">
        <f>MOD(SWITCH(K26, "Calculated",ESPP!T26+RSU!Q84, "Manual entries", ESPP!M26+RSU!I84),1)</f>
        <v>0</v>
      </c>
      <c r="D41" s="76"/>
      <c r="E41" s="76"/>
      <c r="F41" s="77">
        <f>ROUNDDOWN(SWITCH(K26, "Calculated",ESPP!T26+RSU!Q84, "Manual entries", ESPP!M26+RSU!I84))</f>
        <v>0</v>
      </c>
      <c r="G41" s="78"/>
      <c r="H41" s="29"/>
      <c r="I41" s="2"/>
      <c r="J41" s="2"/>
      <c r="K41" s="2"/>
      <c r="L41" s="2"/>
      <c r="M41" s="2"/>
      <c r="N41" s="2"/>
      <c r="O41" s="3"/>
      <c r="P41" s="2"/>
      <c r="T41" s="79"/>
    </row>
    <row r="42">
      <c r="A42" s="80" t="s">
        <v>85</v>
      </c>
      <c r="B42" s="81">
        <f>Reference!B31</f>
        <v>0</v>
      </c>
      <c r="C42" s="82">
        <f>ROUND(C41*Reference!B23,2)</f>
        <v>0</v>
      </c>
      <c r="D42" s="83">
        <f>ESPP!Y26+RSU!V84</f>
        <v>0</v>
      </c>
      <c r="E42" s="83">
        <f>ESPP!Z26+RSU!W84</f>
        <v>0</v>
      </c>
      <c r="F42" s="84">
        <f>F41*Reference!B18</f>
        <v>0</v>
      </c>
      <c r="G42" s="61"/>
      <c r="H42" s="29"/>
      <c r="I42" s="2"/>
      <c r="J42" s="2"/>
      <c r="K42" s="2"/>
      <c r="L42" s="2"/>
      <c r="M42" s="53" t="s">
        <v>86</v>
      </c>
      <c r="N42" s="2"/>
      <c r="O42" s="3"/>
      <c r="P42" s="2"/>
      <c r="R42" s="85"/>
      <c r="T42" s="79"/>
    </row>
    <row r="43">
      <c r="A43" s="28"/>
      <c r="B43" s="28"/>
      <c r="C43" s="2"/>
      <c r="G43" s="86"/>
      <c r="H43" s="29"/>
      <c r="I43" s="2"/>
      <c r="J43" s="2"/>
      <c r="K43" s="2"/>
      <c r="L43" s="2"/>
      <c r="M43" s="2"/>
      <c r="N43" s="2"/>
      <c r="O43" s="3"/>
      <c r="P43" s="2"/>
      <c r="Q43" s="87"/>
      <c r="R43" s="85"/>
      <c r="S43" s="79"/>
    </row>
    <row r="44">
      <c r="A44" s="88" t="s">
        <v>87</v>
      </c>
      <c r="B44" s="89"/>
      <c r="C44" s="90"/>
      <c r="D44" s="91">
        <f>RSU!Z84</f>
        <v>0</v>
      </c>
      <c r="E44" s="91">
        <f>RSU!AA84+ESPP!AE26</f>
        <v>0</v>
      </c>
      <c r="F44" s="92"/>
      <c r="G44" s="93">
        <f>ESPP!AD26</f>
        <v>0</v>
      </c>
      <c r="H44" s="29"/>
      <c r="I44" s="2"/>
      <c r="J44" s="2"/>
      <c r="K44" s="2"/>
      <c r="L44" s="2"/>
      <c r="M44" s="2"/>
      <c r="N44" s="2"/>
      <c r="O44" s="3"/>
      <c r="P44" s="2"/>
      <c r="R44" s="85"/>
      <c r="S44" s="79"/>
    </row>
    <row r="45">
      <c r="A45" s="2"/>
      <c r="B45" s="2"/>
      <c r="C45" s="2"/>
      <c r="D45" s="2"/>
      <c r="E45" s="2"/>
      <c r="F45" s="2"/>
      <c r="G45" s="2"/>
      <c r="H45" s="29"/>
      <c r="I45" s="2"/>
      <c r="J45" s="2"/>
      <c r="K45" s="2"/>
      <c r="L45" s="2"/>
      <c r="M45" s="2"/>
      <c r="N45" s="2"/>
      <c r="O45" s="2"/>
      <c r="P45" s="2"/>
    </row>
    <row r="46">
      <c r="A46" s="2"/>
      <c r="B46" s="2"/>
      <c r="C46" s="2"/>
      <c r="D46" s="2"/>
      <c r="E46" s="2"/>
      <c r="F46" s="2"/>
      <c r="G46" s="2"/>
      <c r="H46" s="29"/>
      <c r="I46" s="2"/>
      <c r="J46" s="2"/>
      <c r="K46" s="2"/>
      <c r="L46" s="2"/>
      <c r="M46" s="2"/>
      <c r="N46" s="2"/>
      <c r="O46" s="2"/>
      <c r="P46" s="2"/>
    </row>
    <row r="47">
      <c r="A47" s="2"/>
      <c r="B47" s="2"/>
      <c r="C47" s="2"/>
      <c r="D47" s="2"/>
      <c r="E47" s="2"/>
      <c r="F47" s="2"/>
      <c r="G47" s="2"/>
      <c r="H47" s="29"/>
      <c r="I47" s="2"/>
      <c r="J47" s="2"/>
      <c r="K47" s="2"/>
      <c r="L47" s="2"/>
      <c r="M47" s="2"/>
      <c r="N47" s="2"/>
      <c r="O47" s="2"/>
      <c r="P47" s="2"/>
    </row>
    <row r="48">
      <c r="A48" s="69" t="s">
        <v>88</v>
      </c>
      <c r="B48" s="94" t="s">
        <v>89</v>
      </c>
      <c r="C48" s="95" t="s">
        <v>90</v>
      </c>
      <c r="D48" s="96"/>
      <c r="E48" s="96"/>
      <c r="F48" s="96"/>
      <c r="G48" s="96"/>
      <c r="H48" s="97"/>
      <c r="I48" s="2"/>
      <c r="J48" s="2"/>
      <c r="K48" s="2"/>
      <c r="L48" s="2"/>
      <c r="M48" s="2"/>
      <c r="N48" s="2"/>
      <c r="O48" s="2"/>
      <c r="P48" s="2"/>
    </row>
    <row r="49">
      <c r="A49" s="2"/>
      <c r="B49" s="67"/>
      <c r="C49" s="98" t="s">
        <v>91</v>
      </c>
      <c r="D49" s="67"/>
      <c r="E49" s="67"/>
      <c r="F49" s="67"/>
      <c r="G49" s="2"/>
      <c r="H49" s="29"/>
      <c r="I49" s="2"/>
      <c r="J49" s="2"/>
      <c r="K49" s="2"/>
      <c r="L49" s="2"/>
      <c r="M49" s="2"/>
      <c r="N49" s="2"/>
      <c r="O49" s="2"/>
      <c r="P49" s="2"/>
    </row>
    <row r="50">
      <c r="A50" s="2"/>
      <c r="B50" s="67"/>
      <c r="C50" s="67"/>
      <c r="D50" s="67"/>
      <c r="E50" s="67"/>
      <c r="F50" s="67"/>
      <c r="G50" s="2"/>
      <c r="H50" s="29"/>
      <c r="I50" s="2"/>
      <c r="J50" s="2"/>
      <c r="K50" s="2"/>
      <c r="L50" s="2"/>
      <c r="M50" s="2"/>
      <c r="N50" s="2"/>
      <c r="O50" s="2"/>
      <c r="P50" s="2"/>
    </row>
    <row r="51">
      <c r="A51" s="28"/>
      <c r="B51" s="67" t="s">
        <v>92</v>
      </c>
      <c r="D51" s="67" t="s">
        <v>93</v>
      </c>
      <c r="F51" s="67" t="s">
        <v>94</v>
      </c>
      <c r="H51" s="29"/>
      <c r="I51" s="2"/>
      <c r="J51" s="2"/>
      <c r="K51" s="2"/>
      <c r="L51" s="2"/>
      <c r="M51" s="2"/>
      <c r="N51" s="2"/>
      <c r="O51" s="2"/>
      <c r="P51" s="2"/>
      <c r="Q51" s="2"/>
    </row>
    <row r="52">
      <c r="A52" s="80"/>
      <c r="B52" s="99" t="s">
        <v>95</v>
      </c>
      <c r="C52" s="100" t="s">
        <v>96</v>
      </c>
      <c r="D52" s="101" t="s">
        <v>97</v>
      </c>
      <c r="E52" s="102" t="s">
        <v>98</v>
      </c>
      <c r="F52" s="99" t="s">
        <v>99</v>
      </c>
      <c r="G52" s="102" t="s">
        <v>100</v>
      </c>
      <c r="H52" s="29"/>
      <c r="I52" s="2"/>
      <c r="J52" s="2"/>
      <c r="K52" s="2"/>
      <c r="L52" s="2"/>
      <c r="M52" s="2"/>
      <c r="N52" s="2"/>
      <c r="O52" s="2"/>
      <c r="P52" s="2"/>
      <c r="Q52" s="2"/>
    </row>
    <row r="53">
      <c r="A53" s="80" t="s">
        <v>101</v>
      </c>
      <c r="B53" s="103">
        <f>C54+C55</f>
        <v>0</v>
      </c>
      <c r="C53" s="104"/>
      <c r="D53" s="103">
        <f>1.1*G25</f>
        <v>0</v>
      </c>
      <c r="E53" s="105">
        <f>D53-G27</f>
        <v>0</v>
      </c>
      <c r="F53" s="106">
        <v>0.0</v>
      </c>
      <c r="G53" s="107">
        <f>B53-G27-F53</f>
        <v>0</v>
      </c>
      <c r="H53" s="29"/>
      <c r="I53" s="2"/>
      <c r="J53" s="2"/>
      <c r="K53" s="2"/>
      <c r="L53" s="2"/>
      <c r="M53" s="2"/>
      <c r="N53" s="2"/>
      <c r="O53" s="2"/>
      <c r="P53" s="2"/>
      <c r="Q53" s="2"/>
    </row>
    <row r="54">
      <c r="A54" s="80" t="s">
        <v>102</v>
      </c>
      <c r="B54" s="108"/>
      <c r="C54" s="109">
        <f>Reference!B57</f>
        <v>0</v>
      </c>
      <c r="D54" s="28"/>
      <c r="E54" s="29"/>
      <c r="F54" s="110"/>
      <c r="G54" s="86"/>
      <c r="H54" s="29"/>
      <c r="I54" s="2"/>
      <c r="J54" s="2"/>
      <c r="K54" s="2"/>
      <c r="L54" s="2"/>
      <c r="M54" s="2"/>
      <c r="N54" s="2"/>
      <c r="O54" s="2"/>
      <c r="P54" s="2"/>
      <c r="Q54" s="2"/>
    </row>
    <row r="55">
      <c r="A55" s="80" t="s">
        <v>103</v>
      </c>
      <c r="B55" s="108"/>
      <c r="C55" s="109">
        <f>Reference!B58</f>
        <v>0</v>
      </c>
      <c r="D55" s="28"/>
      <c r="E55" s="29"/>
      <c r="F55" s="110"/>
      <c r="G55" s="86"/>
      <c r="H55" s="29"/>
      <c r="I55" s="2"/>
      <c r="J55" s="2"/>
      <c r="K55" s="2"/>
      <c r="L55" s="2"/>
      <c r="M55" s="2"/>
      <c r="N55" s="2"/>
      <c r="O55" s="2"/>
      <c r="P55" s="2"/>
      <c r="Q55" s="2"/>
    </row>
    <row r="56">
      <c r="A56" s="80" t="s">
        <v>104</v>
      </c>
      <c r="B56" s="111">
        <f>Reference!B59</f>
        <v>0</v>
      </c>
      <c r="C56" s="104"/>
      <c r="D56" s="112">
        <f>0.9 * B56</f>
        <v>0</v>
      </c>
      <c r="E56" s="113">
        <f>D56-G29</f>
        <v>0</v>
      </c>
      <c r="F56" s="114">
        <v>0.0</v>
      </c>
      <c r="G56" s="115">
        <f>B56-G29-F56</f>
        <v>0</v>
      </c>
      <c r="H56" s="29"/>
      <c r="I56" s="2"/>
      <c r="J56" s="2"/>
      <c r="K56" s="2"/>
      <c r="L56" s="2"/>
      <c r="M56" s="2"/>
      <c r="N56" s="2"/>
      <c r="O56" s="2"/>
      <c r="P56" s="2"/>
      <c r="Q56" s="2"/>
    </row>
    <row r="57">
      <c r="A57" s="116" t="s">
        <v>105</v>
      </c>
      <c r="B57" s="111">
        <f>B53+B56</f>
        <v>0</v>
      </c>
      <c r="C57" s="117"/>
      <c r="D57" s="117">
        <f t="shared" ref="D57:G57" si="1">SUM(D53:D56)</f>
        <v>0</v>
      </c>
      <c r="E57" s="118">
        <f t="shared" si="1"/>
        <v>0</v>
      </c>
      <c r="F57" s="119">
        <f t="shared" si="1"/>
        <v>0</v>
      </c>
      <c r="G57" s="120">
        <f t="shared" si="1"/>
        <v>0</v>
      </c>
      <c r="H57" s="68"/>
      <c r="I57" s="2"/>
      <c r="J57" s="2"/>
      <c r="K57" s="2"/>
      <c r="L57" s="2"/>
      <c r="M57" s="2"/>
      <c r="N57" s="2"/>
      <c r="O57" s="2"/>
      <c r="P57" s="2"/>
      <c r="Q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c r="J59" s="2"/>
      <c r="K59" s="2"/>
      <c r="L59" s="2"/>
      <c r="M59" s="2"/>
      <c r="N59" s="2"/>
      <c r="O59" s="2"/>
      <c r="P59" s="2"/>
    </row>
    <row r="60">
      <c r="A60" s="2"/>
      <c r="B60" s="2"/>
      <c r="C60" s="2"/>
      <c r="D60" s="2"/>
      <c r="E60" s="4"/>
      <c r="F60" s="2"/>
      <c r="G60" s="2"/>
      <c r="H60" s="2"/>
      <c r="I60" s="2"/>
      <c r="J60" s="2"/>
      <c r="K60" s="2"/>
      <c r="L60" s="2"/>
      <c r="M60" s="2"/>
      <c r="N60" s="2"/>
      <c r="O60" s="2"/>
      <c r="P60" s="2"/>
    </row>
    <row r="65">
      <c r="B65" s="79"/>
      <c r="C65" s="79"/>
      <c r="D65" s="79"/>
    </row>
    <row r="69">
      <c r="C69" s="121"/>
      <c r="D69" s="121"/>
    </row>
    <row r="70">
      <c r="B70" s="122"/>
      <c r="C70" s="79"/>
      <c r="D70" s="79"/>
      <c r="E70" s="79"/>
      <c r="F70" s="79"/>
    </row>
    <row r="71">
      <c r="B71" s="79"/>
      <c r="C71" s="123"/>
    </row>
    <row r="72">
      <c r="B72" s="124"/>
      <c r="C72" s="122"/>
    </row>
    <row r="73">
      <c r="C73" s="79"/>
      <c r="D73" s="79"/>
      <c r="E73" s="122"/>
      <c r="F73" s="122"/>
    </row>
    <row r="74">
      <c r="C74" s="79"/>
      <c r="D74" s="79"/>
      <c r="E74" s="122"/>
      <c r="F74" s="122"/>
    </row>
    <row r="75">
      <c r="C75" s="125"/>
      <c r="D75" s="126"/>
      <c r="E75" s="127"/>
      <c r="F75" s="128"/>
    </row>
    <row r="76">
      <c r="B76" s="129"/>
      <c r="C76" s="79"/>
      <c r="D76" s="79"/>
      <c r="E76" s="79"/>
      <c r="F76" s="79"/>
    </row>
    <row r="77">
      <c r="B77" s="130"/>
      <c r="C77" s="79"/>
      <c r="D77" s="79"/>
      <c r="E77" s="79"/>
      <c r="F77" s="79"/>
    </row>
    <row r="78">
      <c r="B78" s="79"/>
      <c r="C78" s="79"/>
      <c r="D78" s="79"/>
      <c r="E78" s="79"/>
      <c r="F78" s="79"/>
    </row>
    <row r="79">
      <c r="B79" s="79"/>
      <c r="C79" s="79"/>
      <c r="D79" s="79"/>
      <c r="E79" s="79"/>
      <c r="F79" s="79"/>
    </row>
    <row r="80">
      <c r="B80" s="131"/>
      <c r="C80" s="79"/>
      <c r="D80" s="79"/>
      <c r="E80" s="79"/>
      <c r="F80" s="79"/>
    </row>
    <row r="81">
      <c r="B81" s="79"/>
      <c r="C81" s="79"/>
      <c r="D81" s="79"/>
      <c r="E81" s="79"/>
      <c r="F81" s="79"/>
    </row>
    <row r="82">
      <c r="C82" s="79"/>
      <c r="D82" s="79"/>
      <c r="E82" s="79"/>
      <c r="F82" s="79"/>
    </row>
    <row r="83">
      <c r="C83" s="79"/>
      <c r="D83" s="79"/>
      <c r="E83" s="79"/>
      <c r="F83" s="79"/>
    </row>
    <row r="84">
      <c r="B84" s="87"/>
      <c r="C84" s="79"/>
      <c r="D84" s="79"/>
      <c r="E84" s="79"/>
      <c r="F84" s="79"/>
    </row>
    <row r="85">
      <c r="B85" s="132"/>
      <c r="C85" s="79"/>
      <c r="D85" s="79"/>
      <c r="E85" s="79"/>
      <c r="F85" s="79"/>
    </row>
    <row r="86">
      <c r="C86" s="122"/>
      <c r="E86" s="79"/>
      <c r="F86" s="79"/>
    </row>
    <row r="87">
      <c r="B87" s="133"/>
      <c r="C87" s="122"/>
    </row>
    <row r="90">
      <c r="C90" s="122"/>
      <c r="D90" s="122"/>
      <c r="E90" s="122"/>
      <c r="F90" s="130"/>
      <c r="G90" s="130"/>
    </row>
    <row r="91">
      <c r="B91" s="79"/>
    </row>
    <row r="98">
      <c r="C98" s="72"/>
      <c r="D98" s="72"/>
      <c r="E98" s="134"/>
      <c r="F98" s="72"/>
    </row>
    <row r="99">
      <c r="C99" s="72"/>
      <c r="D99" s="72"/>
      <c r="E99" s="134"/>
      <c r="F99" s="72"/>
    </row>
    <row r="100">
      <c r="C100" s="135"/>
      <c r="D100" s="135"/>
      <c r="E100" s="79"/>
      <c r="F100" s="79"/>
    </row>
    <row r="101">
      <c r="C101" s="79"/>
      <c r="D101" s="79"/>
      <c r="E101" s="79"/>
      <c r="F101" s="122"/>
    </row>
    <row r="102">
      <c r="C102" s="79"/>
      <c r="D102" s="79"/>
      <c r="E102" s="79"/>
      <c r="F102" s="136"/>
    </row>
    <row r="103">
      <c r="C103" s="79"/>
      <c r="D103" s="79"/>
      <c r="E103" s="79"/>
      <c r="F103" s="136"/>
    </row>
  </sheetData>
  <mergeCells count="4">
    <mergeCell ref="C48:H48"/>
    <mergeCell ref="B51:C51"/>
    <mergeCell ref="D51:E51"/>
    <mergeCell ref="F51:G51"/>
  </mergeCells>
  <conditionalFormatting sqref="B29">
    <cfRule type="cellIs" dxfId="0" priority="1" operator="notEqual">
      <formula>B25+B26</formula>
    </cfRule>
  </conditionalFormatting>
  <conditionalFormatting sqref="B30">
    <cfRule type="containsBlanks" dxfId="1" priority="2">
      <formula>LEN(TRIM(B30))=0</formula>
    </cfRule>
  </conditionalFormatting>
  <conditionalFormatting sqref="B30">
    <cfRule type="expression" dxfId="0" priority="3">
      <formula>AND(EQ(K28, "eTrade"), NE(B30,C42))</formula>
    </cfRule>
  </conditionalFormatting>
  <conditionalFormatting sqref="B30">
    <cfRule type="expression" dxfId="2" priority="4">
      <formula>NE(K28,"eTrade")</formula>
    </cfRule>
  </conditionalFormatting>
  <conditionalFormatting sqref="B31">
    <cfRule type="cellIs" dxfId="0" priority="5" operator="notEqual">
      <formula>B42</formula>
    </cfRule>
  </conditionalFormatting>
  <conditionalFormatting sqref="G42">
    <cfRule type="notContainsBlanks" dxfId="3" priority="6">
      <formula>LEN(TRIM(G42))&gt;0</formula>
    </cfRule>
  </conditionalFormatting>
  <dataValidations>
    <dataValidation type="list" allowBlank="1" showErrorMessage="1" sqref="K27">
      <formula1>"Derived from calculated values,Derived from manual entries"</formula1>
    </dataValidation>
    <dataValidation type="list" allowBlank="1" showErrorMessage="1" sqref="K28">
      <formula1>"eTrade,Form 8937,Custom"</formula1>
    </dataValidation>
    <dataValidation type="decimal" operator="equal" allowBlank="1" showDropDown="1" sqref="B29">
      <formula1>B25+B26</formula1>
    </dataValidation>
    <dataValidation type="decimal" operator="equal" allowBlank="1" showDropDown="1" showInputMessage="1" prompt="Check at least one box to select a lot for the fraction to associate with" sqref="C41">
      <formula1>ESPP!V26+RSU!S84</formula1>
    </dataValidation>
    <dataValidation type="list" allowBlank="1" showErrorMessage="1" sqref="K36">
      <formula1>"By status,Custom"</formula1>
    </dataValidation>
    <dataValidation type="list" allowBlank="1" showErrorMessage="1" sqref="K26">
      <formula1>"Calculated,Manual entries"</formula1>
    </dataValidation>
    <dataValidation type="list" allowBlank="1" showErrorMessage="1" sqref="K29">
      <formula1>"pro-rata"</formula1>
    </dataValidation>
    <dataValidation type="list" allowBlank="1" showErrorMessage="1" sqref="K25">
      <formula1>"Mean,Close,High,Low,Custom"</formula1>
    </dataValidation>
    <dataValidation type="list" allowBlank="1" showErrorMessage="1" sqref="K35">
      <formula1>"Single,Joint,Head of household"</formula1>
    </dataValidation>
    <dataValidation type="list" allowBlank="1" showErrorMessage="1" sqref="K38">
      <formula1>"per-share"</formula1>
    </dataValidation>
  </dataValidations>
  <hyperlinks>
    <hyperlink r:id="rId2" location="/myAccount/stockPlanConfirmations" ref="C3"/>
    <hyperlink r:id="rId3" ref="C4"/>
    <hyperlink r:id="rId4" ref="A12"/>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8.13"/>
    <col customWidth="1" min="4" max="4" width="14.75"/>
    <col customWidth="1" min="5" max="5" width="19.25"/>
    <col customWidth="1" min="6" max="6" width="20.38"/>
    <col customWidth="1" min="7" max="7" width="16.88"/>
    <col customWidth="1" hidden="1" min="8" max="8" width="23.25"/>
    <col customWidth="1" min="9" max="9" width="20.0"/>
    <col customWidth="1" hidden="1" min="10" max="10" width="14.75"/>
    <col customWidth="1" hidden="1" min="11" max="11" width="11.63"/>
    <col customWidth="1" hidden="1" min="12" max="12" width="20.13"/>
    <col customWidth="1" min="13" max="13" width="24.38"/>
    <col customWidth="1" hidden="1" min="15" max="15" width="11.63"/>
    <col customWidth="1" hidden="1" min="16" max="17" width="28.0"/>
    <col customWidth="1" hidden="1" min="18" max="18" width="23.38"/>
    <col customWidth="1" hidden="1" min="19" max="19" width="21.0"/>
    <col customWidth="1" hidden="1" min="20" max="20" width="18.88"/>
    <col customWidth="1" hidden="1" min="21" max="21" width="23.75"/>
    <col hidden="1" min="22" max="22" width="12.63"/>
    <col customWidth="1" min="27" max="27" width="19.75"/>
    <col customWidth="1" min="28" max="28" width="23.38"/>
    <col customWidth="1" hidden="1" min="29" max="29" width="7.63"/>
    <col customWidth="1" min="30" max="30" width="19.88"/>
    <col customWidth="1" min="31" max="31" width="18.13"/>
  </cols>
  <sheetData>
    <row r="1">
      <c r="A1" s="137" t="s">
        <v>2</v>
      </c>
      <c r="N1" s="138"/>
      <c r="O1" s="72" t="s">
        <v>106</v>
      </c>
      <c r="AE1" s="138"/>
    </row>
    <row r="2">
      <c r="A2" s="139" t="s">
        <v>107</v>
      </c>
      <c r="B2" s="96"/>
      <c r="C2" s="96"/>
      <c r="D2" s="96"/>
      <c r="E2" s="96"/>
      <c r="F2" s="96"/>
      <c r="G2" s="96"/>
      <c r="H2" s="96"/>
      <c r="I2" s="96"/>
      <c r="J2" s="96"/>
      <c r="K2" s="96"/>
      <c r="L2" s="97"/>
      <c r="M2" s="140" t="s">
        <v>108</v>
      </c>
      <c r="N2" s="97"/>
      <c r="O2" s="141" t="s">
        <v>53</v>
      </c>
      <c r="P2" s="96"/>
      <c r="Q2" s="96"/>
      <c r="R2" s="96"/>
      <c r="S2" s="96"/>
      <c r="T2" s="96"/>
      <c r="U2" s="96"/>
      <c r="V2" s="142"/>
      <c r="W2" s="141" t="s">
        <v>109</v>
      </c>
      <c r="X2" s="96"/>
      <c r="Y2" s="96"/>
      <c r="Z2" s="97"/>
      <c r="AA2" s="143" t="s">
        <v>110</v>
      </c>
      <c r="AB2" s="96"/>
      <c r="AC2" s="96"/>
      <c r="AD2" s="96"/>
      <c r="AE2" s="97"/>
    </row>
    <row r="3">
      <c r="A3" s="144"/>
      <c r="B3" s="145" t="s">
        <v>111</v>
      </c>
      <c r="H3" s="146" t="s">
        <v>112</v>
      </c>
      <c r="I3" s="145" t="s">
        <v>113</v>
      </c>
      <c r="L3" s="138"/>
      <c r="M3" s="147" t="s">
        <v>114</v>
      </c>
      <c r="N3" s="148" t="s">
        <v>115</v>
      </c>
      <c r="O3" s="85" t="s">
        <v>116</v>
      </c>
      <c r="Q3" s="85" t="s">
        <v>117</v>
      </c>
      <c r="S3" s="122" t="s">
        <v>118</v>
      </c>
      <c r="T3" s="85" t="s">
        <v>119</v>
      </c>
      <c r="U3" s="85" t="s">
        <v>120</v>
      </c>
      <c r="V3" s="149"/>
      <c r="W3" s="145" t="s">
        <v>121</v>
      </c>
      <c r="X3" s="138"/>
      <c r="Y3" s="145" t="s">
        <v>122</v>
      </c>
      <c r="Z3" s="138"/>
      <c r="AA3" s="150" t="s">
        <v>123</v>
      </c>
      <c r="AE3" s="138"/>
    </row>
    <row r="4">
      <c r="A4" s="151" t="s">
        <v>124</v>
      </c>
      <c r="B4" s="152" t="s">
        <v>125</v>
      </c>
      <c r="C4" s="153" t="s">
        <v>126</v>
      </c>
      <c r="D4" s="154" t="s">
        <v>127</v>
      </c>
      <c r="E4" s="155" t="s">
        <v>128</v>
      </c>
      <c r="F4" s="153" t="s">
        <v>129</v>
      </c>
      <c r="G4" s="153" t="s">
        <v>130</v>
      </c>
      <c r="H4" s="156" t="s">
        <v>131</v>
      </c>
      <c r="I4" s="153" t="s">
        <v>132</v>
      </c>
      <c r="J4" s="153" t="s">
        <v>133</v>
      </c>
      <c r="K4" s="153" t="s">
        <v>134</v>
      </c>
      <c r="L4" s="151" t="s">
        <v>135</v>
      </c>
      <c r="M4" s="157" t="s">
        <v>136</v>
      </c>
      <c r="N4" s="158"/>
      <c r="O4" s="155" t="s">
        <v>137</v>
      </c>
      <c r="P4" s="159" t="s">
        <v>138</v>
      </c>
      <c r="Q4" s="155" t="s">
        <v>139</v>
      </c>
      <c r="R4" s="155" t="s">
        <v>140</v>
      </c>
      <c r="S4" s="155" t="s">
        <v>141</v>
      </c>
      <c r="T4" s="155" t="s">
        <v>142</v>
      </c>
      <c r="U4" s="155" t="s">
        <v>143</v>
      </c>
      <c r="V4" s="160" t="s">
        <v>144</v>
      </c>
      <c r="W4" s="161" t="s">
        <v>145</v>
      </c>
      <c r="X4" s="162" t="s">
        <v>76</v>
      </c>
      <c r="Y4" s="155" t="s">
        <v>146</v>
      </c>
      <c r="Z4" s="163" t="s">
        <v>147</v>
      </c>
      <c r="AA4" s="164" t="s">
        <v>148</v>
      </c>
      <c r="AB4" s="165" t="s">
        <v>149</v>
      </c>
      <c r="AC4" s="165" t="s">
        <v>150</v>
      </c>
      <c r="AD4" s="165" t="s">
        <v>151</v>
      </c>
      <c r="AE4" s="163" t="s">
        <v>152</v>
      </c>
    </row>
    <row r="5">
      <c r="A5" s="166">
        <f t="shared" ref="A5:A24" si="1">B5</f>
        <v>41122</v>
      </c>
      <c r="B5" s="167">
        <v>41122.0</v>
      </c>
      <c r="C5" s="168">
        <v>41305.0</v>
      </c>
      <c r="D5" s="169"/>
      <c r="E5" s="170">
        <v>89.0</v>
      </c>
      <c r="F5" s="170">
        <v>76.48</v>
      </c>
      <c r="G5" s="171"/>
      <c r="H5" s="172">
        <f t="shared" ref="H5:H24" si="2">D5*L5</f>
        <v>0</v>
      </c>
      <c r="I5" s="171">
        <v>0.0</v>
      </c>
      <c r="J5" s="172">
        <f t="shared" ref="J5:J24" si="3">I5+G5</f>
        <v>0</v>
      </c>
      <c r="K5" s="172">
        <f t="shared" ref="K5:K24" si="4">J5-H5</f>
        <v>0</v>
      </c>
      <c r="L5" s="173">
        <f t="shared" ref="L5:L11" si="5">0.85*MIN(E5,F5)</f>
        <v>65.008</v>
      </c>
      <c r="M5" s="174"/>
      <c r="N5" s="175" t="b">
        <v>0</v>
      </c>
      <c r="O5" s="172">
        <f>Reference!$B$4*Reference!$B$3*D5</f>
        <v>0</v>
      </c>
      <c r="P5" s="172">
        <f>iferror(LET(ratio, M5/(0.252*D5),(1-ratio) * Reference!$B$3 * D5),0)</f>
        <v>0</v>
      </c>
      <c r="Q5" s="172">
        <f>IF(C5&lt;Reference!$B$26,Reference!$C$26,0)</f>
        <v>10.18</v>
      </c>
      <c r="R5" s="172">
        <f>IF(C5&lt;Reference!$B$27,Reference!$C$27,0)</f>
        <v>16.87</v>
      </c>
      <c r="S5" s="172">
        <f t="shared" ref="S5:S24" si="6">(L5 /0.85)-Q5-R5</f>
        <v>49.43</v>
      </c>
      <c r="T5" s="176">
        <f>SWITCH(Summary!$K$26,"Calculated", D5*Reference!$B$5*Reference!$B$6, "Manual entries",M5)</f>
        <v>0</v>
      </c>
      <c r="U5" s="177">
        <f>MAX(SWITCH(Summary!$K$27,"Derived from calculated values",O5,"Derived from manual entries",P5)+(T5*Reference!$B$18)-(D5*S5),0)</f>
        <v>0</v>
      </c>
      <c r="V5" s="178">
        <f>IF(N5,Summary!$C$41/ ($N$26+RSU!J$84), 0)</f>
        <v>0</v>
      </c>
      <c r="W5" s="179">
        <f>IF(N5,(Reference!$B$23 - AA5) * V5, 0)</f>
        <v>0</v>
      </c>
      <c r="X5" s="180">
        <f t="shared" ref="X5:X24" si="7">MIN(O5,U5)</f>
        <v>0</v>
      </c>
      <c r="Y5" s="181">
        <f>IF(DATEDIF(C5,Reference!$B$28,"Y")&gt;=1,0,W5+X5)+iferror(((AD5/D5)*V5),0)</f>
        <v>0</v>
      </c>
      <c r="Z5" s="182">
        <f>IF(DATEDIF(C5,Reference!$B$28,"Y")&gt;=1,W5+X5,0)</f>
        <v>0</v>
      </c>
      <c r="AA5" s="183">
        <f>IFERROR(((S5*D5) - O5 + X5 + IF(AC5, 0, AD5))/SWITCH(Summary!$K$26, "Calculated", T5, "Manual entries", M5), 0)</f>
        <v>0</v>
      </c>
      <c r="AB5" s="184">
        <f>(Reference!$B$10-AA5)*((SWITCH(Summary!$K$26, "Calculated", T5, "Manual entries", M5)) - V5)</f>
        <v>0</v>
      </c>
      <c r="AC5" s="185" t="b">
        <f>AND(DATEDIF(B5,Reference!$B$29,"Y")&gt;=1, DATEDIF(A5, Reference!$B$29, "Y")&gt;=2)</f>
        <v>1</v>
      </c>
      <c r="AD5" s="184">
        <f t="shared" ref="AD5:AD24" si="8">IF(AC5,D5*0.15*MIN(E5,F5),D5*(F5-L5))</f>
        <v>0</v>
      </c>
      <c r="AE5" s="186">
        <f t="shared" ref="AE5:AE24" si="9">AB5</f>
        <v>0</v>
      </c>
    </row>
    <row r="6">
      <c r="A6" s="166">
        <f t="shared" si="1"/>
        <v>41306</v>
      </c>
      <c r="B6" s="167">
        <v>41306.0</v>
      </c>
      <c r="C6" s="168">
        <f t="shared" ref="C6:C8" si="10">DATE(YEAR(C5),MONTH(C5)+6,DAY(C5))</f>
        <v>41486</v>
      </c>
      <c r="D6" s="169"/>
      <c r="E6" s="170">
        <v>78.79</v>
      </c>
      <c r="F6" s="170">
        <v>82.19</v>
      </c>
      <c r="G6" s="171"/>
      <c r="H6" s="172">
        <f t="shared" si="2"/>
        <v>0</v>
      </c>
      <c r="I6" s="170">
        <f t="shared" ref="I6:I24" si="11">K5</f>
        <v>0</v>
      </c>
      <c r="J6" s="172">
        <f t="shared" si="3"/>
        <v>0</v>
      </c>
      <c r="K6" s="172">
        <f t="shared" si="4"/>
        <v>0</v>
      </c>
      <c r="L6" s="173">
        <f t="shared" si="5"/>
        <v>66.9715</v>
      </c>
      <c r="M6" s="174"/>
      <c r="N6" s="175" t="b">
        <v>0</v>
      </c>
      <c r="O6" s="172">
        <f>Reference!$B$4*Reference!$B$3*D6</f>
        <v>0</v>
      </c>
      <c r="P6" s="172">
        <f>iferror(LET(ratio, M6/(0.252*D6),(1-ratio) * Reference!$B$3 * D6),0)</f>
        <v>0</v>
      </c>
      <c r="Q6" s="172">
        <f>IF(C6&lt;Reference!$B$26,Reference!$C$26,0)</f>
        <v>10.18</v>
      </c>
      <c r="R6" s="172">
        <f>IF(C6&lt;Reference!$B$27,Reference!$C$27,0)</f>
        <v>16.87</v>
      </c>
      <c r="S6" s="172">
        <f t="shared" si="6"/>
        <v>51.74</v>
      </c>
      <c r="T6" s="176">
        <f>SWITCH(Summary!$K$26,"Calculated", D6*Reference!$B$5*Reference!$B$6, "Manual entries",M6)</f>
        <v>0</v>
      </c>
      <c r="U6" s="177">
        <f>MAX(SWITCH(Summary!$K$27,"Derived from calculated values",O6,"Derived from manual entries",P6)+(T6*Reference!$B$18)-(D6*S6),0)</f>
        <v>0</v>
      </c>
      <c r="V6" s="178">
        <f>IF(N6,Summary!$C$41/ ($N$26+RSU!J$84), 0)</f>
        <v>0</v>
      </c>
      <c r="W6" s="179">
        <f>IF(N6,(Reference!$B$23 - AA6) * V6, 0)</f>
        <v>0</v>
      </c>
      <c r="X6" s="180">
        <f t="shared" si="7"/>
        <v>0</v>
      </c>
      <c r="Y6" s="181">
        <f>IF(DATEDIF(C6,Reference!$B$28,"Y")&gt;=1,0,W6+X6)+iferror(((AD6/D6)*V6),0)</f>
        <v>0</v>
      </c>
      <c r="Z6" s="182">
        <f>IF(DATEDIF(C6,Reference!$B$28,"Y")&gt;=1,W6+X6,0)</f>
        <v>0</v>
      </c>
      <c r="AA6" s="183">
        <f>IFERROR(((S6*D6) - O6 + X6 + IF(AC6, 0, AD6))/SWITCH(Summary!$K$26, "Calculated", T6, "Manual entries", M6), 0)</f>
        <v>0</v>
      </c>
      <c r="AB6" s="184">
        <f>(Reference!$B$10-AA6)*((SWITCH(Summary!$K$26, "Calculated", T6, "Manual entries", M6)) - V6)</f>
        <v>0</v>
      </c>
      <c r="AC6" s="185" t="b">
        <f>AND(DATEDIF(B6,Reference!$B$29,"Y")&gt;=1, DATEDIF(A6, Reference!$B$29, "Y")&gt;=2)</f>
        <v>1</v>
      </c>
      <c r="AD6" s="184">
        <f t="shared" si="8"/>
        <v>0</v>
      </c>
      <c r="AE6" s="186">
        <f t="shared" si="9"/>
        <v>0</v>
      </c>
    </row>
    <row r="7">
      <c r="A7" s="166">
        <f t="shared" si="1"/>
        <v>41487</v>
      </c>
      <c r="B7" s="167">
        <v>41487.0</v>
      </c>
      <c r="C7" s="168">
        <f t="shared" si="10"/>
        <v>41670</v>
      </c>
      <c r="D7" s="169"/>
      <c r="E7" s="170">
        <v>82.1</v>
      </c>
      <c r="F7" s="170">
        <v>90.14</v>
      </c>
      <c r="G7" s="171"/>
      <c r="H7" s="172">
        <f t="shared" si="2"/>
        <v>0</v>
      </c>
      <c r="I7" s="170">
        <f t="shared" si="11"/>
        <v>0</v>
      </c>
      <c r="J7" s="172">
        <f t="shared" si="3"/>
        <v>0</v>
      </c>
      <c r="K7" s="172">
        <f t="shared" si="4"/>
        <v>0</v>
      </c>
      <c r="L7" s="173">
        <f t="shared" si="5"/>
        <v>69.785</v>
      </c>
      <c r="M7" s="174"/>
      <c r="N7" s="175" t="b">
        <v>0</v>
      </c>
      <c r="O7" s="172">
        <f>Reference!$B$4*Reference!$B$3*D7</f>
        <v>0</v>
      </c>
      <c r="P7" s="172">
        <f>iferror(LET(ratio, M7/(0.252*D7),(1-ratio) * Reference!$B$3 * D7),0)</f>
        <v>0</v>
      </c>
      <c r="Q7" s="172">
        <f>IF(C7&lt;Reference!$B$26,Reference!$C$26,0)</f>
        <v>10.18</v>
      </c>
      <c r="R7" s="172">
        <f>IF(C7&lt;Reference!$B$27,Reference!$C$27,0)</f>
        <v>16.87</v>
      </c>
      <c r="S7" s="172">
        <f t="shared" si="6"/>
        <v>55.05</v>
      </c>
      <c r="T7" s="176">
        <f>SWITCH(Summary!$K$26,"Calculated", D7*Reference!$B$5*Reference!$B$6, "Manual entries",M7)</f>
        <v>0</v>
      </c>
      <c r="U7" s="177">
        <f>MAX(SWITCH(Summary!$K$27,"Derived from calculated values",O7,"Derived from manual entries",P7)+(T7*Reference!$B$18)-(D7*S7),0)</f>
        <v>0</v>
      </c>
      <c r="V7" s="178">
        <f>IF(N7,Summary!$C$41/ ($N$26+RSU!J$84), 0)</f>
        <v>0</v>
      </c>
      <c r="W7" s="179">
        <f>IF(N7,(Reference!$B$23 - AA7) * V7, 0)</f>
        <v>0</v>
      </c>
      <c r="X7" s="180">
        <f t="shared" si="7"/>
        <v>0</v>
      </c>
      <c r="Y7" s="181">
        <f>IF(DATEDIF(C7,Reference!$B$28,"Y")&gt;=1,0,W7+X7)+iferror(((AD7/D7)*V7),0)</f>
        <v>0</v>
      </c>
      <c r="Z7" s="182">
        <f>IF(DATEDIF(C7,Reference!$B$28,"Y")&gt;=1,W7+X7,0)</f>
        <v>0</v>
      </c>
      <c r="AA7" s="183">
        <f>IFERROR(((S7*D7) - O7 + X7 + IF(AC7, 0, AD7))/SWITCH(Summary!$K$26, "Calculated", T7, "Manual entries", M7), 0)</f>
        <v>0</v>
      </c>
      <c r="AB7" s="184">
        <f>(Reference!$B$10-AA7)*((SWITCH(Summary!$K$26, "Calculated", T7, "Manual entries", M7)) - V7)</f>
        <v>0</v>
      </c>
      <c r="AC7" s="185" t="b">
        <f>AND(DATEDIF(B7,Reference!$B$29,"Y")&gt;=1, DATEDIF(A7, Reference!$B$29, "Y")&gt;=2)</f>
        <v>1</v>
      </c>
      <c r="AD7" s="184">
        <f t="shared" si="8"/>
        <v>0</v>
      </c>
      <c r="AE7" s="186">
        <f t="shared" si="9"/>
        <v>0</v>
      </c>
    </row>
    <row r="8">
      <c r="A8" s="166">
        <f t="shared" si="1"/>
        <v>41671</v>
      </c>
      <c r="B8" s="167">
        <v>41671.0</v>
      </c>
      <c r="C8" s="168">
        <f t="shared" si="10"/>
        <v>41851</v>
      </c>
      <c r="D8" s="169"/>
      <c r="E8" s="170">
        <v>90.14</v>
      </c>
      <c r="F8" s="170">
        <v>99.36</v>
      </c>
      <c r="G8" s="171"/>
      <c r="H8" s="172">
        <f t="shared" si="2"/>
        <v>0</v>
      </c>
      <c r="I8" s="170">
        <f t="shared" si="11"/>
        <v>0</v>
      </c>
      <c r="J8" s="172">
        <f t="shared" si="3"/>
        <v>0</v>
      </c>
      <c r="K8" s="172">
        <f t="shared" si="4"/>
        <v>0</v>
      </c>
      <c r="L8" s="173">
        <f t="shared" si="5"/>
        <v>76.619</v>
      </c>
      <c r="M8" s="174"/>
      <c r="N8" s="175" t="b">
        <v>0</v>
      </c>
      <c r="O8" s="172">
        <f>Reference!$B$4*Reference!$B$3*D8</f>
        <v>0</v>
      </c>
      <c r="P8" s="172">
        <f>iferror(LET(ratio, M8/(0.252*D8),(1-ratio) * Reference!$B$3 * D8),0)</f>
        <v>0</v>
      </c>
      <c r="Q8" s="172">
        <f>IF(C8&lt;Reference!$B$26,Reference!$C$26,0)</f>
        <v>10.18</v>
      </c>
      <c r="R8" s="172">
        <f>IF(C8&lt;Reference!$B$27,Reference!$C$27,0)</f>
        <v>16.87</v>
      </c>
      <c r="S8" s="172">
        <f t="shared" si="6"/>
        <v>63.09</v>
      </c>
      <c r="T8" s="176">
        <f>SWITCH(Summary!$K$26,"Calculated", D8*Reference!$B$5*Reference!$B$6, "Manual entries",M8)</f>
        <v>0</v>
      </c>
      <c r="U8" s="177">
        <f>MAX(SWITCH(Summary!$K$27,"Derived from calculated values",O8,"Derived from manual entries",P8)+(T8*Reference!$B$18)-(D8*S8),0)</f>
        <v>0</v>
      </c>
      <c r="V8" s="178">
        <f>IF(N8,Summary!$C$41/ ($N$26+RSU!J$84), 0)</f>
        <v>0</v>
      </c>
      <c r="W8" s="179">
        <f>IF(N8,(Reference!$B$23 - AA8) * V8, 0)</f>
        <v>0</v>
      </c>
      <c r="X8" s="180">
        <f t="shared" si="7"/>
        <v>0</v>
      </c>
      <c r="Y8" s="181">
        <f>IF(DATEDIF(C8,Reference!$B$28,"Y")&gt;=1,0,W8+X8)+iferror(((AD8/D8)*V8),0)</f>
        <v>0</v>
      </c>
      <c r="Z8" s="182">
        <f>IF(DATEDIF(C8,Reference!$B$28,"Y")&gt;=1,W8+X8,0)</f>
        <v>0</v>
      </c>
      <c r="AA8" s="183">
        <f>IFERROR(((S8*D8) - O8 + X8 + IF(AC8, 0, AD8))/SWITCH(Summary!$K$26, "Calculated", T8, "Manual entries", M8), 0)</f>
        <v>0</v>
      </c>
      <c r="AB8" s="184">
        <f>(Reference!$B$10-AA8)*((SWITCH(Summary!$K$26, "Calculated", T8, "Manual entries", M8)) - V8)</f>
        <v>0</v>
      </c>
      <c r="AC8" s="185" t="b">
        <f>AND(DATEDIF(B8,Reference!$B$29,"Y")&gt;=1, DATEDIF(A8, Reference!$B$29, "Y")&gt;=2)</f>
        <v>1</v>
      </c>
      <c r="AD8" s="184">
        <f t="shared" si="8"/>
        <v>0</v>
      </c>
      <c r="AE8" s="186">
        <f t="shared" si="9"/>
        <v>0</v>
      </c>
    </row>
    <row r="9">
      <c r="A9" s="166">
        <f t="shared" si="1"/>
        <v>41852</v>
      </c>
      <c r="B9" s="167">
        <v>41852.0</v>
      </c>
      <c r="C9" s="168">
        <v>42035.0</v>
      </c>
      <c r="D9" s="169"/>
      <c r="E9" s="170">
        <v>98.33</v>
      </c>
      <c r="F9" s="170">
        <v>77.1</v>
      </c>
      <c r="G9" s="171"/>
      <c r="H9" s="172">
        <f t="shared" si="2"/>
        <v>0</v>
      </c>
      <c r="I9" s="170">
        <f t="shared" si="11"/>
        <v>0</v>
      </c>
      <c r="J9" s="172">
        <f t="shared" si="3"/>
        <v>0</v>
      </c>
      <c r="K9" s="172">
        <f t="shared" si="4"/>
        <v>0</v>
      </c>
      <c r="L9" s="173">
        <f t="shared" si="5"/>
        <v>65.535</v>
      </c>
      <c r="M9" s="187"/>
      <c r="N9" s="188" t="b">
        <v>0</v>
      </c>
      <c r="O9" s="172">
        <f>Reference!$B$4*Reference!$B$3*D9</f>
        <v>0</v>
      </c>
      <c r="P9" s="172">
        <f>iferror(LET(ratio, M9/(0.252*D9),(1-ratio) * Reference!$B$3 * D9),0)</f>
        <v>0</v>
      </c>
      <c r="Q9" s="172">
        <f>IF(C9&lt;Reference!$B$26,Reference!$C$26,0)</f>
        <v>10.18</v>
      </c>
      <c r="R9" s="172">
        <f>IF(C9&lt;Reference!$B$27,Reference!$C$27,0)</f>
        <v>16.87</v>
      </c>
      <c r="S9" s="172">
        <f t="shared" si="6"/>
        <v>50.05</v>
      </c>
      <c r="T9" s="176">
        <f>SWITCH(Summary!$K$26,"Calculated", D9*Reference!$B$5*Reference!$B$6, "Manual entries",M9)</f>
        <v>0</v>
      </c>
      <c r="U9" s="177">
        <f>MAX(SWITCH(Summary!$K$27,"Derived from calculated values",O9,"Derived from manual entries",P9)+(T9*Reference!$B$18)-(D9*S9),0)</f>
        <v>0</v>
      </c>
      <c r="V9" s="178">
        <f>IF(N9,Summary!$C$41/ ($N$26+RSU!J$84), 0)</f>
        <v>0</v>
      </c>
      <c r="W9" s="179">
        <f>IF(N9,(Reference!$B$23 - AA9) * V9, 0)</f>
        <v>0</v>
      </c>
      <c r="X9" s="180">
        <f t="shared" si="7"/>
        <v>0</v>
      </c>
      <c r="Y9" s="181">
        <f>IF(DATEDIF(C9,Reference!$B$28,"Y")&gt;=1,0,W9+X9)+iferror(((AD9/D9)*V9),0)</f>
        <v>0</v>
      </c>
      <c r="Z9" s="182">
        <f>IF(DATEDIF(C9,Reference!$B$28,"Y")&gt;=1,W9+X9,0)</f>
        <v>0</v>
      </c>
      <c r="AA9" s="183">
        <f>IFERROR(((S9*D9) - O9 + X9 + IF(AC9, 0, AD9))/SWITCH(Summary!$K$26, "Calculated", T9, "Manual entries", M9), 0)</f>
        <v>0</v>
      </c>
      <c r="AB9" s="184">
        <f>(Reference!$B$10-AA9)*((SWITCH(Summary!$K$26, "Calculated", T9, "Manual entries", M9)) - V9)</f>
        <v>0</v>
      </c>
      <c r="AC9" s="185" t="b">
        <f>AND(DATEDIF(B9,Reference!$B$29,"Y")&gt;=1, DATEDIF(A9, Reference!$B$29, "Y")&gt;=2)</f>
        <v>1</v>
      </c>
      <c r="AD9" s="184">
        <f t="shared" si="8"/>
        <v>0</v>
      </c>
      <c r="AE9" s="186">
        <f t="shared" si="9"/>
        <v>0</v>
      </c>
    </row>
    <row r="10">
      <c r="A10" s="166">
        <f t="shared" si="1"/>
        <v>42036</v>
      </c>
      <c r="B10" s="167">
        <v>42036.0</v>
      </c>
      <c r="C10" s="168">
        <f t="shared" ref="C10:C12" si="12">DATE(YEAR(C9),MONTH(C9)+6,DAY(C9))</f>
        <v>42216</v>
      </c>
      <c r="D10" s="169"/>
      <c r="E10" s="170">
        <v>77.1</v>
      </c>
      <c r="F10" s="170">
        <v>89.13</v>
      </c>
      <c r="G10" s="171"/>
      <c r="H10" s="172">
        <f t="shared" si="2"/>
        <v>0</v>
      </c>
      <c r="I10" s="170">
        <f t="shared" si="11"/>
        <v>0</v>
      </c>
      <c r="J10" s="172">
        <f t="shared" si="3"/>
        <v>0</v>
      </c>
      <c r="K10" s="172">
        <f t="shared" si="4"/>
        <v>0</v>
      </c>
      <c r="L10" s="173">
        <f t="shared" si="5"/>
        <v>65.535</v>
      </c>
      <c r="M10" s="174"/>
      <c r="N10" s="188" t="b">
        <v>0</v>
      </c>
      <c r="O10" s="172">
        <f>Reference!$B$4*Reference!$B$3*D10</f>
        <v>0</v>
      </c>
      <c r="P10" s="172">
        <f>iferror(LET(ratio, M10/(0.252*D10),(1-ratio) * Reference!$B$3 * D10),0)</f>
        <v>0</v>
      </c>
      <c r="Q10" s="172">
        <f>IF(C10&lt;Reference!$B$26,Reference!$C$26,0)</f>
        <v>10.18</v>
      </c>
      <c r="R10" s="172">
        <f>IF(C10&lt;Reference!$B$27,Reference!$C$27,0)</f>
        <v>16.87</v>
      </c>
      <c r="S10" s="172">
        <f t="shared" si="6"/>
        <v>50.05</v>
      </c>
      <c r="T10" s="176">
        <f>SWITCH(Summary!$K$26,"Calculated", D10*Reference!$B$5*Reference!$B$6, "Manual entries",M10)</f>
        <v>0</v>
      </c>
      <c r="U10" s="177">
        <f>MAX(SWITCH(Summary!$K$27,"Derived from calculated values",O10,"Derived from manual entries",P10)+(T10*Reference!$B$18)-(D10*S10),0)</f>
        <v>0</v>
      </c>
      <c r="V10" s="178">
        <f>IF(N10,Summary!$C$41/ ($N$26+RSU!J$84), 0)</f>
        <v>0</v>
      </c>
      <c r="W10" s="179">
        <f>IF(N10,(Reference!$B$23 - AA10) * V10, 0)</f>
        <v>0</v>
      </c>
      <c r="X10" s="180">
        <f t="shared" si="7"/>
        <v>0</v>
      </c>
      <c r="Y10" s="181">
        <f>IF(DATEDIF(C10,Reference!$B$28,"Y")&gt;=1,0,W10+X10)+iferror(((AD10/D10)*V10),0)</f>
        <v>0</v>
      </c>
      <c r="Z10" s="182">
        <f>IF(DATEDIF(C10,Reference!$B$28,"Y")&gt;=1,W10+X10,0)</f>
        <v>0</v>
      </c>
      <c r="AA10" s="183">
        <f>IFERROR(((S10*D10) - O10 + X10 + IF(AC10, 0, AD10))/SWITCH(Summary!$K$26, "Calculated", T10, "Manual entries", M10), 0)</f>
        <v>0</v>
      </c>
      <c r="AB10" s="184">
        <f>(Reference!$B$10-AA10)*((SWITCH(Summary!$K$26, "Calculated", T10, "Manual entries", M10)) - V10)</f>
        <v>0</v>
      </c>
      <c r="AC10" s="185" t="b">
        <f>AND(DATEDIF(B10,Reference!$B$29,"Y")&gt;=1, DATEDIF(A10, Reference!$B$29, "Y")&gt;=2)</f>
        <v>1</v>
      </c>
      <c r="AD10" s="184">
        <f t="shared" si="8"/>
        <v>0</v>
      </c>
      <c r="AE10" s="186">
        <f t="shared" si="9"/>
        <v>0</v>
      </c>
    </row>
    <row r="11">
      <c r="A11" s="166">
        <f t="shared" si="1"/>
        <v>42217</v>
      </c>
      <c r="B11" s="167">
        <v>42217.0</v>
      </c>
      <c r="C11" s="168">
        <f t="shared" si="12"/>
        <v>42400</v>
      </c>
      <c r="D11" s="169"/>
      <c r="E11" s="170">
        <v>89.13</v>
      </c>
      <c r="F11" s="170">
        <v>45.75</v>
      </c>
      <c r="G11" s="171"/>
      <c r="H11" s="172">
        <f t="shared" si="2"/>
        <v>0</v>
      </c>
      <c r="I11" s="170">
        <f t="shared" si="11"/>
        <v>0</v>
      </c>
      <c r="J11" s="172">
        <f t="shared" si="3"/>
        <v>0</v>
      </c>
      <c r="K11" s="172">
        <f t="shared" si="4"/>
        <v>0</v>
      </c>
      <c r="L11" s="173">
        <f t="shared" si="5"/>
        <v>38.8875</v>
      </c>
      <c r="M11" s="174"/>
      <c r="N11" s="189" t="b">
        <v>0</v>
      </c>
      <c r="O11" s="172">
        <f>Reference!$B$4*Reference!$B$3*D11</f>
        <v>0</v>
      </c>
      <c r="P11" s="172">
        <f>iferror(LET(ratio, M11/(0.252*D11),(1-ratio) * Reference!$B$3 * D11),0)</f>
        <v>0</v>
      </c>
      <c r="Q11" s="172">
        <f>IF(C11&lt;Reference!$B$26,Reference!$C$26,0)</f>
        <v>10.18</v>
      </c>
      <c r="R11" s="172">
        <f>IF(C11&lt;Reference!$B$27,Reference!$C$27,0)</f>
        <v>16.87</v>
      </c>
      <c r="S11" s="172">
        <f t="shared" si="6"/>
        <v>18.7</v>
      </c>
      <c r="T11" s="176">
        <f>SWITCH(Summary!$K$26,"Calculated", D11*Reference!$B$5*Reference!$B$6, "Manual entries",M11)</f>
        <v>0</v>
      </c>
      <c r="U11" s="177">
        <f>MAX(SWITCH(Summary!$K$27,"Derived from calculated values",O11,"Derived from manual entries",P11)+(T11*Reference!$B$18)-(D11*S11),0)</f>
        <v>0</v>
      </c>
      <c r="V11" s="178">
        <f>IF(N11,Summary!$C$41/ ($N$26+RSU!J$84), 0)</f>
        <v>0</v>
      </c>
      <c r="W11" s="179">
        <f>IF(N11,(Reference!$B$23 - AA11) * V11, 0)</f>
        <v>0</v>
      </c>
      <c r="X11" s="180">
        <f t="shared" si="7"/>
        <v>0</v>
      </c>
      <c r="Y11" s="181">
        <f>IF(DATEDIF(C11,Reference!$B$28,"Y")&gt;=1,0,W11+X11)+iferror(((AD11/D11)*V11),0)</f>
        <v>0</v>
      </c>
      <c r="Z11" s="182">
        <f>IF(DATEDIF(C11,Reference!$B$28,"Y")&gt;=1,W11+X11,0)</f>
        <v>0</v>
      </c>
      <c r="AA11" s="183">
        <f>IFERROR(((S11*D11) - O11 + X11 + IF(AC11, 0, AD11))/SWITCH(Summary!$K$26, "Calculated", T11, "Manual entries", M11), 0)</f>
        <v>0</v>
      </c>
      <c r="AB11" s="184">
        <f>(Reference!$B$10-AA11)*((SWITCH(Summary!$K$26, "Calculated", T11, "Manual entries", M11)) - V11)</f>
        <v>0</v>
      </c>
      <c r="AC11" s="185" t="b">
        <f>AND(DATEDIF(B11,Reference!$B$29,"Y")&gt;=1, DATEDIF(A11, Reference!$B$29, "Y")&gt;=2)</f>
        <v>1</v>
      </c>
      <c r="AD11" s="184">
        <f t="shared" si="8"/>
        <v>0</v>
      </c>
      <c r="AE11" s="186">
        <f t="shared" si="9"/>
        <v>0</v>
      </c>
    </row>
    <row r="12">
      <c r="A12" s="166">
        <f t="shared" si="1"/>
        <v>42401</v>
      </c>
      <c r="B12" s="167">
        <v>42401.0</v>
      </c>
      <c r="C12" s="168">
        <f t="shared" si="12"/>
        <v>42582</v>
      </c>
      <c r="D12" s="169"/>
      <c r="E12" s="170">
        <v>45.49</v>
      </c>
      <c r="F12" s="170">
        <v>72.98</v>
      </c>
      <c r="G12" s="171"/>
      <c r="H12" s="172">
        <f t="shared" si="2"/>
        <v>0</v>
      </c>
      <c r="I12" s="170">
        <f t="shared" si="11"/>
        <v>0</v>
      </c>
      <c r="J12" s="172">
        <f t="shared" si="3"/>
        <v>0</v>
      </c>
      <c r="K12" s="172">
        <f t="shared" si="4"/>
        <v>0</v>
      </c>
      <c r="L12" s="190">
        <f t="shared" ref="L12:L24" si="13">ROUND(0.85*MIN(E12,F12),2)</f>
        <v>38.67</v>
      </c>
      <c r="M12" s="187"/>
      <c r="N12" s="189" t="b">
        <v>0</v>
      </c>
      <c r="O12" s="172">
        <f>Reference!$B$4*Reference!$B$3*D12</f>
        <v>0</v>
      </c>
      <c r="P12" s="172">
        <f>iferror(LET(ratio, M12/(0.252*D12),(1-ratio) * Reference!$B$3 * D12),0)</f>
        <v>0</v>
      </c>
      <c r="Q12" s="172">
        <f>IF(C12&lt;Reference!$B$26,Reference!$C$26,0)</f>
        <v>10.18</v>
      </c>
      <c r="R12" s="172">
        <f>IF(C12&lt;Reference!$B$27,Reference!$C$27,0)</f>
        <v>16.87</v>
      </c>
      <c r="S12" s="172">
        <f t="shared" si="6"/>
        <v>18.44411765</v>
      </c>
      <c r="T12" s="176">
        <f>SWITCH(Summary!$K$26,"Calculated", D12*Reference!$B$5*Reference!$B$6, "Manual entries",M12)</f>
        <v>0</v>
      </c>
      <c r="U12" s="177">
        <f>MAX(SWITCH(Summary!$K$27,"Derived from calculated values",O12,"Derived from manual entries",P12)+(T12*Reference!$B$18)-(D12*S12),0)</f>
        <v>0</v>
      </c>
      <c r="V12" s="178">
        <f>IF(N12,Summary!$C$41/ ($N$26+RSU!J$84), 0)</f>
        <v>0</v>
      </c>
      <c r="W12" s="179">
        <f>IF(N12,(Reference!$B$23 - AA12) * V12, 0)</f>
        <v>0</v>
      </c>
      <c r="X12" s="180">
        <f t="shared" si="7"/>
        <v>0</v>
      </c>
      <c r="Y12" s="181">
        <f>IF(DATEDIF(C12,Reference!$B$28,"Y")&gt;=1,0,W12+X12)+iferror(((AD12/D12)*V12),0)</f>
        <v>0</v>
      </c>
      <c r="Z12" s="182">
        <f>IF(DATEDIF(C12,Reference!$B$28,"Y")&gt;=1,W12+X12,0)</f>
        <v>0</v>
      </c>
      <c r="AA12" s="183">
        <f>IFERROR(((S12*D12) - O12 + X12 + IF(AC12, 0, AD12))/SWITCH(Summary!$K$26, "Calculated", T12, "Manual entries", M12), 0)</f>
        <v>0</v>
      </c>
      <c r="AB12" s="184">
        <f>(Reference!$B$10-AA12)*((SWITCH(Summary!$K$26, "Calculated", T12, "Manual entries", M12)) - V12)</f>
        <v>0</v>
      </c>
      <c r="AC12" s="185" t="b">
        <f>AND(DATEDIF(B12,Reference!$B$29,"Y")&gt;=1, DATEDIF(A12, Reference!$B$29, "Y")&gt;=2)</f>
        <v>1</v>
      </c>
      <c r="AD12" s="184">
        <f t="shared" si="8"/>
        <v>0</v>
      </c>
      <c r="AE12" s="186">
        <f t="shared" si="9"/>
        <v>0</v>
      </c>
    </row>
    <row r="13">
      <c r="A13" s="166">
        <f t="shared" si="1"/>
        <v>42401</v>
      </c>
      <c r="B13" s="167">
        <v>42401.0</v>
      </c>
      <c r="C13" s="168">
        <v>42766.0</v>
      </c>
      <c r="D13" s="169"/>
      <c r="E13" s="170">
        <v>45.49</v>
      </c>
      <c r="F13" s="170">
        <v>87.54</v>
      </c>
      <c r="G13" s="171"/>
      <c r="H13" s="172">
        <f t="shared" si="2"/>
        <v>0</v>
      </c>
      <c r="I13" s="170">
        <f t="shared" si="11"/>
        <v>0</v>
      </c>
      <c r="J13" s="172">
        <f t="shared" si="3"/>
        <v>0</v>
      </c>
      <c r="K13" s="172">
        <f t="shared" si="4"/>
        <v>0</v>
      </c>
      <c r="L13" s="190">
        <f t="shared" si="13"/>
        <v>38.67</v>
      </c>
      <c r="M13" s="187"/>
      <c r="N13" s="189" t="b">
        <v>0</v>
      </c>
      <c r="O13" s="172">
        <f>Reference!$B$4*Reference!$B$3*D13</f>
        <v>0</v>
      </c>
      <c r="P13" s="172">
        <f>iferror(LET(ratio, M13/(0.252*D13),(1-ratio) * Reference!$B$3 * D13),0)</f>
        <v>0</v>
      </c>
      <c r="Q13" s="172">
        <f>IF(C13&lt;Reference!$B$26,Reference!$C$26,0)</f>
        <v>10.18</v>
      </c>
      <c r="R13" s="172">
        <f>IF(C13&lt;Reference!$B$27,Reference!$C$27,0)</f>
        <v>16.87</v>
      </c>
      <c r="S13" s="172">
        <f t="shared" si="6"/>
        <v>18.44411765</v>
      </c>
      <c r="T13" s="176">
        <f>SWITCH(Summary!$K$26,"Calculated", D13*Reference!$B$5*Reference!$B$6, "Manual entries",M13)</f>
        <v>0</v>
      </c>
      <c r="U13" s="177">
        <f>MAX(SWITCH(Summary!$K$27,"Derived from calculated values",O13,"Derived from manual entries",P13)+(T13*Reference!$B$18)-(D13*S13),0)</f>
        <v>0</v>
      </c>
      <c r="V13" s="178">
        <f>IF(N13,Summary!$C$41/ ($N$26+RSU!J$84), 0)</f>
        <v>0</v>
      </c>
      <c r="W13" s="179">
        <f>IF(N13,(Reference!$B$23 - AA13) * V13, 0)</f>
        <v>0</v>
      </c>
      <c r="X13" s="180">
        <f t="shared" si="7"/>
        <v>0</v>
      </c>
      <c r="Y13" s="181">
        <f>IF(DATEDIF(C13,Reference!$B$28,"Y")&gt;=1,0,W13+X13)+iferror(((AD13/D13)*V13),0)</f>
        <v>0</v>
      </c>
      <c r="Z13" s="182">
        <f>IF(DATEDIF(C13,Reference!$B$28,"Y")&gt;=1,W13+X13,0)</f>
        <v>0</v>
      </c>
      <c r="AA13" s="183">
        <f>IFERROR(((S13*D13) - O13 + X13 + IF(AC13, 0, AD13))/SWITCH(Summary!$K$26, "Calculated", T13, "Manual entries", M13), 0)</f>
        <v>0</v>
      </c>
      <c r="AB13" s="184">
        <f>(Reference!$B$10-AA13)*((SWITCH(Summary!$K$26, "Calculated", T13, "Manual entries", M13)) - V13)</f>
        <v>0</v>
      </c>
      <c r="AC13" s="185" t="b">
        <f>AND(DATEDIF(B13,Reference!$B$29,"Y")&gt;=1, DATEDIF(A13, Reference!$B$29, "Y")&gt;=2)</f>
        <v>1</v>
      </c>
      <c r="AD13" s="184">
        <f t="shared" si="8"/>
        <v>0</v>
      </c>
      <c r="AE13" s="186">
        <f t="shared" si="9"/>
        <v>0</v>
      </c>
    </row>
    <row r="14">
      <c r="A14" s="166">
        <f t="shared" si="1"/>
        <v>42767</v>
      </c>
      <c r="B14" s="167">
        <v>42767.0</v>
      </c>
      <c r="C14" s="168">
        <v>42947.0</v>
      </c>
      <c r="D14" s="169"/>
      <c r="E14" s="170">
        <v>87.19</v>
      </c>
      <c r="F14" s="170">
        <v>92.71</v>
      </c>
      <c r="G14" s="171"/>
      <c r="H14" s="172">
        <f t="shared" si="2"/>
        <v>0</v>
      </c>
      <c r="I14" s="170">
        <f t="shared" si="11"/>
        <v>0</v>
      </c>
      <c r="J14" s="172">
        <f t="shared" si="3"/>
        <v>0</v>
      </c>
      <c r="K14" s="172">
        <f t="shared" si="4"/>
        <v>0</v>
      </c>
      <c r="L14" s="190">
        <f t="shared" si="13"/>
        <v>74.11</v>
      </c>
      <c r="M14" s="174"/>
      <c r="N14" s="189" t="b">
        <v>0</v>
      </c>
      <c r="O14" s="172">
        <f>Reference!$B$4*Reference!$B$3*D14</f>
        <v>0</v>
      </c>
      <c r="P14" s="172">
        <f>iferror(LET(ratio, M14/(0.252*D14),(1-ratio) * Reference!$B$3 * D14),0)</f>
        <v>0</v>
      </c>
      <c r="Q14" s="172">
        <f>IF(C14&lt;Reference!$B$26,Reference!$C$26,0)</f>
        <v>10.18</v>
      </c>
      <c r="R14" s="172">
        <f>IF(C14&lt;Reference!$B$27,Reference!$C$27,0)</f>
        <v>16.87</v>
      </c>
      <c r="S14" s="172">
        <f t="shared" si="6"/>
        <v>60.13823529</v>
      </c>
      <c r="T14" s="176">
        <f>SWITCH(Summary!$K$26,"Calculated", D14*Reference!$B$5*Reference!$B$6, "Manual entries",M14)</f>
        <v>0</v>
      </c>
      <c r="U14" s="177">
        <f>MAX(SWITCH(Summary!$K$27,"Derived from calculated values",O14,"Derived from manual entries",P14)+(T14*Reference!$B$18)-(D14*S14),0)</f>
        <v>0</v>
      </c>
      <c r="V14" s="178">
        <f>IF(N14,Summary!$C$41/ ($N$26+RSU!J$84), 0)</f>
        <v>0</v>
      </c>
      <c r="W14" s="179">
        <f>IF(N14,(Reference!$B$23 - AA14) * V14, 0)</f>
        <v>0</v>
      </c>
      <c r="X14" s="180">
        <f t="shared" si="7"/>
        <v>0</v>
      </c>
      <c r="Y14" s="181">
        <f>IF(DATEDIF(C14,Reference!$B$28,"Y")&gt;=1,0,W14+X14)+iferror(((AD14/D14)*V14),0)</f>
        <v>0</v>
      </c>
      <c r="Z14" s="182">
        <f>IF(DATEDIF(C14,Reference!$B$28,"Y")&gt;=1,W14+X14,0)</f>
        <v>0</v>
      </c>
      <c r="AA14" s="183">
        <f>IFERROR(((S14*D14) - O14 + X14 + IF(AC14, 0, AD14))/SWITCH(Summary!$K$26, "Calculated", T14, "Manual entries", M14), 0)</f>
        <v>0</v>
      </c>
      <c r="AB14" s="184">
        <f>(Reference!$B$10-AA14)*((SWITCH(Summary!$K$26, "Calculated", T14, "Manual entries", M14)) - V14)</f>
        <v>0</v>
      </c>
      <c r="AC14" s="185" t="b">
        <f>AND(DATEDIF(B14,Reference!$B$29,"Y")&gt;=1, DATEDIF(A14, Reference!$B$29, "Y")&gt;=2)</f>
        <v>1</v>
      </c>
      <c r="AD14" s="184">
        <f t="shared" si="8"/>
        <v>0</v>
      </c>
      <c r="AE14" s="186">
        <f t="shared" si="9"/>
        <v>0</v>
      </c>
    </row>
    <row r="15">
      <c r="A15" s="166">
        <f t="shared" si="1"/>
        <v>42767</v>
      </c>
      <c r="B15" s="167">
        <v>42767.0</v>
      </c>
      <c r="C15" s="168">
        <v>43159.0</v>
      </c>
      <c r="D15" s="169"/>
      <c r="E15" s="170">
        <v>87.19</v>
      </c>
      <c r="F15" s="170">
        <v>131.75</v>
      </c>
      <c r="G15" s="171"/>
      <c r="H15" s="172">
        <f t="shared" si="2"/>
        <v>0</v>
      </c>
      <c r="I15" s="170">
        <f t="shared" si="11"/>
        <v>0</v>
      </c>
      <c r="J15" s="172">
        <f t="shared" si="3"/>
        <v>0</v>
      </c>
      <c r="K15" s="172">
        <f t="shared" si="4"/>
        <v>0</v>
      </c>
      <c r="L15" s="190">
        <f t="shared" si="13"/>
        <v>74.11</v>
      </c>
      <c r="M15" s="174"/>
      <c r="N15" s="189" t="b">
        <v>0</v>
      </c>
      <c r="O15" s="172">
        <f>Reference!$B$4*Reference!$B$3*D15</f>
        <v>0</v>
      </c>
      <c r="P15" s="172">
        <f>iferror(LET(ratio, M15/(0.252*D15),(1-ratio) * Reference!$B$3 * D15),0)</f>
        <v>0</v>
      </c>
      <c r="Q15" s="172">
        <f>IF(C15&lt;Reference!$B$26,Reference!$C$26,0)</f>
        <v>10.18</v>
      </c>
      <c r="R15" s="172">
        <f>IF(C15&lt;Reference!$B$27,Reference!$C$27,0)</f>
        <v>16.87</v>
      </c>
      <c r="S15" s="172">
        <f t="shared" si="6"/>
        <v>60.13823529</v>
      </c>
      <c r="T15" s="176">
        <f>SWITCH(Summary!$K$26,"Calculated", D15*Reference!$B$5*Reference!$B$6, "Manual entries",M15)</f>
        <v>0</v>
      </c>
      <c r="U15" s="177">
        <f>MAX(SWITCH(Summary!$K$27,"Derived from calculated values",O15,"Derived from manual entries",P15)+(T15*Reference!$B$18)-(D15*S15),0)</f>
        <v>0</v>
      </c>
      <c r="V15" s="178">
        <f>IF(N15,Summary!$C$41/ ($N$26+RSU!J$84), 0)</f>
        <v>0</v>
      </c>
      <c r="W15" s="179">
        <f>IF(N15,(Reference!$B$23 - AA15) * V15, 0)</f>
        <v>0</v>
      </c>
      <c r="X15" s="180">
        <f t="shared" si="7"/>
        <v>0</v>
      </c>
      <c r="Y15" s="181">
        <f>IF(DATEDIF(C15,Reference!$B$28,"Y")&gt;=1,0,W15+X15)+iferror(((AD15/D15)*V15),0)</f>
        <v>0</v>
      </c>
      <c r="Z15" s="182">
        <f>IF(DATEDIF(C15,Reference!$B$28,"Y")&gt;=1,W15+X15,0)</f>
        <v>0</v>
      </c>
      <c r="AA15" s="183">
        <f>IFERROR(((S15*D15) - O15 + X15 + IF(AC15, 0, AD15))/SWITCH(Summary!$K$26, "Calculated", T15, "Manual entries", M15), 0)</f>
        <v>0</v>
      </c>
      <c r="AB15" s="184">
        <f>(Reference!$B$10-AA15)*((SWITCH(Summary!$K$26, "Calculated", T15, "Manual entries", M15)) - V15)</f>
        <v>0</v>
      </c>
      <c r="AC15" s="185" t="b">
        <f>AND(DATEDIF(B15,Reference!$B$29,"Y")&gt;=1, DATEDIF(A15, Reference!$B$29, "Y")&gt;=2)</f>
        <v>1</v>
      </c>
      <c r="AD15" s="184">
        <f t="shared" si="8"/>
        <v>0</v>
      </c>
      <c r="AE15" s="186">
        <f t="shared" si="9"/>
        <v>0</v>
      </c>
    </row>
    <row r="16">
      <c r="A16" s="166">
        <f t="shared" si="1"/>
        <v>43160</v>
      </c>
      <c r="B16" s="167">
        <v>43160.0</v>
      </c>
      <c r="C16" s="168">
        <v>43343.0</v>
      </c>
      <c r="D16" s="169"/>
      <c r="E16" s="170">
        <v>123.66</v>
      </c>
      <c r="F16" s="170">
        <v>153.26</v>
      </c>
      <c r="G16" s="171"/>
      <c r="H16" s="172">
        <f t="shared" si="2"/>
        <v>0</v>
      </c>
      <c r="I16" s="170">
        <f t="shared" si="11"/>
        <v>0</v>
      </c>
      <c r="J16" s="172">
        <f t="shared" si="3"/>
        <v>0</v>
      </c>
      <c r="K16" s="172">
        <f t="shared" si="4"/>
        <v>0</v>
      </c>
      <c r="L16" s="190">
        <f t="shared" si="13"/>
        <v>105.11</v>
      </c>
      <c r="M16" s="174"/>
      <c r="N16" s="189" t="b">
        <v>0</v>
      </c>
      <c r="O16" s="172">
        <f>Reference!$B$4*Reference!$B$3*D16</f>
        <v>0</v>
      </c>
      <c r="P16" s="172">
        <f>iferror(LET(ratio, M16/(0.252*D16),(1-ratio) * Reference!$B$3 * D16),0)</f>
        <v>0</v>
      </c>
      <c r="Q16" s="172">
        <f>IF(C16&lt;Reference!$B$26,Reference!$C$26,0)</f>
        <v>10.18</v>
      </c>
      <c r="R16" s="172">
        <f>IF(C16&lt;Reference!$B$27,Reference!$C$27,0)</f>
        <v>16.87</v>
      </c>
      <c r="S16" s="172">
        <f t="shared" si="6"/>
        <v>96.60882353</v>
      </c>
      <c r="T16" s="176">
        <f>SWITCH(Summary!$K$26,"Calculated", D16*Reference!$B$5*Reference!$B$6, "Manual entries",M16)</f>
        <v>0</v>
      </c>
      <c r="U16" s="177">
        <f>MAX(SWITCH(Summary!$K$27,"Derived from calculated values",O16,"Derived from manual entries",P16)+(T16*Reference!$B$18)-(D16*S16),0)</f>
        <v>0</v>
      </c>
      <c r="V16" s="178">
        <f>IF(N16,Summary!$C$41/ ($N$26+RSU!J$84), 0)</f>
        <v>0</v>
      </c>
      <c r="W16" s="179">
        <f>IF(N16,(Reference!$B$23 - AA16) * V16, 0)</f>
        <v>0</v>
      </c>
      <c r="X16" s="180">
        <f t="shared" si="7"/>
        <v>0</v>
      </c>
      <c r="Y16" s="181">
        <f>IF(DATEDIF(C16,Reference!$B$28,"Y")&gt;=1,0,W16+X16)+iferror(((AD16/D16)*V16),0)</f>
        <v>0</v>
      </c>
      <c r="Z16" s="182">
        <f>IF(DATEDIF(C16,Reference!$B$28,"Y")&gt;=1,W16+X16,0)</f>
        <v>0</v>
      </c>
      <c r="AA16" s="183">
        <f>IFERROR(((S16*D16) - O16 + X16 + IF(AC16, 0, AD16))/SWITCH(Summary!$K$26, "Calculated", T16, "Manual entries", M16), 0)</f>
        <v>0</v>
      </c>
      <c r="AB16" s="184">
        <f>(Reference!$B$10-AA16)*((SWITCH(Summary!$K$26, "Calculated", T16, "Manual entries", M16)) - V16)</f>
        <v>0</v>
      </c>
      <c r="AC16" s="185" t="b">
        <f>AND(DATEDIF(B16,Reference!$B$29,"Y")&gt;=1, DATEDIF(A16, Reference!$B$29, "Y")&gt;=2)</f>
        <v>1</v>
      </c>
      <c r="AD16" s="184">
        <f t="shared" si="8"/>
        <v>0</v>
      </c>
      <c r="AE16" s="186">
        <f t="shared" si="9"/>
        <v>0</v>
      </c>
    </row>
    <row r="17">
      <c r="A17" s="166">
        <f t="shared" si="1"/>
        <v>43160</v>
      </c>
      <c r="B17" s="167">
        <v>43160.0</v>
      </c>
      <c r="C17" s="168">
        <v>43524.0</v>
      </c>
      <c r="D17" s="169"/>
      <c r="E17" s="170">
        <v>123.66</v>
      </c>
      <c r="F17" s="170">
        <v>171.81</v>
      </c>
      <c r="G17" s="171"/>
      <c r="H17" s="172">
        <f t="shared" si="2"/>
        <v>0</v>
      </c>
      <c r="I17" s="170">
        <f t="shared" si="11"/>
        <v>0</v>
      </c>
      <c r="J17" s="172">
        <f t="shared" si="3"/>
        <v>0</v>
      </c>
      <c r="K17" s="172">
        <f t="shared" si="4"/>
        <v>0</v>
      </c>
      <c r="L17" s="190">
        <f t="shared" si="13"/>
        <v>105.11</v>
      </c>
      <c r="M17" s="174"/>
      <c r="N17" s="189" t="b">
        <v>0</v>
      </c>
      <c r="O17" s="172">
        <f>Reference!$B$4*Reference!$B$3*D17</f>
        <v>0</v>
      </c>
      <c r="P17" s="172">
        <f>iferror(LET(ratio, M17/(0.252*D17),(1-ratio) * Reference!$B$3 * D17),0)</f>
        <v>0</v>
      </c>
      <c r="Q17" s="172">
        <f>IF(C17&lt;Reference!$B$26,Reference!$C$26,0)</f>
        <v>0</v>
      </c>
      <c r="R17" s="172">
        <f>IF(C17&lt;Reference!$B$27,Reference!$C$27,0)</f>
        <v>16.87</v>
      </c>
      <c r="S17" s="172">
        <f t="shared" si="6"/>
        <v>106.7888235</v>
      </c>
      <c r="T17" s="176">
        <f>SWITCH(Summary!$K$26,"Calculated", D17*Reference!$B$5*Reference!$B$6, "Manual entries",M17)</f>
        <v>0</v>
      </c>
      <c r="U17" s="177">
        <f>MAX(SWITCH(Summary!$K$27,"Derived from calculated values",O17,"Derived from manual entries",P17)+(T17*Reference!$B$18)-(D17*S17),0)</f>
        <v>0</v>
      </c>
      <c r="V17" s="178">
        <f>IF(N17,Summary!$C$41/ ($N$26+RSU!J$84), 0)</f>
        <v>0</v>
      </c>
      <c r="W17" s="179">
        <f>IF(N17,(Reference!$B$23 - AA17) * V17, 0)</f>
        <v>0</v>
      </c>
      <c r="X17" s="180">
        <f t="shared" si="7"/>
        <v>0</v>
      </c>
      <c r="Y17" s="181">
        <f>IF(DATEDIF(C17,Reference!$B$28,"Y")&gt;=1,0,W17+X17)+iferror(((AD17/D17)*V17),0)</f>
        <v>0</v>
      </c>
      <c r="Z17" s="182">
        <f>IF(DATEDIF(C17,Reference!$B$28,"Y")&gt;=1,W17+X17,0)</f>
        <v>0</v>
      </c>
      <c r="AA17" s="183">
        <f>IFERROR(((S17*D17) - O17 + X17 + IF(AC17, 0, AD17))/SWITCH(Summary!$K$26, "Calculated", T17, "Manual entries", M17), 0)</f>
        <v>0</v>
      </c>
      <c r="AB17" s="184">
        <f>(Reference!$B$10-AA17)*((SWITCH(Summary!$K$26, "Calculated", T17, "Manual entries", M17)) - V17)</f>
        <v>0</v>
      </c>
      <c r="AC17" s="185" t="b">
        <f>AND(DATEDIF(B17,Reference!$B$29,"Y")&gt;=1, DATEDIF(A17, Reference!$B$29, "Y")&gt;=2)</f>
        <v>1</v>
      </c>
      <c r="AD17" s="184">
        <f t="shared" si="8"/>
        <v>0</v>
      </c>
      <c r="AE17" s="186">
        <f t="shared" si="9"/>
        <v>0</v>
      </c>
    </row>
    <row r="18">
      <c r="A18" s="166">
        <f t="shared" si="1"/>
        <v>43525</v>
      </c>
      <c r="B18" s="167">
        <v>43525.0</v>
      </c>
      <c r="C18" s="168">
        <v>43708.0</v>
      </c>
      <c r="D18" s="169"/>
      <c r="E18" s="170">
        <v>178.2</v>
      </c>
      <c r="F18" s="170">
        <v>141.44</v>
      </c>
      <c r="G18" s="171"/>
      <c r="H18" s="172">
        <f t="shared" si="2"/>
        <v>0</v>
      </c>
      <c r="I18" s="170">
        <f t="shared" si="11"/>
        <v>0</v>
      </c>
      <c r="J18" s="172">
        <f t="shared" si="3"/>
        <v>0</v>
      </c>
      <c r="K18" s="172">
        <f t="shared" si="4"/>
        <v>0</v>
      </c>
      <c r="L18" s="190">
        <f t="shared" si="13"/>
        <v>120.22</v>
      </c>
      <c r="M18" s="187"/>
      <c r="N18" s="189" t="b">
        <v>0</v>
      </c>
      <c r="O18" s="172">
        <f>Reference!$B$4*Reference!$B$3*D18</f>
        <v>0</v>
      </c>
      <c r="P18" s="172">
        <f>iferror(LET(ratio, M18/(0.252*D18),(1-ratio) * Reference!$B$3 * D18),0)</f>
        <v>0</v>
      </c>
      <c r="Q18" s="172">
        <f>IF(C18&lt;Reference!$B$26,Reference!$C$26,0)</f>
        <v>0</v>
      </c>
      <c r="R18" s="172">
        <f>IF(C18&lt;Reference!$B$27,Reference!$C$27,0)</f>
        <v>16.87</v>
      </c>
      <c r="S18" s="172">
        <f t="shared" si="6"/>
        <v>124.5652941</v>
      </c>
      <c r="T18" s="176">
        <f>SWITCH(Summary!$K$26,"Calculated", D18*Reference!$B$5*Reference!$B$6, "Manual entries",M18)</f>
        <v>0</v>
      </c>
      <c r="U18" s="177">
        <f>MAX(SWITCH(Summary!$K$27,"Derived from calculated values",O18,"Derived from manual entries",P18)+(T18*Reference!$B$18)-(D18*S18),0)</f>
        <v>0</v>
      </c>
      <c r="V18" s="178">
        <f>IF(N18,Summary!$C$41/ ($N$26+RSU!J$84), 0)</f>
        <v>0</v>
      </c>
      <c r="W18" s="179">
        <f>IF(N18,(Reference!$B$23 - AA18) * V18, 0)</f>
        <v>0</v>
      </c>
      <c r="X18" s="180">
        <f t="shared" si="7"/>
        <v>0</v>
      </c>
      <c r="Y18" s="181">
        <f>IF(DATEDIF(C18,Reference!$B$28,"Y")&gt;=1,0,W18+X18)+iferror(((AD18/D18)*V18),0)</f>
        <v>0</v>
      </c>
      <c r="Z18" s="182">
        <f>IF(DATEDIF(C18,Reference!$B$28,"Y")&gt;=1,W18+X18,0)</f>
        <v>0</v>
      </c>
      <c r="AA18" s="183">
        <f>IFERROR(((S18*D18) - O18 + X18 + IF(AC18, 0, AD18))/SWITCH(Summary!$K$26, "Calculated", T18, "Manual entries", M18), 0)</f>
        <v>0</v>
      </c>
      <c r="AB18" s="184">
        <f>(Reference!$B$10-AA18)*((SWITCH(Summary!$K$26, "Calculated", T18, "Manual entries", M18)) - V18)</f>
        <v>0</v>
      </c>
      <c r="AC18" s="185" t="b">
        <f>AND(DATEDIF(B18,Reference!$B$29,"Y")&gt;=1, DATEDIF(A18, Reference!$B$29, "Y")&gt;=2)</f>
        <v>1</v>
      </c>
      <c r="AD18" s="184">
        <f t="shared" si="8"/>
        <v>0</v>
      </c>
      <c r="AE18" s="186">
        <f t="shared" si="9"/>
        <v>0</v>
      </c>
    </row>
    <row r="19">
      <c r="A19" s="166">
        <f t="shared" si="1"/>
        <v>43709</v>
      </c>
      <c r="B19" s="167">
        <v>43709.0</v>
      </c>
      <c r="C19" s="168">
        <v>43890.0</v>
      </c>
      <c r="D19" s="169"/>
      <c r="E19" s="170">
        <v>141.44</v>
      </c>
      <c r="F19" s="170">
        <v>120.52</v>
      </c>
      <c r="G19" s="171"/>
      <c r="H19" s="172">
        <f t="shared" si="2"/>
        <v>0</v>
      </c>
      <c r="I19" s="170">
        <f t="shared" si="11"/>
        <v>0</v>
      </c>
      <c r="J19" s="172">
        <f t="shared" si="3"/>
        <v>0</v>
      </c>
      <c r="K19" s="172">
        <f t="shared" si="4"/>
        <v>0</v>
      </c>
      <c r="L19" s="190">
        <f t="shared" si="13"/>
        <v>102.44</v>
      </c>
      <c r="M19" s="187"/>
      <c r="N19" s="189" t="b">
        <v>0</v>
      </c>
      <c r="O19" s="172">
        <f>Reference!$B$4*Reference!$B$3*D19</f>
        <v>0</v>
      </c>
      <c r="P19" s="172">
        <f>iferror(LET(ratio, M19/(0.252*D19),(1-ratio) * Reference!$B$3 * D19),0)</f>
        <v>0</v>
      </c>
      <c r="Q19" s="172">
        <f>IF(C19&lt;Reference!$B$26,Reference!$C$26,0)</f>
        <v>0</v>
      </c>
      <c r="R19" s="172">
        <f>IF(C19&lt;Reference!$B$27,Reference!$C$27,0)</f>
        <v>16.87</v>
      </c>
      <c r="S19" s="172">
        <f t="shared" si="6"/>
        <v>103.6476471</v>
      </c>
      <c r="T19" s="176">
        <f>SWITCH(Summary!$K$26,"Calculated", D19*Reference!$B$5*Reference!$B$6, "Manual entries",M19)</f>
        <v>0</v>
      </c>
      <c r="U19" s="177">
        <f>MAX(SWITCH(Summary!$K$27,"Derived from calculated values",O19,"Derived from manual entries",P19)+(T19*Reference!$B$18)-(D19*S19),0)</f>
        <v>0</v>
      </c>
      <c r="V19" s="178">
        <f>IF(N19,Summary!$C$41/ ($N$26+RSU!J$84), 0)</f>
        <v>0</v>
      </c>
      <c r="W19" s="179">
        <f>IF(N19,(Reference!$B$23 - AA19) * V19, 0)</f>
        <v>0</v>
      </c>
      <c r="X19" s="180">
        <f t="shared" si="7"/>
        <v>0</v>
      </c>
      <c r="Y19" s="181">
        <f>IF(DATEDIF(C19,Reference!$B$28,"Y")&gt;=1,0,W19+X19)+iferror(((AD19/D19)*V19),0)</f>
        <v>0</v>
      </c>
      <c r="Z19" s="182">
        <f>IF(DATEDIF(C19,Reference!$B$28,"Y")&gt;=1,W19+X19,0)</f>
        <v>0</v>
      </c>
      <c r="AA19" s="183">
        <f>IFERROR(((S19*D19) - O19 + X19 + IF(AC19, 0, AD19))/SWITCH(Summary!$K$26, "Calculated", T19, "Manual entries", M19), 0)</f>
        <v>0</v>
      </c>
      <c r="AB19" s="184">
        <f>(Reference!$B$10-AA19)*((SWITCH(Summary!$K$26, "Calculated", T19, "Manual entries", M19)) - V19)</f>
        <v>0</v>
      </c>
      <c r="AC19" s="185" t="b">
        <f>AND(DATEDIF(B19,Reference!$B$29,"Y")&gt;=1, DATEDIF(A19, Reference!$B$29, "Y")&gt;=2)</f>
        <v>1</v>
      </c>
      <c r="AD19" s="184">
        <f t="shared" si="8"/>
        <v>0</v>
      </c>
      <c r="AE19" s="186">
        <f t="shared" si="9"/>
        <v>0</v>
      </c>
    </row>
    <row r="20">
      <c r="A20" s="166">
        <f t="shared" si="1"/>
        <v>43891</v>
      </c>
      <c r="B20" s="167">
        <v>43891.0</v>
      </c>
      <c r="C20" s="168">
        <v>44074.0</v>
      </c>
      <c r="D20" s="169"/>
      <c r="E20" s="170">
        <v>120.52</v>
      </c>
      <c r="F20" s="170">
        <v>144.44</v>
      </c>
      <c r="G20" s="171"/>
      <c r="H20" s="172">
        <f t="shared" si="2"/>
        <v>0</v>
      </c>
      <c r="I20" s="170">
        <f t="shared" si="11"/>
        <v>0</v>
      </c>
      <c r="J20" s="172">
        <f t="shared" si="3"/>
        <v>0</v>
      </c>
      <c r="K20" s="172">
        <f t="shared" si="4"/>
        <v>0</v>
      </c>
      <c r="L20" s="190">
        <f t="shared" si="13"/>
        <v>102.44</v>
      </c>
      <c r="M20" s="174"/>
      <c r="N20" s="189" t="b">
        <v>0</v>
      </c>
      <c r="O20" s="172">
        <f>Reference!$B$4*Reference!$B$3*D20</f>
        <v>0</v>
      </c>
      <c r="P20" s="172">
        <f>iferror(LET(ratio, M20/(0.252*D20),(1-ratio) * Reference!$B$3 * D20),0)</f>
        <v>0</v>
      </c>
      <c r="Q20" s="172">
        <f>IF(C20&lt;Reference!$B$26,Reference!$C$26,0)</f>
        <v>0</v>
      </c>
      <c r="R20" s="172">
        <f>IF(C20&lt;Reference!$B$27,Reference!$C$27,0)</f>
        <v>16.87</v>
      </c>
      <c r="S20" s="172">
        <f t="shared" si="6"/>
        <v>103.6476471</v>
      </c>
      <c r="T20" s="176">
        <f>SWITCH(Summary!$K$26,"Calculated", D20*Reference!$B$5*Reference!$B$6, "Manual entries",M20)</f>
        <v>0</v>
      </c>
      <c r="U20" s="177">
        <f>MAX(SWITCH(Summary!$K$27,"Derived from calculated values",O20,"Derived from manual entries",P20)+(T20*Reference!$B$18)-(D20*S20),0)</f>
        <v>0</v>
      </c>
      <c r="V20" s="178">
        <f>IF(N20,Summary!$C$41/ ($N$26+RSU!J$84), 0)</f>
        <v>0</v>
      </c>
      <c r="W20" s="179">
        <f>IF(N20,(Reference!$B$23 - AA20) * V20, 0)</f>
        <v>0</v>
      </c>
      <c r="X20" s="180">
        <f t="shared" si="7"/>
        <v>0</v>
      </c>
      <c r="Y20" s="181">
        <f>IF(DATEDIF(C20,Reference!$B$28,"Y")&gt;=1,0,W20+X20)+iferror(((AD20/D20)*V20),0)</f>
        <v>0</v>
      </c>
      <c r="Z20" s="182">
        <f>IF(DATEDIF(C20,Reference!$B$28,"Y")&gt;=1,W20+X20,0)</f>
        <v>0</v>
      </c>
      <c r="AA20" s="183">
        <f>IFERROR(((S20*D20) - O20 + X20 + IF(AC20, 0, AD20))/SWITCH(Summary!$K$26, "Calculated", T20, "Manual entries", M20), 0)</f>
        <v>0</v>
      </c>
      <c r="AB20" s="184">
        <f>(Reference!$B$10-AA20)*((SWITCH(Summary!$K$26, "Calculated", T20, "Manual entries", M20)) - V20)</f>
        <v>0</v>
      </c>
      <c r="AC20" s="185" t="b">
        <f>AND(DATEDIF(B20,Reference!$B$29,"Y")&gt;=1, DATEDIF(A20, Reference!$B$29, "Y")&gt;=2)</f>
        <v>1</v>
      </c>
      <c r="AD20" s="184">
        <f t="shared" si="8"/>
        <v>0</v>
      </c>
      <c r="AE20" s="186">
        <f t="shared" si="9"/>
        <v>0</v>
      </c>
    </row>
    <row r="21">
      <c r="A21" s="166">
        <f t="shared" si="1"/>
        <v>43891</v>
      </c>
      <c r="B21" s="167">
        <v>43891.0</v>
      </c>
      <c r="C21" s="168">
        <v>44255.0</v>
      </c>
      <c r="D21" s="169"/>
      <c r="E21" s="170">
        <v>120.52</v>
      </c>
      <c r="F21" s="170">
        <v>138.21</v>
      </c>
      <c r="G21" s="171"/>
      <c r="H21" s="172">
        <f t="shared" si="2"/>
        <v>0</v>
      </c>
      <c r="I21" s="170">
        <f t="shared" si="11"/>
        <v>0</v>
      </c>
      <c r="J21" s="172">
        <f t="shared" si="3"/>
        <v>0</v>
      </c>
      <c r="K21" s="172">
        <f t="shared" si="4"/>
        <v>0</v>
      </c>
      <c r="L21" s="190">
        <f t="shared" si="13"/>
        <v>102.44</v>
      </c>
      <c r="M21" s="187"/>
      <c r="N21" s="189" t="b">
        <v>0</v>
      </c>
      <c r="O21" s="172">
        <f>Reference!$B$4*Reference!$B$3*D21</f>
        <v>0</v>
      </c>
      <c r="P21" s="172">
        <f>iferror(LET(ratio, M21/(0.252*D21),(1-ratio) * Reference!$B$3 * D21),0)</f>
        <v>0</v>
      </c>
      <c r="Q21" s="172">
        <f>IF(C21&lt;Reference!$B$26,Reference!$C$26,0)</f>
        <v>0</v>
      </c>
      <c r="R21" s="172">
        <f>IF(C21&lt;Reference!$B$27,Reference!$C$27,0)</f>
        <v>16.87</v>
      </c>
      <c r="S21" s="172">
        <f t="shared" si="6"/>
        <v>103.6476471</v>
      </c>
      <c r="T21" s="176">
        <f>SWITCH(Summary!$K$26,"Calculated", D21*Reference!$B$5*Reference!$B$6, "Manual entries",M21)</f>
        <v>0</v>
      </c>
      <c r="U21" s="177">
        <f>MAX(SWITCH(Summary!$K$27,"Derived from calculated values",O21,"Derived from manual entries",P21)+(T21*Reference!$B$18)-(D21*S21),0)</f>
        <v>0</v>
      </c>
      <c r="V21" s="178">
        <f>IF(N21,Summary!$C$41/ ($N$26+RSU!J$84), 0)</f>
        <v>0</v>
      </c>
      <c r="W21" s="179">
        <f>IF(N21,(Reference!$B$23 - AA21) * V21, 0)</f>
        <v>0</v>
      </c>
      <c r="X21" s="180">
        <f t="shared" si="7"/>
        <v>0</v>
      </c>
      <c r="Y21" s="181">
        <f>IF(DATEDIF(C21,Reference!$B$28,"Y")&gt;=1,0,W21+X21)+iferror(((AD21/D21)*V21),0)</f>
        <v>0</v>
      </c>
      <c r="Z21" s="182">
        <f>IF(DATEDIF(C21,Reference!$B$28,"Y")&gt;=1,W21+X21,0)</f>
        <v>0</v>
      </c>
      <c r="AA21" s="183">
        <f>IFERROR(((S21*D21) - O21 + X21 + IF(AC21, 0, AD21))/SWITCH(Summary!$K$26, "Calculated", T21, "Manual entries", M21), 0)</f>
        <v>0</v>
      </c>
      <c r="AB21" s="184">
        <f>(Reference!$B$10-AA21)*((SWITCH(Summary!$K$26, "Calculated", T21, "Manual entries", M21)) - V21)</f>
        <v>0</v>
      </c>
      <c r="AC21" s="185" t="b">
        <f>AND(DATEDIF(B21,Reference!$B$29,"Y")&gt;=1, DATEDIF(A21, Reference!$B$29, "Y")&gt;=2)</f>
        <v>1</v>
      </c>
      <c r="AD21" s="184">
        <f t="shared" si="8"/>
        <v>0</v>
      </c>
      <c r="AE21" s="186">
        <f t="shared" si="9"/>
        <v>0</v>
      </c>
    </row>
    <row r="22">
      <c r="A22" s="166">
        <f t="shared" si="1"/>
        <v>44256</v>
      </c>
      <c r="B22" s="167">
        <v>44256.0</v>
      </c>
      <c r="C22" s="168">
        <v>44439.0</v>
      </c>
      <c r="D22" s="169"/>
      <c r="E22" s="170">
        <v>140.41</v>
      </c>
      <c r="F22" s="170">
        <v>148.87</v>
      </c>
      <c r="G22" s="171"/>
      <c r="H22" s="172">
        <f t="shared" si="2"/>
        <v>0</v>
      </c>
      <c r="I22" s="170">
        <f t="shared" si="11"/>
        <v>0</v>
      </c>
      <c r="J22" s="172">
        <f t="shared" si="3"/>
        <v>0</v>
      </c>
      <c r="K22" s="172">
        <f t="shared" si="4"/>
        <v>0</v>
      </c>
      <c r="L22" s="190">
        <f t="shared" si="13"/>
        <v>119.35</v>
      </c>
      <c r="M22" s="174"/>
      <c r="N22" s="189" t="b">
        <v>0</v>
      </c>
      <c r="O22" s="172">
        <f>Reference!$B$4*Reference!$B$3*D22</f>
        <v>0</v>
      </c>
      <c r="P22" s="172">
        <f>iferror(LET(ratio, M22/(0.252*D22),(1-ratio) * Reference!$B$3 * D22),0)</f>
        <v>0</v>
      </c>
      <c r="Q22" s="172">
        <f>IF(C22&lt;Reference!$B$26,Reference!$C$26,0)</f>
        <v>0</v>
      </c>
      <c r="R22" s="172">
        <f>IF(C22&lt;Reference!$B$27,Reference!$C$27,0)</f>
        <v>16.87</v>
      </c>
      <c r="S22" s="172">
        <f t="shared" si="6"/>
        <v>123.5417647</v>
      </c>
      <c r="T22" s="176">
        <f>SWITCH(Summary!$K$26,"Calculated", D22*Reference!$B$5*Reference!$B$6, "Manual entries",M22)</f>
        <v>0</v>
      </c>
      <c r="U22" s="177">
        <f>MAX(SWITCH(Summary!$K$27,"Derived from calculated values",O22,"Derived from manual entries",P22)+(T22*Reference!$B$18)-(D22*S22),0)</f>
        <v>0</v>
      </c>
      <c r="V22" s="178">
        <f>IF(N22,Summary!$C$41/ ($N$26+RSU!J$84), 0)</f>
        <v>0</v>
      </c>
      <c r="W22" s="179">
        <f>IF(N22,(Reference!$B$23 - AA22) * V22, 0)</f>
        <v>0</v>
      </c>
      <c r="X22" s="180">
        <f t="shared" si="7"/>
        <v>0</v>
      </c>
      <c r="Y22" s="181">
        <f>IF(DATEDIF(C22,Reference!$B$28,"Y")&gt;=1,0,W22+X22)+iferror(((AD22/D22)*V22),0)</f>
        <v>0</v>
      </c>
      <c r="Z22" s="182">
        <f>IF(DATEDIF(C22,Reference!$B$28,"Y")&gt;=1,W22+X22,0)</f>
        <v>0</v>
      </c>
      <c r="AA22" s="183">
        <f>IFERROR(((S22*D22) - O22 + X22 + IF(AC22, 0, AD22))/SWITCH(Summary!$K$26, "Calculated", T22, "Manual entries", M22), 0)</f>
        <v>0</v>
      </c>
      <c r="AB22" s="184">
        <f>(Reference!$B$10-AA22)*((SWITCH(Summary!$K$26, "Calculated", T22, "Manual entries", M22)) - V22)</f>
        <v>0</v>
      </c>
      <c r="AC22" s="185" t="b">
        <f>AND(DATEDIF(B22,Reference!$B$29,"Y")&gt;=1, DATEDIF(A22, Reference!$B$29, "Y")&gt;=2)</f>
        <v>1</v>
      </c>
      <c r="AD22" s="184">
        <f t="shared" si="8"/>
        <v>0</v>
      </c>
      <c r="AE22" s="186">
        <f t="shared" si="9"/>
        <v>0</v>
      </c>
    </row>
    <row r="23">
      <c r="A23" s="166">
        <f t="shared" si="1"/>
        <v>44256</v>
      </c>
      <c r="B23" s="167">
        <v>44256.0</v>
      </c>
      <c r="C23" s="168">
        <v>44620.0</v>
      </c>
      <c r="D23" s="169"/>
      <c r="E23" s="170">
        <v>140.41</v>
      </c>
      <c r="F23" s="170">
        <v>117.32</v>
      </c>
      <c r="G23" s="171"/>
      <c r="H23" s="172">
        <f t="shared" si="2"/>
        <v>0</v>
      </c>
      <c r="I23" s="170">
        <f t="shared" si="11"/>
        <v>0</v>
      </c>
      <c r="J23" s="172">
        <f t="shared" si="3"/>
        <v>0</v>
      </c>
      <c r="K23" s="172">
        <f t="shared" si="4"/>
        <v>0</v>
      </c>
      <c r="L23" s="190">
        <f t="shared" si="13"/>
        <v>99.72</v>
      </c>
      <c r="M23" s="174"/>
      <c r="N23" s="189" t="b">
        <v>0</v>
      </c>
      <c r="O23" s="172">
        <f>Reference!$B$4*Reference!$B$3*D23</f>
        <v>0</v>
      </c>
      <c r="P23" s="172">
        <f>iferror(LET(ratio, M23/(0.252*D23),(1-ratio) * Reference!$B$3 * D23),0)</f>
        <v>0</v>
      </c>
      <c r="Q23" s="172">
        <f>IF(C23&lt;Reference!$B$26,Reference!$C$26,0)</f>
        <v>0</v>
      </c>
      <c r="R23" s="172">
        <f>IF(C23&lt;Reference!$B$27,Reference!$C$27,0)</f>
        <v>0</v>
      </c>
      <c r="S23" s="172">
        <f t="shared" si="6"/>
        <v>117.3176471</v>
      </c>
      <c r="T23" s="176">
        <f>SWITCH(Summary!$K$26,"Calculated", D23*Reference!$B$5*Reference!$B$6, "Manual entries",M23)</f>
        <v>0</v>
      </c>
      <c r="U23" s="177">
        <f>MAX(SWITCH(Summary!$K$27,"Derived from calculated values",O23,"Derived from manual entries",P23)+(T23*Reference!$B$18)-(D23*S23),0)</f>
        <v>0</v>
      </c>
      <c r="V23" s="178">
        <f>IF(N23,Summary!$C$41/ ($N$26+RSU!J$84), 0)</f>
        <v>0</v>
      </c>
      <c r="W23" s="179">
        <f>IF(N23,(Reference!$B$23 - AA23) * V23, 0)</f>
        <v>0</v>
      </c>
      <c r="X23" s="180">
        <f t="shared" si="7"/>
        <v>0</v>
      </c>
      <c r="Y23" s="181">
        <f>IF(DATEDIF(C23,Reference!$B$28,"Y")&gt;=1,0,W23+X23)+iferror(((AD23/D23)*V23),0)</f>
        <v>0</v>
      </c>
      <c r="Z23" s="182">
        <f>IF(DATEDIF(C23,Reference!$B$28,"Y")&gt;=1,W23+X23,0)</f>
        <v>0</v>
      </c>
      <c r="AA23" s="183">
        <f>IFERROR(((S23*D23) - O23 + X23 + IF(AC23, 0, AD23))/SWITCH(Summary!$K$26, "Calculated", T23, "Manual entries", M23), 0)</f>
        <v>0</v>
      </c>
      <c r="AB23" s="184">
        <f>(Reference!$B$10-AA23)*((SWITCH(Summary!$K$26, "Calculated", T23, "Manual entries", M23)) - V23)</f>
        <v>0</v>
      </c>
      <c r="AC23" s="185" t="b">
        <f>AND(DATEDIF(B23,Reference!$B$29,"Y")&gt;=1, DATEDIF(A23, Reference!$B$29, "Y")&gt;=2)</f>
        <v>1</v>
      </c>
      <c r="AD23" s="184">
        <f t="shared" si="8"/>
        <v>0</v>
      </c>
      <c r="AE23" s="186">
        <f t="shared" si="9"/>
        <v>0</v>
      </c>
    </row>
    <row r="24">
      <c r="A24" s="191">
        <f t="shared" si="1"/>
        <v>44621</v>
      </c>
      <c r="B24" s="192">
        <v>44621.0</v>
      </c>
      <c r="C24" s="193">
        <v>44804.0</v>
      </c>
      <c r="D24" s="194"/>
      <c r="E24" s="195">
        <v>115.91</v>
      </c>
      <c r="F24" s="195">
        <v>116.03</v>
      </c>
      <c r="G24" s="196"/>
      <c r="H24" s="197">
        <f t="shared" si="2"/>
        <v>0</v>
      </c>
      <c r="I24" s="195">
        <f t="shared" si="11"/>
        <v>0</v>
      </c>
      <c r="J24" s="197">
        <f t="shared" si="3"/>
        <v>0</v>
      </c>
      <c r="K24" s="197">
        <f t="shared" si="4"/>
        <v>0</v>
      </c>
      <c r="L24" s="198">
        <f t="shared" si="13"/>
        <v>98.52</v>
      </c>
      <c r="M24" s="199"/>
      <c r="N24" s="200" t="b">
        <v>0</v>
      </c>
      <c r="O24" s="197">
        <f>Reference!$B$4*Reference!$B$3*D24</f>
        <v>0</v>
      </c>
      <c r="P24" s="197">
        <f>iferror(LET(ratio, M24/(0.252*D24),(1-ratio) * Reference!$B$3 * D24),0)</f>
        <v>0</v>
      </c>
      <c r="Q24" s="197">
        <f>IF(C24&lt;Reference!$B$26,Reference!$C$26,0)</f>
        <v>0</v>
      </c>
      <c r="R24" s="197">
        <f>IF(C24&lt;Reference!$B$27,Reference!$C$27,0)</f>
        <v>0</v>
      </c>
      <c r="S24" s="197">
        <f t="shared" si="6"/>
        <v>115.9058824</v>
      </c>
      <c r="T24" s="201">
        <f>SWITCH(Summary!$K$26,"Calculated", D24*Reference!$B$5*Reference!$B$6, "Manual entries",M24)</f>
        <v>0</v>
      </c>
      <c r="U24" s="202">
        <f>MAX(SWITCH(Summary!$K$27,"Derived from calculated values",O24,"Derived from manual entries",P24)+(T24*Reference!$B$18)-(D24*S24),0)</f>
        <v>0</v>
      </c>
      <c r="V24" s="203">
        <f>IF(N24,Summary!$C$41/ ($N$26+RSU!J$84), 0)</f>
        <v>0</v>
      </c>
      <c r="W24" s="204">
        <f>IF(N24,(Reference!$B$23 - AA24) * V24, 0)</f>
        <v>0</v>
      </c>
      <c r="X24" s="205">
        <f t="shared" si="7"/>
        <v>0</v>
      </c>
      <c r="Y24" s="206">
        <f>IF(DATEDIF(C24,Reference!$B$28,"Y")&gt;=1,0,W24+X24)+iferror(((AD24/D24)*V24),0)</f>
        <v>0</v>
      </c>
      <c r="Z24" s="207">
        <f>IF(DATEDIF(C24,Reference!$B$28,"Y")&gt;=1,W24+X24,0)</f>
        <v>0</v>
      </c>
      <c r="AA24" s="208">
        <f>IFERROR(((S24*D24) - O24 + X24 + IF(AC24, 0, AD24))/SWITCH(Summary!$K$26, "Calculated", T24, "Manual entries", M24), 0)</f>
        <v>0</v>
      </c>
      <c r="AB24" s="209">
        <f>(Reference!$B$10-AA24)*((SWITCH(Summary!$K$26, "Calculated", T24, "Manual entries", M24)) - V24)</f>
        <v>0</v>
      </c>
      <c r="AC24" s="210" t="b">
        <f>AND(DATEDIF(B24,Reference!$B$29,"Y")&gt;=1, DATEDIF(A24, Reference!$B$29, "Y")&gt;=2)</f>
        <v>0</v>
      </c>
      <c r="AD24" s="209">
        <f t="shared" si="8"/>
        <v>0</v>
      </c>
      <c r="AE24" s="211">
        <f t="shared" si="9"/>
        <v>0</v>
      </c>
    </row>
    <row r="25">
      <c r="O25" s="110"/>
    </row>
    <row r="26">
      <c r="A26" s="212"/>
      <c r="B26" s="92"/>
      <c r="C26" s="92"/>
      <c r="D26" s="213">
        <f>SUM(D5:D24)</f>
        <v>0</v>
      </c>
      <c r="E26" s="92"/>
      <c r="F26" s="92"/>
      <c r="G26" s="214"/>
      <c r="H26" s="215">
        <f>SUM(H3:H24)</f>
        <v>0</v>
      </c>
      <c r="I26" s="92"/>
      <c r="J26" s="92"/>
      <c r="K26" s="92"/>
      <c r="L26" s="92"/>
      <c r="M26" s="216">
        <f>SUM(M5:M24)</f>
        <v>0</v>
      </c>
      <c r="N26" s="214">
        <f>COUNTIF(N3:N24, TRUE)</f>
        <v>0</v>
      </c>
      <c r="O26" s="215">
        <f>SUM(O3:O24)</f>
        <v>0</v>
      </c>
      <c r="P26" s="217">
        <f>SUM(P5:P24)</f>
        <v>0</v>
      </c>
      <c r="Q26" s="92"/>
      <c r="R26" s="92"/>
      <c r="S26" s="92"/>
      <c r="T26" s="218">
        <f t="shared" ref="T26:V26" si="14">SUM(T3:T24)</f>
        <v>0</v>
      </c>
      <c r="U26" s="215">
        <f t="shared" si="14"/>
        <v>0</v>
      </c>
      <c r="V26" s="219">
        <f t="shared" si="14"/>
        <v>0</v>
      </c>
      <c r="W26" s="220">
        <f t="shared" ref="W26:Z26" si="15">SUM(W5:W24)</f>
        <v>0</v>
      </c>
      <c r="X26" s="118">
        <f t="shared" si="15"/>
        <v>0</v>
      </c>
      <c r="Y26" s="221">
        <f t="shared" si="15"/>
        <v>0</v>
      </c>
      <c r="Z26" s="222">
        <f t="shared" si="15"/>
        <v>0</v>
      </c>
      <c r="AA26" s="92"/>
      <c r="AB26" s="91">
        <f>SUM(AB5:AB24)</f>
        <v>0</v>
      </c>
      <c r="AC26" s="91"/>
      <c r="AD26" s="91">
        <f t="shared" ref="AD26:AE26" si="16">SUM(AD5:AD24)</f>
        <v>0</v>
      </c>
      <c r="AE26" s="93">
        <f t="shared" si="16"/>
        <v>0</v>
      </c>
    </row>
  </sheetData>
  <mergeCells count="14">
    <mergeCell ref="B3:G3"/>
    <mergeCell ref="I3:L3"/>
    <mergeCell ref="O3:P3"/>
    <mergeCell ref="Q3:R3"/>
    <mergeCell ref="W3:X3"/>
    <mergeCell ref="Y3:Z3"/>
    <mergeCell ref="AA3:AE3"/>
    <mergeCell ref="A1:N1"/>
    <mergeCell ref="O1:AE1"/>
    <mergeCell ref="A2:L2"/>
    <mergeCell ref="M2:N2"/>
    <mergeCell ref="O2:U2"/>
    <mergeCell ref="W2:Z2"/>
    <mergeCell ref="AA2:AE2"/>
  </mergeCells>
  <conditionalFormatting sqref="M5:M24">
    <cfRule type="cellIs" dxfId="4" priority="1" operator="notEqual">
      <formula>ROUND(T5,3)</formula>
    </cfRule>
  </conditionalFormatting>
  <conditionalFormatting sqref="X5:X24">
    <cfRule type="cellIs" dxfId="5" priority="2" operator="notEqual">
      <formula>O5</formula>
    </cfRule>
  </conditionalFormatting>
  <conditionalFormatting sqref="W5:W24">
    <cfRule type="cellIs" dxfId="6" priority="3" operator="equal">
      <formula>0</formula>
    </cfRule>
  </conditionalFormatting>
  <conditionalFormatting sqref="W5:W24">
    <cfRule type="cellIs" dxfId="7" priority="4" operator="notEqual">
      <formula>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2" max="2" width="9.5"/>
    <col customWidth="1" min="3" max="3" width="12.0"/>
    <col customWidth="1" min="4" max="4" width="14.75"/>
    <col customWidth="1" min="5" max="5" width="19.25"/>
    <col customWidth="1" min="6" max="6" width="24.75"/>
    <col customWidth="1" hidden="1" min="7" max="7" width="21.25"/>
    <col customWidth="1" hidden="1" min="8" max="8" width="15.63"/>
    <col customWidth="1" min="9" max="9" width="24.38"/>
    <col customWidth="1" min="10" max="10" width="12.25"/>
    <col customWidth="1" hidden="1" min="11" max="11" width="11.63"/>
    <col customWidth="1" hidden="1" min="12" max="12" width="18.0"/>
    <col customWidth="1" hidden="1" min="13" max="13" width="28.0"/>
    <col customWidth="1" hidden="1" min="14" max="14" width="23.38"/>
    <col customWidth="1" hidden="1" min="15" max="15" width="21.0"/>
    <col customWidth="1" hidden="1" min="16" max="17" width="18.88"/>
    <col customWidth="1" hidden="1" min="18" max="18" width="23.75"/>
    <col hidden="1" min="19" max="19" width="12.63"/>
    <col customWidth="1" min="22" max="22" width="19.63"/>
    <col customWidth="1" min="23" max="23" width="12.13"/>
    <col customWidth="1" min="24" max="24" width="19.75"/>
    <col customWidth="1" min="25" max="25" width="23.38"/>
    <col customWidth="1" min="26" max="27" width="19.88"/>
  </cols>
  <sheetData>
    <row r="1">
      <c r="A1" s="223" t="s">
        <v>2</v>
      </c>
      <c r="K1" s="224" t="s">
        <v>106</v>
      </c>
      <c r="AA1" s="138"/>
    </row>
    <row r="2">
      <c r="A2" s="225" t="s">
        <v>153</v>
      </c>
      <c r="B2" s="96"/>
      <c r="C2" s="96"/>
      <c r="D2" s="96"/>
      <c r="E2" s="96"/>
      <c r="F2" s="96"/>
      <c r="G2" s="96"/>
      <c r="H2" s="97"/>
      <c r="I2" s="226" t="s">
        <v>108</v>
      </c>
      <c r="J2" s="97"/>
      <c r="K2" s="227" t="s">
        <v>53</v>
      </c>
      <c r="L2" s="96"/>
      <c r="M2" s="96"/>
      <c r="N2" s="96"/>
      <c r="O2" s="96"/>
      <c r="P2" s="96"/>
      <c r="Q2" s="96"/>
      <c r="R2" s="96"/>
      <c r="S2" s="228"/>
      <c r="T2" s="227" t="s">
        <v>109</v>
      </c>
      <c r="U2" s="96"/>
      <c r="V2" s="96"/>
      <c r="W2" s="97"/>
      <c r="X2" s="229" t="s">
        <v>110</v>
      </c>
      <c r="Y2" s="96"/>
      <c r="Z2" s="96"/>
      <c r="AA2" s="97"/>
    </row>
    <row r="3">
      <c r="A3" s="230"/>
      <c r="B3" s="231" t="s">
        <v>111</v>
      </c>
      <c r="F3" s="232" t="s">
        <v>154</v>
      </c>
      <c r="G3" s="233" t="s">
        <v>112</v>
      </c>
      <c r="H3" s="138"/>
      <c r="I3" s="234" t="s">
        <v>114</v>
      </c>
      <c r="J3" s="235" t="s">
        <v>115</v>
      </c>
      <c r="K3" s="236" t="s">
        <v>116</v>
      </c>
      <c r="M3" s="236" t="s">
        <v>117</v>
      </c>
      <c r="O3" s="236" t="s">
        <v>118</v>
      </c>
      <c r="Q3" s="236" t="s">
        <v>119</v>
      </c>
      <c r="R3" s="236" t="s">
        <v>120</v>
      </c>
      <c r="S3" s="233"/>
      <c r="T3" s="231" t="s">
        <v>121</v>
      </c>
      <c r="U3" s="138"/>
      <c r="V3" s="231" t="s">
        <v>122</v>
      </c>
      <c r="W3" s="138"/>
      <c r="X3" s="237" t="s">
        <v>123</v>
      </c>
      <c r="AA3" s="138"/>
    </row>
    <row r="4">
      <c r="A4" s="238" t="s">
        <v>155</v>
      </c>
      <c r="B4" s="239" t="s">
        <v>156</v>
      </c>
      <c r="C4" s="239" t="s">
        <v>157</v>
      </c>
      <c r="D4" s="240" t="s">
        <v>158</v>
      </c>
      <c r="E4" s="159" t="s">
        <v>159</v>
      </c>
      <c r="F4" s="241" t="s">
        <v>160</v>
      </c>
      <c r="G4" s="242" t="s">
        <v>161</v>
      </c>
      <c r="H4" s="238" t="s">
        <v>162</v>
      </c>
      <c r="I4" s="243" t="s">
        <v>136</v>
      </c>
      <c r="J4" s="244"/>
      <c r="K4" s="159" t="s">
        <v>137</v>
      </c>
      <c r="L4" s="159" t="s">
        <v>163</v>
      </c>
      <c r="M4" s="159" t="s">
        <v>139</v>
      </c>
      <c r="N4" s="159" t="s">
        <v>140</v>
      </c>
      <c r="O4" s="159" t="s">
        <v>141</v>
      </c>
      <c r="P4" s="159" t="s">
        <v>164</v>
      </c>
      <c r="Q4" s="159" t="s">
        <v>142</v>
      </c>
      <c r="R4" s="159" t="s">
        <v>143</v>
      </c>
      <c r="S4" s="245" t="s">
        <v>144</v>
      </c>
      <c r="T4" s="246" t="s">
        <v>145</v>
      </c>
      <c r="U4" s="247" t="s">
        <v>76</v>
      </c>
      <c r="V4" s="159" t="s">
        <v>146</v>
      </c>
      <c r="W4" s="248" t="s">
        <v>147</v>
      </c>
      <c r="X4" s="249" t="s">
        <v>148</v>
      </c>
      <c r="Y4" s="250" t="s">
        <v>149</v>
      </c>
      <c r="Z4" s="248" t="s">
        <v>165</v>
      </c>
      <c r="AA4" s="251" t="s">
        <v>166</v>
      </c>
    </row>
    <row r="5">
      <c r="A5" s="252"/>
      <c r="B5" s="253">
        <v>40953.0</v>
      </c>
      <c r="C5" s="254">
        <v>41487.0</v>
      </c>
      <c r="D5" s="255"/>
      <c r="E5" s="256">
        <v>82.1</v>
      </c>
      <c r="F5" s="257"/>
      <c r="G5" s="258">
        <f t="shared" ref="G5:G82" si="1">D5*E5</f>
        <v>0</v>
      </c>
      <c r="H5" s="259">
        <f t="shared" ref="H5:H82" si="2">F5*E5</f>
        <v>0</v>
      </c>
      <c r="I5" s="260"/>
      <c r="J5" s="261" t="b">
        <v>0</v>
      </c>
      <c r="K5" s="172">
        <f>Reference!$B$4*Reference!$B$3*D5</f>
        <v>0</v>
      </c>
      <c r="L5" s="172">
        <f>iferror(LET(ratio, I5/(0.252*D5),(1-ratio) * Reference!$B$3 * D5),0)</f>
        <v>0</v>
      </c>
      <c r="M5" s="172">
        <f>IF(C5&lt;Reference!$B$26,Reference!$C$26,0)</f>
        <v>10.18</v>
      </c>
      <c r="N5" s="172">
        <f>IF(C5&lt;Reference!$B$27,Reference!$C$27,0)</f>
        <v>16.87</v>
      </c>
      <c r="O5" s="172">
        <f t="shared" ref="O5:O82" si="3">E5-M5-N5</f>
        <v>55.05</v>
      </c>
      <c r="P5" s="176">
        <f t="shared" ref="P5:P82" si="4">O5*D5</f>
        <v>0</v>
      </c>
      <c r="Q5" s="176">
        <f>SWITCH(Summary!$K$26,"Calculated", D5*Reference!$B$5*Reference!$B$6, "Manual entries",I5)</f>
        <v>0</v>
      </c>
      <c r="R5" s="177">
        <f>MAX(SWITCH(Summary!$K$27,"Derived from calculated values",K5,"Derived from manual entries",L5)+(Q5*Reference!$B$18)-(D5*O5),0)</f>
        <v>0</v>
      </c>
      <c r="S5" s="262">
        <f>IF(J5,Summary!$C$41/ (J$84+ESPP!$N$26), 0)</f>
        <v>0</v>
      </c>
      <c r="T5" s="263">
        <f>IF(J5,(Reference!$B$23 - X5) * S5, 0)</f>
        <v>0</v>
      </c>
      <c r="U5" s="264">
        <f t="shared" ref="U5:U82" si="5">MIN(K5,R5)</f>
        <v>0</v>
      </c>
      <c r="V5" s="265">
        <f>IF(DATEDIF(C5,Reference!$B$28,"Y")&gt;=1,0,U5+T5)</f>
        <v>0</v>
      </c>
      <c r="W5" s="264">
        <f>IF(DATEDIF(C5,Reference!$B$28,"Y")&gt;=1,U5+T5,0)</f>
        <v>0</v>
      </c>
      <c r="X5" s="266">
        <f>iferror(((O5*D5) - K5 + U5)/SWITCH(Summary!$K$26, "Calculated", Q5, "Manual entries", I5), 0)</f>
        <v>0</v>
      </c>
      <c r="Y5" s="266">
        <f>(Reference!$B$10-X5)*((SWITCH(Summary!$K$26, "Calculated", Q5, "Manual entries", I5)) - S5)</f>
        <v>0</v>
      </c>
      <c r="Z5" s="266">
        <f t="shared" ref="Z5:Z82" si="6">IF(DATEDIF(C5,TODAY(),"Y")&gt;=1,0,Y5)</f>
        <v>0</v>
      </c>
      <c r="AA5" s="267">
        <f t="shared" ref="AA5:AA82" si="7">IF(DATEDIF(C5,TODAY(),"Y")&gt;=1,Y5,0)</f>
        <v>0</v>
      </c>
    </row>
    <row r="6">
      <c r="A6" s="268"/>
      <c r="B6" s="269">
        <v>40953.0</v>
      </c>
      <c r="C6" s="168">
        <v>41671.0</v>
      </c>
      <c r="D6" s="169"/>
      <c r="E6" s="270">
        <v>90.14</v>
      </c>
      <c r="F6" s="271"/>
      <c r="G6" s="172">
        <f t="shared" si="1"/>
        <v>0</v>
      </c>
      <c r="H6" s="177">
        <f t="shared" si="2"/>
        <v>0</v>
      </c>
      <c r="I6" s="272"/>
      <c r="J6" s="189" t="b">
        <v>0</v>
      </c>
      <c r="K6" s="172">
        <f>Reference!$B$4*Reference!$B$3*D6</f>
        <v>0</v>
      </c>
      <c r="L6" s="172">
        <f>iferror(LET(ratio, I6/(0.252*D6),(1-ratio) * Reference!$B$3 * D6),0)</f>
        <v>0</v>
      </c>
      <c r="M6" s="172">
        <f>IF(C6&lt;Reference!$B$26,Reference!$C$26,0)</f>
        <v>10.18</v>
      </c>
      <c r="N6" s="172">
        <f>IF(C6&lt;Reference!$B$27,Reference!$C$27,0)</f>
        <v>16.87</v>
      </c>
      <c r="O6" s="172">
        <f t="shared" si="3"/>
        <v>63.09</v>
      </c>
      <c r="P6" s="176">
        <f t="shared" si="4"/>
        <v>0</v>
      </c>
      <c r="Q6" s="176">
        <f>SWITCH(Summary!$K$26,"Calculated", D6*Reference!$B$5*Reference!$B$6, "Manual entries",I6)</f>
        <v>0</v>
      </c>
      <c r="R6" s="177">
        <f>MAX(SWITCH(Summary!$K$27,"Derived from calculated values",K6,"Derived from manual entries",L6)+(Q6*Reference!$B$18)-(D6*O6),0)</f>
        <v>0</v>
      </c>
      <c r="S6" s="178">
        <f>IF(J6,Summary!$C$41/ (J$84+ESPP!$N$26), 0)</f>
        <v>0</v>
      </c>
      <c r="T6" s="273">
        <f>IF(J6,(Reference!$B$23 - X6) * S6, 0)</f>
        <v>0</v>
      </c>
      <c r="U6" s="180">
        <f t="shared" si="5"/>
        <v>0</v>
      </c>
      <c r="V6" s="274">
        <f>IF(DATEDIF(C6,Reference!$B$28,"Y")&gt;=1,0,U6+T6)</f>
        <v>0</v>
      </c>
      <c r="W6" s="180">
        <f>IF(DATEDIF(C6,Reference!$B$28,"Y")&gt;=1,U6+T6,0)</f>
        <v>0</v>
      </c>
      <c r="X6" s="184">
        <f>iferror(((O6*D6) - K6 + U6)/SWITCH(Summary!$K$26, "Calculated", Q6, "Manual entries", I6), 0)</f>
        <v>0</v>
      </c>
      <c r="Y6" s="184">
        <f>(Reference!$B$10-X6)*((SWITCH(Summary!$K$26, "Calculated", Q6, "Manual entries", I6)) - S6)</f>
        <v>0</v>
      </c>
      <c r="Z6" s="184">
        <f t="shared" si="6"/>
        <v>0</v>
      </c>
      <c r="AA6" s="186">
        <f t="shared" si="7"/>
        <v>0</v>
      </c>
    </row>
    <row r="7">
      <c r="A7" s="268"/>
      <c r="B7" s="269">
        <v>40953.0</v>
      </c>
      <c r="C7" s="168">
        <v>41852.0</v>
      </c>
      <c r="D7" s="169"/>
      <c r="E7" s="270">
        <v>98.33</v>
      </c>
      <c r="F7" s="271"/>
      <c r="G7" s="172">
        <f t="shared" si="1"/>
        <v>0</v>
      </c>
      <c r="H7" s="177">
        <f t="shared" si="2"/>
        <v>0</v>
      </c>
      <c r="I7" s="272"/>
      <c r="J7" s="275" t="b">
        <v>0</v>
      </c>
      <c r="K7" s="172">
        <f>LET(ratio,Reference!$B$4, ratio*Reference!$B$3*D7)</f>
        <v>0</v>
      </c>
      <c r="L7" s="172">
        <f>iferror(LET(ratio, I7/(0.252*D7),(1-ratio) * Reference!$B$3 * D7),0)</f>
        <v>0</v>
      </c>
      <c r="M7" s="172">
        <f>IF(C7&lt;Reference!$B$26,Reference!$C$26,0)</f>
        <v>10.18</v>
      </c>
      <c r="N7" s="172">
        <f>IF(C7&lt;Reference!$B$27,Reference!$C$27,0)</f>
        <v>16.87</v>
      </c>
      <c r="O7" s="172">
        <f t="shared" si="3"/>
        <v>71.28</v>
      </c>
      <c r="P7" s="176">
        <f t="shared" si="4"/>
        <v>0</v>
      </c>
      <c r="Q7" s="176">
        <f>SWITCH(Summary!$K$26,"Calculated", D7*Reference!$B$5*Reference!$B$6, "Manual entries",I7)</f>
        <v>0</v>
      </c>
      <c r="R7" s="177">
        <f>MAX(SWITCH(Summary!$K$27,"Derived from calculated values",K7,"Derived from manual entries",L7)+(Q7*Reference!$B$18)-(D7*O7),0)</f>
        <v>0</v>
      </c>
      <c r="S7" s="178">
        <f>IF(J7,Summary!$C$41/ (J$84+ESPP!$N$26), 0)</f>
        <v>0</v>
      </c>
      <c r="T7" s="273">
        <f>IF(J7,(Reference!$B$23 - X7) * S7, 0)</f>
        <v>0</v>
      </c>
      <c r="U7" s="180">
        <f t="shared" si="5"/>
        <v>0</v>
      </c>
      <c r="V7" s="274">
        <f>IF(DATEDIF(C7,Reference!$B$28,"Y")&gt;=1,0,U7+T7)</f>
        <v>0</v>
      </c>
      <c r="W7" s="180">
        <f>IF(DATEDIF(C7,Reference!$B$28,"Y")&gt;=1,U7+T7,0)</f>
        <v>0</v>
      </c>
      <c r="X7" s="184">
        <f>iferror(((O7*D7) - K7 + U7)/SWITCH(Summary!$K$26, "Calculated", Q7, "Manual entries", I7), 0)</f>
        <v>0</v>
      </c>
      <c r="Y7" s="184">
        <f>(Reference!$B$10-X7)*((SWITCH(Summary!$K$26, "Calculated", Q7, "Manual entries", I7)) - S7)</f>
        <v>0</v>
      </c>
      <c r="Z7" s="184">
        <f t="shared" si="6"/>
        <v>0</v>
      </c>
      <c r="AA7" s="186">
        <f t="shared" si="7"/>
        <v>0</v>
      </c>
    </row>
    <row r="8">
      <c r="A8" s="268"/>
      <c r="B8" s="269">
        <v>40953.0</v>
      </c>
      <c r="C8" s="168">
        <v>42036.0</v>
      </c>
      <c r="D8" s="169"/>
      <c r="E8" s="270">
        <v>77.1</v>
      </c>
      <c r="F8" s="271"/>
      <c r="G8" s="172">
        <f t="shared" si="1"/>
        <v>0</v>
      </c>
      <c r="H8" s="177">
        <f t="shared" si="2"/>
        <v>0</v>
      </c>
      <c r="I8" s="276"/>
      <c r="J8" s="189" t="b">
        <v>0</v>
      </c>
      <c r="K8" s="172">
        <f>LET(ratio,Reference!$B$4, ratio*Reference!$B$3*D8)</f>
        <v>0</v>
      </c>
      <c r="L8" s="172">
        <f>iferror(LET(ratio, I8/(0.252*D8),(1-ratio) * Reference!$B$3 * D8),0)</f>
        <v>0</v>
      </c>
      <c r="M8" s="172">
        <f>IF(C8&lt;Reference!$B$26,Reference!$C$26,0)</f>
        <v>10.18</v>
      </c>
      <c r="N8" s="172">
        <f>IF(C8&lt;Reference!$B$27,Reference!$C$27,0)</f>
        <v>16.87</v>
      </c>
      <c r="O8" s="172">
        <f t="shared" si="3"/>
        <v>50.05</v>
      </c>
      <c r="P8" s="176">
        <f t="shared" si="4"/>
        <v>0</v>
      </c>
      <c r="Q8" s="176">
        <f>SWITCH(Summary!$K$26,"Calculated", D8*Reference!$B$5*Reference!$B$6, "Manual entries",I8)</f>
        <v>0</v>
      </c>
      <c r="R8" s="177">
        <f>MAX(SWITCH(Summary!$K$27,"Derived from calculated values",K8,"Derived from manual entries",L8)+(Q8*Reference!$B$18)-(D8*O8),0)</f>
        <v>0</v>
      </c>
      <c r="S8" s="178">
        <f>IF(J8,Summary!$C$41/ (J$84+ESPP!$N$26), 0)</f>
        <v>0</v>
      </c>
      <c r="T8" s="273">
        <f>IF(J8,(Reference!$B$23 - X8) * S8, 0)</f>
        <v>0</v>
      </c>
      <c r="U8" s="180">
        <f t="shared" si="5"/>
        <v>0</v>
      </c>
      <c r="V8" s="274">
        <f>IF(DATEDIF(C8,Reference!$B$28,"Y")&gt;=1,0,U8+T8)</f>
        <v>0</v>
      </c>
      <c r="W8" s="180">
        <f>IF(DATEDIF(C8,Reference!$B$28,"Y")&gt;=1,U8+T8,0)</f>
        <v>0</v>
      </c>
      <c r="X8" s="184">
        <f>iferror(((O8*D8) - K8 + U8)/SWITCH(Summary!$K$26, "Calculated", Q8, "Manual entries", I8), 0)</f>
        <v>0</v>
      </c>
      <c r="Y8" s="184">
        <f>(Reference!$B$10-X8)*((SWITCH(Summary!$K$26, "Calculated", Q8, "Manual entries", I8)) - S8)</f>
        <v>0</v>
      </c>
      <c r="Z8" s="184">
        <f t="shared" si="6"/>
        <v>0</v>
      </c>
      <c r="AA8" s="186">
        <f t="shared" si="7"/>
        <v>0</v>
      </c>
    </row>
    <row r="9">
      <c r="A9" s="268"/>
      <c r="B9" s="269">
        <v>41803.0</v>
      </c>
      <c r="C9" s="168">
        <v>42125.0</v>
      </c>
      <c r="D9" s="169"/>
      <c r="E9" s="270">
        <v>87.47</v>
      </c>
      <c r="F9" s="271"/>
      <c r="G9" s="172">
        <f t="shared" si="1"/>
        <v>0</v>
      </c>
      <c r="H9" s="177">
        <f t="shared" si="2"/>
        <v>0</v>
      </c>
      <c r="I9" s="272"/>
      <c r="J9" s="189" t="b">
        <v>0</v>
      </c>
      <c r="K9" s="172">
        <f>LET(ratio,Reference!$B$4, ratio*Reference!$B$3*D9)</f>
        <v>0</v>
      </c>
      <c r="L9" s="172">
        <f>iferror(LET(ratio, I9/(0.252*D9),(1-ratio) * Reference!$B$3 * D9),0)</f>
        <v>0</v>
      </c>
      <c r="M9" s="172">
        <f>IF(C9&lt;Reference!$B$26,Reference!$C$26,0)</f>
        <v>10.18</v>
      </c>
      <c r="N9" s="172">
        <f>IF(C9&lt;Reference!$B$27,Reference!$C$27,0)</f>
        <v>16.87</v>
      </c>
      <c r="O9" s="172">
        <f t="shared" si="3"/>
        <v>60.42</v>
      </c>
      <c r="P9" s="176">
        <f t="shared" si="4"/>
        <v>0</v>
      </c>
      <c r="Q9" s="176">
        <f>SWITCH(Summary!$K$26,"Calculated", D9*Reference!$B$5*Reference!$B$6, "Manual entries",I9)</f>
        <v>0</v>
      </c>
      <c r="R9" s="177">
        <f>MAX(SWITCH(Summary!$K$27,"Derived from calculated values",K9,"Derived from manual entries",L9)+(Q9*Reference!$B$18)-(D9*O9),0)</f>
        <v>0</v>
      </c>
      <c r="S9" s="178">
        <f>IF(J9,Summary!$C$41/ (J$84+ESPP!$N$26), 0)</f>
        <v>0</v>
      </c>
      <c r="T9" s="273">
        <f>IF(J9,(Reference!$B$23 - X9) * S9, 0)</f>
        <v>0</v>
      </c>
      <c r="U9" s="180">
        <f t="shared" si="5"/>
        <v>0</v>
      </c>
      <c r="V9" s="274">
        <f>IF(DATEDIF(C9,Reference!$B$28,"Y")&gt;=1,0,U9+T9)</f>
        <v>0</v>
      </c>
      <c r="W9" s="180">
        <f>IF(DATEDIF(C9,Reference!$B$28,"Y")&gt;=1,U9+T9,0)</f>
        <v>0</v>
      </c>
      <c r="X9" s="184">
        <f>iferror(((O9*D9) - K9 + U9)/SWITCH(Summary!$K$26, "Calculated", Q9, "Manual entries", I9), 0)</f>
        <v>0</v>
      </c>
      <c r="Y9" s="184">
        <f>(Reference!$B$10-X9)*((SWITCH(Summary!$K$26, "Calculated", Q9, "Manual entries", I9)) - S9)</f>
        <v>0</v>
      </c>
      <c r="Z9" s="184">
        <f t="shared" si="6"/>
        <v>0</v>
      </c>
      <c r="AA9" s="186">
        <f t="shared" si="7"/>
        <v>0</v>
      </c>
    </row>
    <row r="10">
      <c r="A10" s="268"/>
      <c r="B10" s="269">
        <v>40953.0</v>
      </c>
      <c r="C10" s="168">
        <v>42217.0</v>
      </c>
      <c r="D10" s="169"/>
      <c r="E10" s="270">
        <v>89.13</v>
      </c>
      <c r="F10" s="271"/>
      <c r="G10" s="172">
        <f t="shared" si="1"/>
        <v>0</v>
      </c>
      <c r="H10" s="177">
        <f t="shared" si="2"/>
        <v>0</v>
      </c>
      <c r="I10" s="272"/>
      <c r="J10" s="189" t="b">
        <v>0</v>
      </c>
      <c r="K10" s="172">
        <f>LET(ratio,Reference!$B$4, ratio*Reference!$B$3*D10)</f>
        <v>0</v>
      </c>
      <c r="L10" s="172">
        <f>iferror(LET(ratio, I10/(0.252*D10),(1-ratio) * Reference!$B$3 * D10),0)</f>
        <v>0</v>
      </c>
      <c r="M10" s="172">
        <f>IF(C10&lt;Reference!$B$26,Reference!$C$26,0)</f>
        <v>10.18</v>
      </c>
      <c r="N10" s="172">
        <f>IF(C10&lt;Reference!$B$27,Reference!$C$27,0)</f>
        <v>16.87</v>
      </c>
      <c r="O10" s="172">
        <f t="shared" si="3"/>
        <v>62.08</v>
      </c>
      <c r="P10" s="176">
        <f t="shared" si="4"/>
        <v>0</v>
      </c>
      <c r="Q10" s="176">
        <f>SWITCH(Summary!$K$26,"Calculated", D10*Reference!$B$5*Reference!$B$6, "Manual entries",I10)</f>
        <v>0</v>
      </c>
      <c r="R10" s="177">
        <f>MAX(SWITCH(Summary!$K$27,"Derived from calculated values",K10,"Derived from manual entries",L10)+(Q10*Reference!$B$18)-(D10*O10),0)</f>
        <v>0</v>
      </c>
      <c r="S10" s="178">
        <f>IF(J10,Summary!$C$41/ (J$84+ESPP!$N$26), 0)</f>
        <v>0</v>
      </c>
      <c r="T10" s="273">
        <f>IF(J10,(Reference!$B$23 - X10) * S10, 0)</f>
        <v>0</v>
      </c>
      <c r="U10" s="180">
        <f t="shared" si="5"/>
        <v>0</v>
      </c>
      <c r="V10" s="274">
        <f>IF(DATEDIF(C10,Reference!$B$28,"Y")&gt;=1,0,U10+T10)</f>
        <v>0</v>
      </c>
      <c r="W10" s="180">
        <f>IF(DATEDIF(C10,Reference!$B$28,"Y")&gt;=1,U10+T10,0)</f>
        <v>0</v>
      </c>
      <c r="X10" s="184">
        <f>iferror(((O10*D10) - K10 + U10)/SWITCH(Summary!$K$26, "Calculated", Q10, "Manual entries", I10), 0)</f>
        <v>0</v>
      </c>
      <c r="Y10" s="184">
        <f>(Reference!$B$10-X10)*((SWITCH(Summary!$K$26, "Calculated", Q10, "Manual entries", I10)) - S10)</f>
        <v>0</v>
      </c>
      <c r="Z10" s="184">
        <f t="shared" si="6"/>
        <v>0</v>
      </c>
      <c r="AA10" s="186">
        <f t="shared" si="7"/>
        <v>0</v>
      </c>
    </row>
    <row r="11">
      <c r="A11" s="268"/>
      <c r="B11" s="269">
        <v>41803.0</v>
      </c>
      <c r="C11" s="168">
        <v>42309.0</v>
      </c>
      <c r="D11" s="169"/>
      <c r="E11" s="270">
        <v>60.15</v>
      </c>
      <c r="F11" s="271"/>
      <c r="G11" s="172">
        <f t="shared" si="1"/>
        <v>0</v>
      </c>
      <c r="H11" s="177">
        <f t="shared" si="2"/>
        <v>0</v>
      </c>
      <c r="I11" s="272"/>
      <c r="J11" s="189" t="b">
        <v>0</v>
      </c>
      <c r="K11" s="172">
        <f>LET(ratio,Reference!$B$4, ratio*Reference!$B$3*D11)</f>
        <v>0</v>
      </c>
      <c r="L11" s="172">
        <f>iferror(LET(ratio, I11/(0.252*D11),(1-ratio) * Reference!$B$3 * D11),0)</f>
        <v>0</v>
      </c>
      <c r="M11" s="172">
        <f>IF(C11&lt;Reference!$B$26,Reference!$C$26,0)</f>
        <v>10.18</v>
      </c>
      <c r="N11" s="172">
        <f>IF(C11&lt;Reference!$B$27,Reference!$C$27,0)</f>
        <v>16.87</v>
      </c>
      <c r="O11" s="172">
        <f t="shared" si="3"/>
        <v>33.1</v>
      </c>
      <c r="P11" s="176">
        <f t="shared" si="4"/>
        <v>0</v>
      </c>
      <c r="Q11" s="176">
        <f>SWITCH(Summary!$K$26,"Calculated", D11*Reference!$B$5*Reference!$B$6, "Manual entries",I11)</f>
        <v>0</v>
      </c>
      <c r="R11" s="177">
        <f>MAX(SWITCH(Summary!$K$27,"Derived from calculated values",K11,"Derived from manual entries",L11)+(Q11*Reference!$B$18)-(D11*O11),0)</f>
        <v>0</v>
      </c>
      <c r="S11" s="178">
        <f>IF(J11,Summary!$C$41/ (J$84+ESPP!$N$26), 0)</f>
        <v>0</v>
      </c>
      <c r="T11" s="273">
        <f>IF(J11,(Reference!$B$23 - X11) * S11, 0)</f>
        <v>0</v>
      </c>
      <c r="U11" s="180">
        <f t="shared" si="5"/>
        <v>0</v>
      </c>
      <c r="V11" s="274">
        <f>IF(DATEDIF(C11,Reference!$B$28,"Y")&gt;=1,0,U11+T11)</f>
        <v>0</v>
      </c>
      <c r="W11" s="180">
        <f>IF(DATEDIF(C11,Reference!$B$28,"Y")&gt;=1,U11+T11,0)</f>
        <v>0</v>
      </c>
      <c r="X11" s="184">
        <f>iferror(((O11*D11) - K11 + U11)/SWITCH(Summary!$K$26, "Calculated", Q11, "Manual entries", I11), 0)</f>
        <v>0</v>
      </c>
      <c r="Y11" s="184">
        <f>(Reference!$B$10-X11)*((SWITCH(Summary!$K$26, "Calculated", Q11, "Manual entries", I11)) - S11)</f>
        <v>0</v>
      </c>
      <c r="Z11" s="184">
        <f t="shared" si="6"/>
        <v>0</v>
      </c>
      <c r="AA11" s="186">
        <f t="shared" si="7"/>
        <v>0</v>
      </c>
    </row>
    <row r="12">
      <c r="A12" s="268"/>
      <c r="B12" s="269">
        <v>40953.0</v>
      </c>
      <c r="C12" s="168">
        <v>42401.0</v>
      </c>
      <c r="D12" s="169"/>
      <c r="E12" s="270">
        <v>45.49</v>
      </c>
      <c r="F12" s="271"/>
      <c r="G12" s="172">
        <f t="shared" si="1"/>
        <v>0</v>
      </c>
      <c r="H12" s="177">
        <f t="shared" si="2"/>
        <v>0</v>
      </c>
      <c r="I12" s="272"/>
      <c r="J12" s="189" t="b">
        <v>0</v>
      </c>
      <c r="K12" s="172">
        <f>LET(ratio,Reference!$B$4, ratio*Reference!$B$3*D12)</f>
        <v>0</v>
      </c>
      <c r="L12" s="172">
        <f>iferror(LET(ratio, I12/(0.252*D12),(1-ratio) * Reference!$B$3 * D12),0)</f>
        <v>0</v>
      </c>
      <c r="M12" s="172">
        <f>IF(C12&lt;Reference!$B$26,Reference!$C$26,0)</f>
        <v>10.18</v>
      </c>
      <c r="N12" s="172">
        <f>IF(C12&lt;Reference!$B$27,Reference!$C$27,0)</f>
        <v>16.87</v>
      </c>
      <c r="O12" s="172">
        <f t="shared" si="3"/>
        <v>18.44</v>
      </c>
      <c r="P12" s="176">
        <f t="shared" si="4"/>
        <v>0</v>
      </c>
      <c r="Q12" s="176">
        <f>SWITCH(Summary!$K$26,"Calculated", D12*Reference!$B$5*Reference!$B$6, "Manual entries",I12)</f>
        <v>0</v>
      </c>
      <c r="R12" s="177">
        <f>MAX(SWITCH(Summary!$K$27,"Derived from calculated values",K12,"Derived from manual entries",L12)+(Q12*Reference!$B$18)-(D12*O12),0)</f>
        <v>0</v>
      </c>
      <c r="S12" s="178">
        <f>IF(J12,Summary!$C$41/ (J$84+ESPP!$N$26), 0)</f>
        <v>0</v>
      </c>
      <c r="T12" s="273">
        <f>IF(J12,(Reference!$B$23 - X12) * S12, 0)</f>
        <v>0</v>
      </c>
      <c r="U12" s="180">
        <f t="shared" si="5"/>
        <v>0</v>
      </c>
      <c r="V12" s="274">
        <f>IF(DATEDIF(C12,Reference!$B$28,"Y")&gt;=1,0,U12+T12)</f>
        <v>0</v>
      </c>
      <c r="W12" s="180">
        <f>IF(DATEDIF(C12,Reference!$B$28,"Y")&gt;=1,U12+T12,0)</f>
        <v>0</v>
      </c>
      <c r="X12" s="184">
        <f>iferror(((O12*D12) - K12 + U12)/SWITCH(Summary!$K$26, "Calculated", Q12, "Manual entries", I12), 0)</f>
        <v>0</v>
      </c>
      <c r="Y12" s="184">
        <f>(Reference!$B$10-X12)*((SWITCH(Summary!$K$26, "Calculated", Q12, "Manual entries", I12)) - S12)</f>
        <v>0</v>
      </c>
      <c r="Z12" s="184">
        <f t="shared" si="6"/>
        <v>0</v>
      </c>
      <c r="AA12" s="186">
        <f t="shared" si="7"/>
        <v>0</v>
      </c>
    </row>
    <row r="13">
      <c r="A13" s="268"/>
      <c r="B13" s="269">
        <v>41803.0</v>
      </c>
      <c r="C13" s="168">
        <v>42491.0</v>
      </c>
      <c r="D13" s="169"/>
      <c r="E13" s="270">
        <v>56.91</v>
      </c>
      <c r="F13" s="271"/>
      <c r="G13" s="172">
        <f t="shared" si="1"/>
        <v>0</v>
      </c>
      <c r="H13" s="177">
        <f t="shared" si="2"/>
        <v>0</v>
      </c>
      <c r="I13" s="272"/>
      <c r="J13" s="189" t="b">
        <v>0</v>
      </c>
      <c r="K13" s="172">
        <f>LET(ratio,Reference!$B$4, ratio*Reference!$B$3*D13)</f>
        <v>0</v>
      </c>
      <c r="L13" s="172">
        <f>iferror(LET(ratio, I13/(0.252*D13),(1-ratio) * Reference!$B$3 * D13),0)</f>
        <v>0</v>
      </c>
      <c r="M13" s="172">
        <f>IF(C13&lt;Reference!$B$26,Reference!$C$26,0)</f>
        <v>10.18</v>
      </c>
      <c r="N13" s="172">
        <f>IF(C13&lt;Reference!$B$27,Reference!$C$27,0)</f>
        <v>16.87</v>
      </c>
      <c r="O13" s="172">
        <f t="shared" si="3"/>
        <v>29.86</v>
      </c>
      <c r="P13" s="176">
        <f t="shared" si="4"/>
        <v>0</v>
      </c>
      <c r="Q13" s="176">
        <f>SWITCH(Summary!$K$26,"Calculated", D13*Reference!$B$5*Reference!$B$6, "Manual entries",I13)</f>
        <v>0</v>
      </c>
      <c r="R13" s="177">
        <f>MAX(SWITCH(Summary!$K$27,"Derived from calculated values",K13,"Derived from manual entries",L13)+(Q13*Reference!$B$18)-(D13*O13),0)</f>
        <v>0</v>
      </c>
      <c r="S13" s="178">
        <f>IF(J13,Summary!$C$41/ (J$84+ESPP!$N$26), 0)</f>
        <v>0</v>
      </c>
      <c r="T13" s="273">
        <f>IF(J13,(Reference!$B$23 - X13) * S13, 0)</f>
        <v>0</v>
      </c>
      <c r="U13" s="180">
        <f t="shared" si="5"/>
        <v>0</v>
      </c>
      <c r="V13" s="274">
        <f>IF(DATEDIF(C13,Reference!$B$28,"Y")&gt;=1,0,U13+T13)</f>
        <v>0</v>
      </c>
      <c r="W13" s="180">
        <f>IF(DATEDIF(C13,Reference!$B$28,"Y")&gt;=1,U13+T13,0)</f>
        <v>0</v>
      </c>
      <c r="X13" s="184">
        <f>iferror(((O13*D13) - K13 + U13)/SWITCH(Summary!$K$26, "Calculated", Q13, "Manual entries", I13), 0)</f>
        <v>0</v>
      </c>
      <c r="Y13" s="184">
        <f>(Reference!$B$10-X13)*((SWITCH(Summary!$K$26, "Calculated", Q13, "Manual entries", I13)) - S13)</f>
        <v>0</v>
      </c>
      <c r="Z13" s="184">
        <f t="shared" si="6"/>
        <v>0</v>
      </c>
      <c r="AA13" s="186">
        <f t="shared" si="7"/>
        <v>0</v>
      </c>
    </row>
    <row r="14">
      <c r="A14" s="268"/>
      <c r="B14" s="269">
        <v>42170.0</v>
      </c>
      <c r="C14" s="168">
        <v>42491.0</v>
      </c>
      <c r="D14" s="169"/>
      <c r="E14" s="270">
        <v>56.91</v>
      </c>
      <c r="F14" s="271"/>
      <c r="G14" s="172">
        <f t="shared" si="1"/>
        <v>0</v>
      </c>
      <c r="H14" s="177">
        <f t="shared" si="2"/>
        <v>0</v>
      </c>
      <c r="I14" s="272"/>
      <c r="J14" s="189" t="b">
        <v>0</v>
      </c>
      <c r="K14" s="172">
        <f>LET(ratio,Reference!$B$4, ratio*Reference!$B$3*D14)</f>
        <v>0</v>
      </c>
      <c r="L14" s="172">
        <f>iferror(LET(ratio, I14/(0.252*D14),(1-ratio) * Reference!$B$3 * D14),0)</f>
        <v>0</v>
      </c>
      <c r="M14" s="172">
        <f>IF(C14&lt;Reference!$B$26,Reference!$C$26,0)</f>
        <v>10.18</v>
      </c>
      <c r="N14" s="172">
        <f>IF(C14&lt;Reference!$B$27,Reference!$C$27,0)</f>
        <v>16.87</v>
      </c>
      <c r="O14" s="172">
        <f t="shared" si="3"/>
        <v>29.86</v>
      </c>
      <c r="P14" s="176">
        <f t="shared" si="4"/>
        <v>0</v>
      </c>
      <c r="Q14" s="176">
        <f>SWITCH(Summary!$K$26,"Calculated", D14*Reference!$B$5*Reference!$B$6, "Manual entries",I14)</f>
        <v>0</v>
      </c>
      <c r="R14" s="177">
        <f>MAX(SWITCH(Summary!$K$27,"Derived from calculated values",K14,"Derived from manual entries",L14)+(Q14*Reference!$B$18)-(D14*O14),0)</f>
        <v>0</v>
      </c>
      <c r="S14" s="178">
        <f>IF(J14,Summary!$C$41/ (J$84+ESPP!$N$26), 0)</f>
        <v>0</v>
      </c>
      <c r="T14" s="273">
        <f>IF(J14,(Reference!$B$23 - X14) * S14, 0)</f>
        <v>0</v>
      </c>
      <c r="U14" s="180">
        <f t="shared" si="5"/>
        <v>0</v>
      </c>
      <c r="V14" s="274">
        <f>IF(DATEDIF(C14,Reference!$B$28,"Y")&gt;=1,0,U14+T14)</f>
        <v>0</v>
      </c>
      <c r="W14" s="180">
        <f>IF(DATEDIF(C14,Reference!$B$28,"Y")&gt;=1,U14+T14,0)</f>
        <v>0</v>
      </c>
      <c r="X14" s="184">
        <f>iferror(((O14*D14) - K14 + U14)/SWITCH(Summary!$K$26, "Calculated", Q14, "Manual entries", I14), 0)</f>
        <v>0</v>
      </c>
      <c r="Y14" s="184">
        <f>(Reference!$B$10-X14)*((SWITCH(Summary!$K$26, "Calculated", Q14, "Manual entries", I14)) - S14)</f>
        <v>0</v>
      </c>
      <c r="Z14" s="184">
        <f t="shared" si="6"/>
        <v>0</v>
      </c>
      <c r="AA14" s="186">
        <f t="shared" si="7"/>
        <v>0</v>
      </c>
    </row>
    <row r="15">
      <c r="A15" s="268"/>
      <c r="B15" s="269">
        <v>41803.0</v>
      </c>
      <c r="C15" s="168">
        <v>42675.0</v>
      </c>
      <c r="D15" s="169"/>
      <c r="E15" s="270">
        <v>77.97</v>
      </c>
      <c r="F15" s="271"/>
      <c r="G15" s="172">
        <f t="shared" si="1"/>
        <v>0</v>
      </c>
      <c r="H15" s="177">
        <f t="shared" si="2"/>
        <v>0</v>
      </c>
      <c r="I15" s="272"/>
      <c r="J15" s="189" t="b">
        <v>0</v>
      </c>
      <c r="K15" s="172">
        <f>LET(ratio,Reference!$B$4, ratio*Reference!$B$3*D15)</f>
        <v>0</v>
      </c>
      <c r="L15" s="172">
        <f>iferror(LET(ratio, I15/(0.252*D15),(1-ratio) * Reference!$B$3 * D15),0)</f>
        <v>0</v>
      </c>
      <c r="M15" s="172">
        <f>IF(C15&lt;Reference!$B$26,Reference!$C$26,0)</f>
        <v>10.18</v>
      </c>
      <c r="N15" s="172">
        <f>IF(C15&lt;Reference!$B$27,Reference!$C$27,0)</f>
        <v>16.87</v>
      </c>
      <c r="O15" s="172">
        <f t="shared" si="3"/>
        <v>50.92</v>
      </c>
      <c r="P15" s="176">
        <f t="shared" si="4"/>
        <v>0</v>
      </c>
      <c r="Q15" s="176">
        <f>SWITCH(Summary!$K$26,"Calculated", D15*Reference!$B$5*Reference!$B$6, "Manual entries",I15)</f>
        <v>0</v>
      </c>
      <c r="R15" s="177">
        <f>MAX(SWITCH(Summary!$K$27,"Derived from calculated values",K15,"Derived from manual entries",L15)+(Q15*Reference!$B$18)-(D15*O15),0)</f>
        <v>0</v>
      </c>
      <c r="S15" s="178">
        <f>IF(J15,Summary!$C$41/ (J$84+ESPP!$N$26), 0)</f>
        <v>0</v>
      </c>
      <c r="T15" s="273">
        <f>IF(J15,(Reference!$B$23 - X15) * S15, 0)</f>
        <v>0</v>
      </c>
      <c r="U15" s="180">
        <f t="shared" si="5"/>
        <v>0</v>
      </c>
      <c r="V15" s="274">
        <f>IF(DATEDIF(C15,Reference!$B$28,"Y")&gt;=1,0,U15+T15)</f>
        <v>0</v>
      </c>
      <c r="W15" s="180">
        <f>IF(DATEDIF(C15,Reference!$B$28,"Y")&gt;=1,U15+T15,0)</f>
        <v>0</v>
      </c>
      <c r="X15" s="184">
        <f>iferror(((O15*D15) - K15 + U15)/SWITCH(Summary!$K$26, "Calculated", Q15, "Manual entries", I15), 0)</f>
        <v>0</v>
      </c>
      <c r="Y15" s="184">
        <f>(Reference!$B$10-X15)*((SWITCH(Summary!$K$26, "Calculated", Q15, "Manual entries", I15)) - S15)</f>
        <v>0</v>
      </c>
      <c r="Z15" s="184">
        <f t="shared" si="6"/>
        <v>0</v>
      </c>
      <c r="AA15" s="186">
        <f t="shared" si="7"/>
        <v>0</v>
      </c>
    </row>
    <row r="16">
      <c r="A16" s="268"/>
      <c r="B16" s="269">
        <v>42170.0</v>
      </c>
      <c r="C16" s="168">
        <v>42675.0</v>
      </c>
      <c r="D16" s="169"/>
      <c r="E16" s="270">
        <v>77.97</v>
      </c>
      <c r="F16" s="271"/>
      <c r="G16" s="172">
        <f t="shared" si="1"/>
        <v>0</v>
      </c>
      <c r="H16" s="177">
        <f t="shared" si="2"/>
        <v>0</v>
      </c>
      <c r="I16" s="272"/>
      <c r="J16" s="189" t="b">
        <v>0</v>
      </c>
      <c r="K16" s="172">
        <f>LET(ratio,Reference!$B$4, ratio*Reference!$B$3*D16)</f>
        <v>0</v>
      </c>
      <c r="L16" s="172">
        <f>iferror(LET(ratio, I16/(0.252*D16),(1-ratio) * Reference!$B$3 * D16),0)</f>
        <v>0</v>
      </c>
      <c r="M16" s="172">
        <f>IF(C16&lt;Reference!$B$26,Reference!$C$26,0)</f>
        <v>10.18</v>
      </c>
      <c r="N16" s="172">
        <f>IF(C16&lt;Reference!$B$27,Reference!$C$27,0)</f>
        <v>16.87</v>
      </c>
      <c r="O16" s="172">
        <f t="shared" si="3"/>
        <v>50.92</v>
      </c>
      <c r="P16" s="176">
        <f t="shared" si="4"/>
        <v>0</v>
      </c>
      <c r="Q16" s="176">
        <f>SWITCH(Summary!$K$26,"Calculated", D16*Reference!$B$5*Reference!$B$6, "Manual entries",I16)</f>
        <v>0</v>
      </c>
      <c r="R16" s="177">
        <f>MAX(SWITCH(Summary!$K$27,"Derived from calculated values",K16,"Derived from manual entries",L16)+(Q16*Reference!$B$18)-(D16*O16),0)</f>
        <v>0</v>
      </c>
      <c r="S16" s="178">
        <f>IF(J16,Summary!$C$41/ (J$84+ESPP!$N$26), 0)</f>
        <v>0</v>
      </c>
      <c r="T16" s="273">
        <f>IF(J16,(Reference!$B$23 - X16) * S16, 0)</f>
        <v>0</v>
      </c>
      <c r="U16" s="180">
        <f t="shared" si="5"/>
        <v>0</v>
      </c>
      <c r="V16" s="274">
        <f>IF(DATEDIF(C16,Reference!$B$28,"Y")&gt;=1,0,U16+T16)</f>
        <v>0</v>
      </c>
      <c r="W16" s="180">
        <f>IF(DATEDIF(C16,Reference!$B$28,"Y")&gt;=1,U16+T16,0)</f>
        <v>0</v>
      </c>
      <c r="X16" s="184">
        <f>iferror(((O16*D16) - K16 + U16)/SWITCH(Summary!$K$26, "Calculated", Q16, "Manual entries", I16), 0)</f>
        <v>0</v>
      </c>
      <c r="Y16" s="184">
        <f>(Reference!$B$10-X16)*((SWITCH(Summary!$K$26, "Calculated", Q16, "Manual entries", I16)) - S16)</f>
        <v>0</v>
      </c>
      <c r="Z16" s="184">
        <f t="shared" si="6"/>
        <v>0</v>
      </c>
      <c r="AA16" s="186">
        <f t="shared" si="7"/>
        <v>0</v>
      </c>
    </row>
    <row r="17">
      <c r="A17" s="268"/>
      <c r="B17" s="269">
        <v>42342.0</v>
      </c>
      <c r="C17" s="168">
        <v>42705.0</v>
      </c>
      <c r="D17" s="169"/>
      <c r="E17" s="270">
        <v>78.04</v>
      </c>
      <c r="F17" s="271"/>
      <c r="G17" s="172">
        <f t="shared" si="1"/>
        <v>0</v>
      </c>
      <c r="H17" s="177">
        <f t="shared" si="2"/>
        <v>0</v>
      </c>
      <c r="I17" s="272"/>
      <c r="J17" s="189" t="b">
        <v>0</v>
      </c>
      <c r="K17" s="172">
        <f>LET(ratio,Reference!$B$4, ratio*Reference!$B$3*D17)</f>
        <v>0</v>
      </c>
      <c r="L17" s="172">
        <f>iferror(LET(ratio, I17/(0.252*D17),(1-ratio) * Reference!$B$3 * D17),0)</f>
        <v>0</v>
      </c>
      <c r="M17" s="172">
        <f>IF(C17&lt;Reference!$B$26,Reference!$C$26,0)</f>
        <v>10.18</v>
      </c>
      <c r="N17" s="172">
        <f>IF(C17&lt;Reference!$B$27,Reference!$C$27,0)</f>
        <v>16.87</v>
      </c>
      <c r="O17" s="172">
        <f t="shared" si="3"/>
        <v>50.99</v>
      </c>
      <c r="P17" s="176">
        <f t="shared" si="4"/>
        <v>0</v>
      </c>
      <c r="Q17" s="176">
        <f>SWITCH(Summary!$K$26,"Calculated", D17*Reference!$B$5*Reference!$B$6, "Manual entries",I17)</f>
        <v>0</v>
      </c>
      <c r="R17" s="177">
        <f>MAX(SWITCH(Summary!$K$27,"Derived from calculated values",K17,"Derived from manual entries",L17)+(Q17*Reference!$B$18)-(D17*O17),0)</f>
        <v>0</v>
      </c>
      <c r="S17" s="178">
        <f>IF(J17,Summary!$C$41/ (J$84+ESPP!$N$26), 0)</f>
        <v>0</v>
      </c>
      <c r="T17" s="273">
        <f>IF(J17,(Reference!$B$23 - X17) * S17, 0)</f>
        <v>0</v>
      </c>
      <c r="U17" s="180">
        <f t="shared" si="5"/>
        <v>0</v>
      </c>
      <c r="V17" s="274">
        <f>IF(DATEDIF(C17,Reference!$B$28,"Y")&gt;=1,0,U17+T17)</f>
        <v>0</v>
      </c>
      <c r="W17" s="180">
        <f>IF(DATEDIF(C17,Reference!$B$28,"Y")&gt;=1,U17+T17,0)</f>
        <v>0</v>
      </c>
      <c r="X17" s="184">
        <f>iferror(((O17*D17) - K17 + U17)/SWITCH(Summary!$K$26, "Calculated", Q17, "Manual entries", I17), 0)</f>
        <v>0</v>
      </c>
      <c r="Y17" s="184">
        <f>(Reference!$B$10-X17)*((SWITCH(Summary!$K$26, "Calculated", Q17, "Manual entries", I17)) - S17)</f>
        <v>0</v>
      </c>
      <c r="Z17" s="184">
        <f t="shared" si="6"/>
        <v>0</v>
      </c>
      <c r="AA17" s="186">
        <f t="shared" si="7"/>
        <v>0</v>
      </c>
    </row>
    <row r="18">
      <c r="A18" s="268"/>
      <c r="B18" s="269">
        <v>41803.0</v>
      </c>
      <c r="C18" s="168">
        <v>42856.0</v>
      </c>
      <c r="D18" s="169"/>
      <c r="E18" s="270">
        <v>94.58</v>
      </c>
      <c r="F18" s="271"/>
      <c r="G18" s="172">
        <f t="shared" si="1"/>
        <v>0</v>
      </c>
      <c r="H18" s="177">
        <f t="shared" si="2"/>
        <v>0</v>
      </c>
      <c r="I18" s="272"/>
      <c r="J18" s="189" t="b">
        <v>0</v>
      </c>
      <c r="K18" s="172">
        <f>LET(ratio,Reference!$B$4, ratio*Reference!$B$3*D18)</f>
        <v>0</v>
      </c>
      <c r="L18" s="172">
        <f>iferror(LET(ratio, I18/(0.252*D18),(1-ratio) * Reference!$B$3 * D18),0)</f>
        <v>0</v>
      </c>
      <c r="M18" s="172">
        <f>IF(C18&lt;Reference!$B$26,Reference!$C$26,0)</f>
        <v>10.18</v>
      </c>
      <c r="N18" s="172">
        <f>IF(C18&lt;Reference!$B$27,Reference!$C$27,0)</f>
        <v>16.87</v>
      </c>
      <c r="O18" s="172">
        <f t="shared" si="3"/>
        <v>67.53</v>
      </c>
      <c r="P18" s="176">
        <f t="shared" si="4"/>
        <v>0</v>
      </c>
      <c r="Q18" s="176">
        <f>SWITCH(Summary!$K$26,"Calculated", D18*Reference!$B$5*Reference!$B$6, "Manual entries",I18)</f>
        <v>0</v>
      </c>
      <c r="R18" s="177">
        <f>MAX(SWITCH(Summary!$K$27,"Derived from calculated values",K18,"Derived from manual entries",L18)+(Q18*Reference!$B$18)-(D18*O18),0)</f>
        <v>0</v>
      </c>
      <c r="S18" s="178">
        <f>IF(J18,Summary!$C$41/ (J$84+ESPP!$N$26), 0)</f>
        <v>0</v>
      </c>
      <c r="T18" s="273">
        <f>IF(J18,(Reference!$B$23 - X18) * S18, 0)</f>
        <v>0</v>
      </c>
      <c r="U18" s="180">
        <f t="shared" si="5"/>
        <v>0</v>
      </c>
      <c r="V18" s="274">
        <f>IF(DATEDIF(C18,Reference!$B$28,"Y")&gt;=1,0,U18+T18)</f>
        <v>0</v>
      </c>
      <c r="W18" s="180">
        <f>IF(DATEDIF(C18,Reference!$B$28,"Y")&gt;=1,U18+T18,0)</f>
        <v>0</v>
      </c>
      <c r="X18" s="184">
        <f>iferror(((O18*D18) - K18 + U18)/SWITCH(Summary!$K$26, "Calculated", Q18, "Manual entries", I18), 0)</f>
        <v>0</v>
      </c>
      <c r="Y18" s="184">
        <f>(Reference!$B$10-X18)*((SWITCH(Summary!$K$26, "Calculated", Q18, "Manual entries", I18)) - S18)</f>
        <v>0</v>
      </c>
      <c r="Z18" s="184">
        <f t="shared" si="6"/>
        <v>0</v>
      </c>
      <c r="AA18" s="186">
        <f t="shared" si="7"/>
        <v>0</v>
      </c>
    </row>
    <row r="19">
      <c r="A19" s="268"/>
      <c r="B19" s="269">
        <v>42170.0</v>
      </c>
      <c r="C19" s="168">
        <v>42856.0</v>
      </c>
      <c r="D19" s="169"/>
      <c r="E19" s="270">
        <v>94.58</v>
      </c>
      <c r="F19" s="271"/>
      <c r="G19" s="172">
        <f t="shared" si="1"/>
        <v>0</v>
      </c>
      <c r="H19" s="177">
        <f t="shared" si="2"/>
        <v>0</v>
      </c>
      <c r="I19" s="272"/>
      <c r="J19" s="189" t="b">
        <v>0</v>
      </c>
      <c r="K19" s="172">
        <f>LET(ratio,Reference!$B$4, ratio*Reference!$B$3*D19)</f>
        <v>0</v>
      </c>
      <c r="L19" s="172">
        <f>iferror(LET(ratio, I19/(0.252*D19),(1-ratio) * Reference!$B$3 * D19),0)</f>
        <v>0</v>
      </c>
      <c r="M19" s="172">
        <f>IF(C19&lt;Reference!$B$26,Reference!$C$26,0)</f>
        <v>10.18</v>
      </c>
      <c r="N19" s="172">
        <f>IF(C19&lt;Reference!$B$27,Reference!$C$27,0)</f>
        <v>16.87</v>
      </c>
      <c r="O19" s="172">
        <f t="shared" si="3"/>
        <v>67.53</v>
      </c>
      <c r="P19" s="176">
        <f t="shared" si="4"/>
        <v>0</v>
      </c>
      <c r="Q19" s="176">
        <f>SWITCH(Summary!$K$26,"Calculated", D19*Reference!$B$5*Reference!$B$6, "Manual entries",I19)</f>
        <v>0</v>
      </c>
      <c r="R19" s="177">
        <f>MAX(SWITCH(Summary!$K$27,"Derived from calculated values",K19,"Derived from manual entries",L19)+(Q19*Reference!$B$18)-(D19*O19),0)</f>
        <v>0</v>
      </c>
      <c r="S19" s="178">
        <f>IF(J19,Summary!$C$41/ (J$84+ESPP!$N$26), 0)</f>
        <v>0</v>
      </c>
      <c r="T19" s="273">
        <f>IF(J19,(Reference!$B$23 - X19) * S19, 0)</f>
        <v>0</v>
      </c>
      <c r="U19" s="180">
        <f t="shared" si="5"/>
        <v>0</v>
      </c>
      <c r="V19" s="274">
        <f>IF(DATEDIF(C19,Reference!$B$28,"Y")&gt;=1,0,U19+T19)</f>
        <v>0</v>
      </c>
      <c r="W19" s="180">
        <f>IF(DATEDIF(C19,Reference!$B$28,"Y")&gt;=1,U19+T19,0)</f>
        <v>0</v>
      </c>
      <c r="X19" s="184">
        <f>iferror(((O19*D19) - K19 + U19)/SWITCH(Summary!$K$26, "Calculated", Q19, "Manual entries", I19), 0)</f>
        <v>0</v>
      </c>
      <c r="Y19" s="184">
        <f>(Reference!$B$10-X19)*((SWITCH(Summary!$K$26, "Calculated", Q19, "Manual entries", I19)) - S19)</f>
        <v>0</v>
      </c>
      <c r="Z19" s="184">
        <f t="shared" si="6"/>
        <v>0</v>
      </c>
      <c r="AA19" s="186">
        <f t="shared" si="7"/>
        <v>0</v>
      </c>
    </row>
    <row r="20">
      <c r="A20" s="268"/>
      <c r="B20" s="269">
        <v>42489.0</v>
      </c>
      <c r="C20" s="168">
        <v>42856.0</v>
      </c>
      <c r="D20" s="169"/>
      <c r="E20" s="270">
        <v>94.58</v>
      </c>
      <c r="F20" s="271"/>
      <c r="G20" s="172">
        <f t="shared" si="1"/>
        <v>0</v>
      </c>
      <c r="H20" s="177">
        <f t="shared" si="2"/>
        <v>0</v>
      </c>
      <c r="I20" s="276"/>
      <c r="J20" s="189" t="b">
        <v>0</v>
      </c>
      <c r="K20" s="172">
        <f>LET(ratio,Reference!$B$4, ratio*Reference!$B$3*D20)</f>
        <v>0</v>
      </c>
      <c r="L20" s="172">
        <f>iferror(LET(ratio, I20/(0.252*D20),(1-ratio) * Reference!$B$3 * D20),0)</f>
        <v>0</v>
      </c>
      <c r="M20" s="172">
        <f>IF(C20&lt;Reference!$B$26,Reference!$C$26,0)</f>
        <v>10.18</v>
      </c>
      <c r="N20" s="172">
        <f>IF(C20&lt;Reference!$B$27,Reference!$C$27,0)</f>
        <v>16.87</v>
      </c>
      <c r="O20" s="172">
        <f t="shared" si="3"/>
        <v>67.53</v>
      </c>
      <c r="P20" s="176">
        <f t="shared" si="4"/>
        <v>0</v>
      </c>
      <c r="Q20" s="176">
        <f>SWITCH(Summary!$K$26,"Calculated", D20*Reference!$B$5*Reference!$B$6, "Manual entries",I20)</f>
        <v>0</v>
      </c>
      <c r="R20" s="177">
        <f>MAX(SWITCH(Summary!$K$27,"Derived from calculated values",K20,"Derived from manual entries",L20)+(Q20*Reference!$B$18)-(D20*O20),0)</f>
        <v>0</v>
      </c>
      <c r="S20" s="178">
        <f>IF(J20,Summary!$C$41/ (J$84+ESPP!$N$26), 0)</f>
        <v>0</v>
      </c>
      <c r="T20" s="273">
        <f>IF(J20,(Reference!$B$23 - X20) * S20, 0)</f>
        <v>0</v>
      </c>
      <c r="U20" s="180">
        <f t="shared" si="5"/>
        <v>0</v>
      </c>
      <c r="V20" s="274">
        <f>IF(DATEDIF(C20,Reference!$B$28,"Y")&gt;=1,0,U20+T20)</f>
        <v>0</v>
      </c>
      <c r="W20" s="180">
        <f>IF(DATEDIF(C20,Reference!$B$28,"Y")&gt;=1,U20+T20,0)</f>
        <v>0</v>
      </c>
      <c r="X20" s="184">
        <f>iferror(((O20*D20) - K20 + U20)/SWITCH(Summary!$K$26, "Calculated", Q20, "Manual entries", I20), 0)</f>
        <v>0</v>
      </c>
      <c r="Y20" s="184">
        <f>(Reference!$B$10-X20)*((SWITCH(Summary!$K$26, "Calculated", Q20, "Manual entries", I20)) - S20)</f>
        <v>0</v>
      </c>
      <c r="Z20" s="184">
        <f t="shared" si="6"/>
        <v>0</v>
      </c>
      <c r="AA20" s="186">
        <f t="shared" si="7"/>
        <v>0</v>
      </c>
    </row>
    <row r="21">
      <c r="A21" s="268"/>
      <c r="B21" s="269">
        <v>42342.0</v>
      </c>
      <c r="C21" s="168">
        <v>42887.0</v>
      </c>
      <c r="D21" s="169"/>
      <c r="E21" s="270">
        <v>97.4</v>
      </c>
      <c r="F21" s="271"/>
      <c r="G21" s="172">
        <f t="shared" si="1"/>
        <v>0</v>
      </c>
      <c r="H21" s="177">
        <f t="shared" si="2"/>
        <v>0</v>
      </c>
      <c r="I21" s="272"/>
      <c r="J21" s="189" t="b">
        <v>0</v>
      </c>
      <c r="K21" s="172">
        <f>LET(ratio,Reference!$B$4, ratio*Reference!$B$3*D21)</f>
        <v>0</v>
      </c>
      <c r="L21" s="172">
        <f>iferror(LET(ratio, I21/(0.252*D21),(1-ratio) * Reference!$B$3 * D21),0)</f>
        <v>0</v>
      </c>
      <c r="M21" s="172">
        <f>IF(C21&lt;Reference!$B$26,Reference!$C$26,0)</f>
        <v>10.18</v>
      </c>
      <c r="N21" s="172">
        <f>IF(C21&lt;Reference!$B$27,Reference!$C$27,0)</f>
        <v>16.87</v>
      </c>
      <c r="O21" s="172">
        <f t="shared" si="3"/>
        <v>70.35</v>
      </c>
      <c r="P21" s="176">
        <f t="shared" si="4"/>
        <v>0</v>
      </c>
      <c r="Q21" s="176">
        <f>SWITCH(Summary!$K$26,"Calculated", D21*Reference!$B$5*Reference!$B$6, "Manual entries",I21)</f>
        <v>0</v>
      </c>
      <c r="R21" s="177">
        <f>MAX(SWITCH(Summary!$K$27,"Derived from calculated values",K21,"Derived from manual entries",L21)+(Q21*Reference!$B$18)-(D21*O21),0)</f>
        <v>0</v>
      </c>
      <c r="S21" s="178">
        <f>IF(J21,Summary!$C$41/ (J$84+ESPP!$N$26), 0)</f>
        <v>0</v>
      </c>
      <c r="T21" s="273">
        <f>IF(J21,(Reference!$B$23 - X21) * S21, 0)</f>
        <v>0</v>
      </c>
      <c r="U21" s="180">
        <f t="shared" si="5"/>
        <v>0</v>
      </c>
      <c r="V21" s="274">
        <f>IF(DATEDIF(C21,Reference!$B$28,"Y")&gt;=1,0,U21+T21)</f>
        <v>0</v>
      </c>
      <c r="W21" s="180">
        <f>IF(DATEDIF(C21,Reference!$B$28,"Y")&gt;=1,U21+T21,0)</f>
        <v>0</v>
      </c>
      <c r="X21" s="184">
        <f>iferror(((O21*D21) - K21 + U21)/SWITCH(Summary!$K$26, "Calculated", Q21, "Manual entries", I21), 0)</f>
        <v>0</v>
      </c>
      <c r="Y21" s="184">
        <f>(Reference!$B$10-X21)*((SWITCH(Summary!$K$26, "Calculated", Q21, "Manual entries", I21)) - S21)</f>
        <v>0</v>
      </c>
      <c r="Z21" s="184">
        <f t="shared" si="6"/>
        <v>0</v>
      </c>
      <c r="AA21" s="186">
        <f t="shared" si="7"/>
        <v>0</v>
      </c>
    </row>
    <row r="22">
      <c r="A22" s="268"/>
      <c r="B22" s="269">
        <v>41803.0</v>
      </c>
      <c r="C22" s="168">
        <v>43040.0</v>
      </c>
      <c r="D22" s="169"/>
      <c r="E22" s="270">
        <v>119.12</v>
      </c>
      <c r="F22" s="271"/>
      <c r="G22" s="172">
        <f t="shared" si="1"/>
        <v>0</v>
      </c>
      <c r="H22" s="177">
        <f t="shared" si="2"/>
        <v>0</v>
      </c>
      <c r="I22" s="272"/>
      <c r="J22" s="189" t="b">
        <v>0</v>
      </c>
      <c r="K22" s="172">
        <f>LET(ratio,Reference!$B$4, ratio*Reference!$B$3*D22)</f>
        <v>0</v>
      </c>
      <c r="L22" s="172">
        <f>iferror(LET(ratio, I22/(0.252*D22),(1-ratio) * Reference!$B$3 * D22),0)</f>
        <v>0</v>
      </c>
      <c r="M22" s="172">
        <f>IF(C22&lt;Reference!$B$26,Reference!$C$26,0)</f>
        <v>10.18</v>
      </c>
      <c r="N22" s="172">
        <f>IF(C22&lt;Reference!$B$27,Reference!$C$27,0)</f>
        <v>16.87</v>
      </c>
      <c r="O22" s="172">
        <f t="shared" si="3"/>
        <v>92.07</v>
      </c>
      <c r="P22" s="176">
        <f t="shared" si="4"/>
        <v>0</v>
      </c>
      <c r="Q22" s="176">
        <f>SWITCH(Summary!$K$26,"Calculated", D22*Reference!$B$5*Reference!$B$6, "Manual entries",I22)</f>
        <v>0</v>
      </c>
      <c r="R22" s="177">
        <f>MAX(SWITCH(Summary!$K$27,"Derived from calculated values",K22,"Derived from manual entries",L22)+(Q22*Reference!$B$18)-(D22*O22),0)</f>
        <v>0</v>
      </c>
      <c r="S22" s="178">
        <f>IF(J22,Summary!$C$41/ (J$84+ESPP!$N$26), 0)</f>
        <v>0</v>
      </c>
      <c r="T22" s="273">
        <f>IF(J22,(Reference!$B$23 - X22) * S22, 0)</f>
        <v>0</v>
      </c>
      <c r="U22" s="180">
        <f t="shared" si="5"/>
        <v>0</v>
      </c>
      <c r="V22" s="274">
        <f>IF(DATEDIF(C22,Reference!$B$28,"Y")&gt;=1,0,U22+T22)</f>
        <v>0</v>
      </c>
      <c r="W22" s="180">
        <f>IF(DATEDIF(C22,Reference!$B$28,"Y")&gt;=1,U22+T22,0)</f>
        <v>0</v>
      </c>
      <c r="X22" s="184">
        <f>iferror(((O22*D22) - K22 + U22)/SWITCH(Summary!$K$26, "Calculated", Q22, "Manual entries", I22), 0)</f>
        <v>0</v>
      </c>
      <c r="Y22" s="184">
        <f>(Reference!$B$10-X22)*((SWITCH(Summary!$K$26, "Calculated", Q22, "Manual entries", I22)) - S22)</f>
        <v>0</v>
      </c>
      <c r="Z22" s="184">
        <f t="shared" si="6"/>
        <v>0</v>
      </c>
      <c r="AA22" s="186">
        <f t="shared" si="7"/>
        <v>0</v>
      </c>
    </row>
    <row r="23">
      <c r="A23" s="268"/>
      <c r="B23" s="269">
        <v>42170.0</v>
      </c>
      <c r="C23" s="168">
        <v>43040.0</v>
      </c>
      <c r="D23" s="169"/>
      <c r="E23" s="270">
        <v>119.12</v>
      </c>
      <c r="F23" s="271"/>
      <c r="G23" s="172">
        <f t="shared" si="1"/>
        <v>0</v>
      </c>
      <c r="H23" s="177">
        <f t="shared" si="2"/>
        <v>0</v>
      </c>
      <c r="I23" s="276"/>
      <c r="J23" s="189" t="b">
        <v>0</v>
      </c>
      <c r="K23" s="172">
        <f>LET(ratio,Reference!$B$4, ratio*Reference!$B$3*D23)</f>
        <v>0</v>
      </c>
      <c r="L23" s="172">
        <f>iferror(LET(ratio, I23/(0.252*D23),(1-ratio) * Reference!$B$3 * D23),0)</f>
        <v>0</v>
      </c>
      <c r="M23" s="172">
        <f>IF(C23&lt;Reference!$B$26,Reference!$C$26,0)</f>
        <v>10.18</v>
      </c>
      <c r="N23" s="172">
        <f>IF(C23&lt;Reference!$B$27,Reference!$C$27,0)</f>
        <v>16.87</v>
      </c>
      <c r="O23" s="172">
        <f t="shared" si="3"/>
        <v>92.07</v>
      </c>
      <c r="P23" s="176">
        <f t="shared" si="4"/>
        <v>0</v>
      </c>
      <c r="Q23" s="176">
        <f>SWITCH(Summary!$K$26,"Calculated", D23*Reference!$B$5*Reference!$B$6, "Manual entries",I23)</f>
        <v>0</v>
      </c>
      <c r="R23" s="177">
        <f>MAX(SWITCH(Summary!$K$27,"Derived from calculated values",K23,"Derived from manual entries",L23)+(Q23*Reference!$B$18)-(D23*O23),0)</f>
        <v>0</v>
      </c>
      <c r="S23" s="178">
        <f>IF(J23,Summary!$C$41/ (J$84+ESPP!$N$26), 0)</f>
        <v>0</v>
      </c>
      <c r="T23" s="273">
        <f>IF(J23,(Reference!$B$23 - X23) * S23, 0)</f>
        <v>0</v>
      </c>
      <c r="U23" s="180">
        <f t="shared" si="5"/>
        <v>0</v>
      </c>
      <c r="V23" s="274">
        <f>IF(DATEDIF(C23,Reference!$B$28,"Y")&gt;=1,0,U23+T23)</f>
        <v>0</v>
      </c>
      <c r="W23" s="180">
        <f>IF(DATEDIF(C23,Reference!$B$28,"Y")&gt;=1,U23+T23,0)</f>
        <v>0</v>
      </c>
      <c r="X23" s="184">
        <f>iferror(((O23*D23) - K23 + U23)/SWITCH(Summary!$K$26, "Calculated", Q23, "Manual entries", I23), 0)</f>
        <v>0</v>
      </c>
      <c r="Y23" s="184">
        <f>(Reference!$B$10-X23)*((SWITCH(Summary!$K$26, "Calculated", Q23, "Manual entries", I23)) - S23)</f>
        <v>0</v>
      </c>
      <c r="Z23" s="184">
        <f t="shared" si="6"/>
        <v>0</v>
      </c>
      <c r="AA23" s="186">
        <f t="shared" si="7"/>
        <v>0</v>
      </c>
    </row>
    <row r="24">
      <c r="A24" s="268"/>
      <c r="B24" s="269">
        <v>42489.0</v>
      </c>
      <c r="C24" s="168">
        <v>43040.0</v>
      </c>
      <c r="D24" s="169"/>
      <c r="E24" s="270">
        <v>119.12</v>
      </c>
      <c r="F24" s="271"/>
      <c r="G24" s="172">
        <f t="shared" si="1"/>
        <v>0</v>
      </c>
      <c r="H24" s="177">
        <f t="shared" si="2"/>
        <v>0</v>
      </c>
      <c r="I24" s="272"/>
      <c r="J24" s="189" t="b">
        <v>0</v>
      </c>
      <c r="K24" s="172">
        <f>LET(ratio,Reference!$B$4, ratio*Reference!$B$3*D24)</f>
        <v>0</v>
      </c>
      <c r="L24" s="172">
        <f>iferror(LET(ratio, I24/(0.252*D24),(1-ratio) * Reference!$B$3 * D24),0)</f>
        <v>0</v>
      </c>
      <c r="M24" s="172">
        <f>IF(C24&lt;Reference!$B$26,Reference!$C$26,0)</f>
        <v>10.18</v>
      </c>
      <c r="N24" s="172">
        <f>IF(C24&lt;Reference!$B$27,Reference!$C$27,0)</f>
        <v>16.87</v>
      </c>
      <c r="O24" s="172">
        <f t="shared" si="3"/>
        <v>92.07</v>
      </c>
      <c r="P24" s="176">
        <f t="shared" si="4"/>
        <v>0</v>
      </c>
      <c r="Q24" s="176">
        <f>SWITCH(Summary!$K$26,"Calculated", D24*Reference!$B$5*Reference!$B$6, "Manual entries",I24)</f>
        <v>0</v>
      </c>
      <c r="R24" s="177">
        <f>MAX(SWITCH(Summary!$K$27,"Derived from calculated values",K24,"Derived from manual entries",L24)+(Q24*Reference!$B$18)-(D24*O24),0)</f>
        <v>0</v>
      </c>
      <c r="S24" s="178">
        <f>IF(J24,Summary!$C$41/ (J$84+ESPP!$N$26), 0)</f>
        <v>0</v>
      </c>
      <c r="T24" s="273">
        <f>IF(J24,(Reference!$B$23 - X24) * S24, 0)</f>
        <v>0</v>
      </c>
      <c r="U24" s="180">
        <f t="shared" si="5"/>
        <v>0</v>
      </c>
      <c r="V24" s="274">
        <f>IF(DATEDIF(C24,Reference!$B$28,"Y")&gt;=1,0,U24+T24)</f>
        <v>0</v>
      </c>
      <c r="W24" s="180">
        <f>IF(DATEDIF(C24,Reference!$B$28,"Y")&gt;=1,U24+T24,0)</f>
        <v>0</v>
      </c>
      <c r="X24" s="184">
        <f>iferror(((O24*D24) - K24 + U24)/SWITCH(Summary!$K$26, "Calculated", Q24, "Manual entries", I24), 0)</f>
        <v>0</v>
      </c>
      <c r="Y24" s="184">
        <f>(Reference!$B$10-X24)*((SWITCH(Summary!$K$26, "Calculated", Q24, "Manual entries", I24)) - S24)</f>
        <v>0</v>
      </c>
      <c r="Z24" s="184">
        <f t="shared" si="6"/>
        <v>0</v>
      </c>
      <c r="AA24" s="186">
        <f t="shared" si="7"/>
        <v>0</v>
      </c>
    </row>
    <row r="25">
      <c r="A25" s="268"/>
      <c r="B25" s="269">
        <v>42342.0</v>
      </c>
      <c r="C25" s="168">
        <v>43070.0</v>
      </c>
      <c r="D25" s="169"/>
      <c r="E25" s="270">
        <v>124.44</v>
      </c>
      <c r="F25" s="271"/>
      <c r="G25" s="172">
        <f t="shared" si="1"/>
        <v>0</v>
      </c>
      <c r="H25" s="177">
        <f t="shared" si="2"/>
        <v>0</v>
      </c>
      <c r="I25" s="272"/>
      <c r="J25" s="189" t="b">
        <v>0</v>
      </c>
      <c r="K25" s="172">
        <f>LET(ratio,Reference!$B$4, ratio*Reference!$B$3*D25)</f>
        <v>0</v>
      </c>
      <c r="L25" s="172">
        <f>iferror(LET(ratio, I25/(0.252*D25),(1-ratio) * Reference!$B$3 * D25),0)</f>
        <v>0</v>
      </c>
      <c r="M25" s="172">
        <f>IF(C25&lt;Reference!$B$26,Reference!$C$26,0)</f>
        <v>10.18</v>
      </c>
      <c r="N25" s="172">
        <f>IF(C25&lt;Reference!$B$27,Reference!$C$27,0)</f>
        <v>16.87</v>
      </c>
      <c r="O25" s="172">
        <f t="shared" si="3"/>
        <v>97.39</v>
      </c>
      <c r="P25" s="176">
        <f t="shared" si="4"/>
        <v>0</v>
      </c>
      <c r="Q25" s="176">
        <f>SWITCH(Summary!$K$26,"Calculated", D25*Reference!$B$5*Reference!$B$6, "Manual entries",I25)</f>
        <v>0</v>
      </c>
      <c r="R25" s="177">
        <f>MAX(SWITCH(Summary!$K$27,"Derived from calculated values",K25,"Derived from manual entries",L25)+(Q25*Reference!$B$18)-(D25*O25),0)</f>
        <v>0</v>
      </c>
      <c r="S25" s="178">
        <f>IF(J25,Summary!$C$41/ (J$84+ESPP!$N$26), 0)</f>
        <v>0</v>
      </c>
      <c r="T25" s="273">
        <f>IF(J25,(Reference!$B$23 - X25) * S25, 0)</f>
        <v>0</v>
      </c>
      <c r="U25" s="180">
        <f t="shared" si="5"/>
        <v>0</v>
      </c>
      <c r="V25" s="274">
        <f>IF(DATEDIF(C25,Reference!$B$28,"Y")&gt;=1,0,U25+T25)</f>
        <v>0</v>
      </c>
      <c r="W25" s="180">
        <f>IF(DATEDIF(C25,Reference!$B$28,"Y")&gt;=1,U25+T25,0)</f>
        <v>0</v>
      </c>
      <c r="X25" s="184">
        <f>iferror(((O25*D25) - K25 + U25)/SWITCH(Summary!$K$26, "Calculated", Q25, "Manual entries", I25), 0)</f>
        <v>0</v>
      </c>
      <c r="Y25" s="184">
        <f>(Reference!$B$10-X25)*((SWITCH(Summary!$K$26, "Calculated", Q25, "Manual entries", I25)) - S25)</f>
        <v>0</v>
      </c>
      <c r="Z25" s="184">
        <f t="shared" si="6"/>
        <v>0</v>
      </c>
      <c r="AA25" s="186">
        <f t="shared" si="7"/>
        <v>0</v>
      </c>
    </row>
    <row r="26">
      <c r="A26" s="268"/>
      <c r="B26" s="269">
        <v>41803.0</v>
      </c>
      <c r="C26" s="168">
        <v>43221.0</v>
      </c>
      <c r="D26" s="169"/>
      <c r="E26" s="270">
        <v>133.22</v>
      </c>
      <c r="F26" s="271"/>
      <c r="G26" s="172">
        <f t="shared" si="1"/>
        <v>0</v>
      </c>
      <c r="H26" s="177">
        <f t="shared" si="2"/>
        <v>0</v>
      </c>
      <c r="I26" s="276"/>
      <c r="J26" s="189" t="b">
        <v>0</v>
      </c>
      <c r="K26" s="172">
        <f>LET(ratio,Reference!$B$4, ratio*Reference!$B$3*D26)</f>
        <v>0</v>
      </c>
      <c r="L26" s="172">
        <f>iferror(LET(ratio, I26/(0.252*D26),(1-ratio) * Reference!$B$3 * D26),0)</f>
        <v>0</v>
      </c>
      <c r="M26" s="172">
        <f>IF(C26&lt;Reference!$B$26,Reference!$C$26,0)</f>
        <v>10.18</v>
      </c>
      <c r="N26" s="172">
        <f>IF(C26&lt;Reference!$B$27,Reference!$C$27,0)</f>
        <v>16.87</v>
      </c>
      <c r="O26" s="172">
        <f t="shared" si="3"/>
        <v>106.17</v>
      </c>
      <c r="P26" s="176">
        <f t="shared" si="4"/>
        <v>0</v>
      </c>
      <c r="Q26" s="176">
        <f>SWITCH(Summary!$K$26,"Calculated", D26*Reference!$B$5*Reference!$B$6, "Manual entries",I26)</f>
        <v>0</v>
      </c>
      <c r="R26" s="177">
        <f>MAX(SWITCH(Summary!$K$27,"Derived from calculated values",K26,"Derived from manual entries",L26)+(Q26*Reference!$B$18)-(D26*O26),0)</f>
        <v>0</v>
      </c>
      <c r="S26" s="178">
        <f>IF(J26,Summary!$C$41/ (J$84+ESPP!$N$26), 0)</f>
        <v>0</v>
      </c>
      <c r="T26" s="273">
        <f>IF(J26,(Reference!$B$23 - X26) * S26, 0)</f>
        <v>0</v>
      </c>
      <c r="U26" s="180">
        <f t="shared" si="5"/>
        <v>0</v>
      </c>
      <c r="V26" s="274">
        <f>IF(DATEDIF(C26,Reference!$B$28,"Y")&gt;=1,0,U26+T26)</f>
        <v>0</v>
      </c>
      <c r="W26" s="180">
        <f>IF(DATEDIF(C26,Reference!$B$28,"Y")&gt;=1,U26+T26,0)</f>
        <v>0</v>
      </c>
      <c r="X26" s="184">
        <f>iferror(((O26*D26) - K26 + U26)/SWITCH(Summary!$K$26, "Calculated", Q26, "Manual entries", I26), 0)</f>
        <v>0</v>
      </c>
      <c r="Y26" s="184">
        <f>(Reference!$B$10-X26)*((SWITCH(Summary!$K$26, "Calculated", Q26, "Manual entries", I26)) - S26)</f>
        <v>0</v>
      </c>
      <c r="Z26" s="184">
        <f t="shared" si="6"/>
        <v>0</v>
      </c>
      <c r="AA26" s="186">
        <f t="shared" si="7"/>
        <v>0</v>
      </c>
    </row>
    <row r="27">
      <c r="A27" s="268"/>
      <c r="B27" s="269">
        <v>42170.0</v>
      </c>
      <c r="C27" s="168">
        <v>43221.0</v>
      </c>
      <c r="D27" s="169"/>
      <c r="E27" s="270">
        <v>133.22</v>
      </c>
      <c r="F27" s="271"/>
      <c r="G27" s="172">
        <f t="shared" si="1"/>
        <v>0</v>
      </c>
      <c r="H27" s="177">
        <f t="shared" si="2"/>
        <v>0</v>
      </c>
      <c r="I27" s="272"/>
      <c r="J27" s="189" t="b">
        <v>0</v>
      </c>
      <c r="K27" s="172">
        <f>LET(ratio,Reference!$B$4, ratio*Reference!$B$3*D27)</f>
        <v>0</v>
      </c>
      <c r="L27" s="172">
        <f>iferror(LET(ratio, I27/(0.252*D27),(1-ratio) * Reference!$B$3 * D27),0)</f>
        <v>0</v>
      </c>
      <c r="M27" s="172">
        <f>IF(C27&lt;Reference!$B$26,Reference!$C$26,0)</f>
        <v>10.18</v>
      </c>
      <c r="N27" s="172">
        <f>IF(C27&lt;Reference!$B$27,Reference!$C$27,0)</f>
        <v>16.87</v>
      </c>
      <c r="O27" s="172">
        <f t="shared" si="3"/>
        <v>106.17</v>
      </c>
      <c r="P27" s="176">
        <f t="shared" si="4"/>
        <v>0</v>
      </c>
      <c r="Q27" s="176">
        <f>SWITCH(Summary!$K$26,"Calculated", D27*Reference!$B$5*Reference!$B$6, "Manual entries",I27)</f>
        <v>0</v>
      </c>
      <c r="R27" s="177">
        <f>MAX(SWITCH(Summary!$K$27,"Derived from calculated values",K27,"Derived from manual entries",L27)+(Q27*Reference!$B$18)-(D27*O27),0)</f>
        <v>0</v>
      </c>
      <c r="S27" s="178">
        <f>IF(J27,Summary!$C$41/ (J$84+ESPP!$N$26), 0)</f>
        <v>0</v>
      </c>
      <c r="T27" s="273">
        <f>IF(J27,(Reference!$B$23 - X27) * S27, 0)</f>
        <v>0</v>
      </c>
      <c r="U27" s="180">
        <f t="shared" si="5"/>
        <v>0</v>
      </c>
      <c r="V27" s="274">
        <f>IF(DATEDIF(C27,Reference!$B$28,"Y")&gt;=1,0,U27+T27)</f>
        <v>0</v>
      </c>
      <c r="W27" s="180">
        <f>IF(DATEDIF(C27,Reference!$B$28,"Y")&gt;=1,U27+T27,0)</f>
        <v>0</v>
      </c>
      <c r="X27" s="184">
        <f>iferror(((O27*D27) - K27 + U27)/SWITCH(Summary!$K$26, "Calculated", Q27, "Manual entries", I27), 0)</f>
        <v>0</v>
      </c>
      <c r="Y27" s="184">
        <f>(Reference!$B$10-X27)*((SWITCH(Summary!$K$26, "Calculated", Q27, "Manual entries", I27)) - S27)</f>
        <v>0</v>
      </c>
      <c r="Z27" s="184">
        <f t="shared" si="6"/>
        <v>0</v>
      </c>
      <c r="AA27" s="186">
        <f t="shared" si="7"/>
        <v>0</v>
      </c>
    </row>
    <row r="28">
      <c r="A28" s="268"/>
      <c r="B28" s="269">
        <v>42489.0</v>
      </c>
      <c r="C28" s="168">
        <v>43221.0</v>
      </c>
      <c r="D28" s="169"/>
      <c r="E28" s="270">
        <v>133.22</v>
      </c>
      <c r="F28" s="271"/>
      <c r="G28" s="172">
        <f t="shared" si="1"/>
        <v>0</v>
      </c>
      <c r="H28" s="177">
        <f t="shared" si="2"/>
        <v>0</v>
      </c>
      <c r="I28" s="276"/>
      <c r="J28" s="189" t="b">
        <v>0</v>
      </c>
      <c r="K28" s="172">
        <f>LET(ratio,Reference!$B$4, ratio*Reference!$B$3*D28)</f>
        <v>0</v>
      </c>
      <c r="L28" s="172">
        <f>iferror(LET(ratio, I28/(0.252*D28),(1-ratio) * Reference!$B$3 * D28),0)</f>
        <v>0</v>
      </c>
      <c r="M28" s="172">
        <f>IF(C28&lt;Reference!$B$26,Reference!$C$26,0)</f>
        <v>10.18</v>
      </c>
      <c r="N28" s="172">
        <f>IF(C28&lt;Reference!$B$27,Reference!$C$27,0)</f>
        <v>16.87</v>
      </c>
      <c r="O28" s="172">
        <f t="shared" si="3"/>
        <v>106.17</v>
      </c>
      <c r="P28" s="176">
        <f t="shared" si="4"/>
        <v>0</v>
      </c>
      <c r="Q28" s="176">
        <f>SWITCH(Summary!$K$26,"Calculated", D28*Reference!$B$5*Reference!$B$6, "Manual entries",I28)</f>
        <v>0</v>
      </c>
      <c r="R28" s="177">
        <f>MAX(SWITCH(Summary!$K$27,"Derived from calculated values",K28,"Derived from manual entries",L28)+(Q28*Reference!$B$18)-(D28*O28),0)</f>
        <v>0</v>
      </c>
      <c r="S28" s="178">
        <f>IF(J28,Summary!$C$41/ (J$84+ESPP!$N$26), 0)</f>
        <v>0</v>
      </c>
      <c r="T28" s="273">
        <f>IF(J28,(Reference!$B$23 - X28) * S28, 0)</f>
        <v>0</v>
      </c>
      <c r="U28" s="180">
        <f t="shared" si="5"/>
        <v>0</v>
      </c>
      <c r="V28" s="274">
        <f>IF(DATEDIF(C28,Reference!$B$28,"Y")&gt;=1,0,U28+T28)</f>
        <v>0</v>
      </c>
      <c r="W28" s="180">
        <f>IF(DATEDIF(C28,Reference!$B$28,"Y")&gt;=1,U28+T28,0)</f>
        <v>0</v>
      </c>
      <c r="X28" s="184">
        <f>iferror(((O28*D28) - K28 + U28)/SWITCH(Summary!$K$26, "Calculated", Q28, "Manual entries", I28), 0)</f>
        <v>0</v>
      </c>
      <c r="Y28" s="184">
        <f>(Reference!$B$10-X28)*((SWITCH(Summary!$K$26, "Calculated", Q28, "Manual entries", I28)) - S28)</f>
        <v>0</v>
      </c>
      <c r="Z28" s="184">
        <f t="shared" si="6"/>
        <v>0</v>
      </c>
      <c r="AA28" s="186">
        <f t="shared" si="7"/>
        <v>0</v>
      </c>
    </row>
    <row r="29">
      <c r="A29" s="268"/>
      <c r="B29" s="269">
        <v>42342.0</v>
      </c>
      <c r="C29" s="168">
        <v>43252.0</v>
      </c>
      <c r="D29" s="169"/>
      <c r="E29" s="270">
        <v>145.93</v>
      </c>
      <c r="F29" s="271"/>
      <c r="G29" s="172">
        <f t="shared" si="1"/>
        <v>0</v>
      </c>
      <c r="H29" s="177">
        <f t="shared" si="2"/>
        <v>0</v>
      </c>
      <c r="I29" s="272"/>
      <c r="J29" s="189" t="b">
        <v>0</v>
      </c>
      <c r="K29" s="172">
        <f>LET(ratio,Reference!$B$4, ratio*Reference!$B$3*D29)</f>
        <v>0</v>
      </c>
      <c r="L29" s="172">
        <f>iferror(LET(ratio, I29/(0.252*D29),(1-ratio) * Reference!$B$3 * D29),0)</f>
        <v>0</v>
      </c>
      <c r="M29" s="172">
        <f>IF(C29&lt;Reference!$B$26,Reference!$C$26,0)</f>
        <v>10.18</v>
      </c>
      <c r="N29" s="172">
        <f>IF(C29&lt;Reference!$B$27,Reference!$C$27,0)</f>
        <v>16.87</v>
      </c>
      <c r="O29" s="172">
        <f t="shared" si="3"/>
        <v>118.88</v>
      </c>
      <c r="P29" s="176">
        <f t="shared" si="4"/>
        <v>0</v>
      </c>
      <c r="Q29" s="176">
        <f>SWITCH(Summary!$K$26,"Calculated", D29*Reference!$B$5*Reference!$B$6, "Manual entries",I29)</f>
        <v>0</v>
      </c>
      <c r="R29" s="177">
        <f>MAX(SWITCH(Summary!$K$27,"Derived from calculated values",K29,"Derived from manual entries",L29)+(Q29*Reference!$B$18)-(D29*O29),0)</f>
        <v>0</v>
      </c>
      <c r="S29" s="178">
        <f>IF(J29,Summary!$C$41/ (J$84+ESPP!$N$26), 0)</f>
        <v>0</v>
      </c>
      <c r="T29" s="273">
        <f>IF(J29,(Reference!$B$23 - X29) * S29, 0)</f>
        <v>0</v>
      </c>
      <c r="U29" s="180">
        <f t="shared" si="5"/>
        <v>0</v>
      </c>
      <c r="V29" s="274">
        <f>IF(DATEDIF(C29,Reference!$B$28,"Y")&gt;=1,0,U29+T29)</f>
        <v>0</v>
      </c>
      <c r="W29" s="180">
        <f>IF(DATEDIF(C29,Reference!$B$28,"Y")&gt;=1,U29+T29,0)</f>
        <v>0</v>
      </c>
      <c r="X29" s="184">
        <f>iferror(((O29*D29) - K29 + U29)/SWITCH(Summary!$K$26, "Calculated", Q29, "Manual entries", I29), 0)</f>
        <v>0</v>
      </c>
      <c r="Y29" s="184">
        <f>(Reference!$B$10-X29)*((SWITCH(Summary!$K$26, "Calculated", Q29, "Manual entries", I29)) - S29)</f>
        <v>0</v>
      </c>
      <c r="Z29" s="184">
        <f t="shared" si="6"/>
        <v>0</v>
      </c>
      <c r="AA29" s="186">
        <f t="shared" si="7"/>
        <v>0</v>
      </c>
    </row>
    <row r="30">
      <c r="A30" s="268"/>
      <c r="B30" s="269">
        <v>42929.0</v>
      </c>
      <c r="C30" s="168">
        <v>43282.0</v>
      </c>
      <c r="D30" s="169"/>
      <c r="E30" s="270">
        <v>146.97</v>
      </c>
      <c r="F30" s="271"/>
      <c r="G30" s="172">
        <f t="shared" si="1"/>
        <v>0</v>
      </c>
      <c r="H30" s="177">
        <f t="shared" si="2"/>
        <v>0</v>
      </c>
      <c r="I30" s="272"/>
      <c r="J30" s="189" t="b">
        <v>0</v>
      </c>
      <c r="K30" s="172">
        <f>LET(ratio,Reference!$B$4, ratio*Reference!$B$3*D30)</f>
        <v>0</v>
      </c>
      <c r="L30" s="172">
        <f>iferror(LET(ratio, I30/(0.252*D30),(1-ratio) * Reference!$B$3 * D30),0)</f>
        <v>0</v>
      </c>
      <c r="M30" s="172">
        <f>IF(C30&lt;Reference!$B$26,Reference!$C$26,0)</f>
        <v>10.18</v>
      </c>
      <c r="N30" s="172">
        <f>IF(C30&lt;Reference!$B$27,Reference!$C$27,0)</f>
        <v>16.87</v>
      </c>
      <c r="O30" s="172">
        <f t="shared" si="3"/>
        <v>119.92</v>
      </c>
      <c r="P30" s="176">
        <f t="shared" si="4"/>
        <v>0</v>
      </c>
      <c r="Q30" s="176">
        <f>SWITCH(Summary!$K$26,"Calculated", D30*Reference!$B$5*Reference!$B$6, "Manual entries",I30)</f>
        <v>0</v>
      </c>
      <c r="R30" s="177">
        <f>MAX(SWITCH(Summary!$K$27,"Derived from calculated values",K30,"Derived from manual entries",L30)+(Q30*Reference!$B$18)-(D30*O30),0)</f>
        <v>0</v>
      </c>
      <c r="S30" s="178">
        <f>IF(J30,Summary!$C$41/ (J$84+ESPP!$N$26), 0)</f>
        <v>0</v>
      </c>
      <c r="T30" s="273">
        <f>IF(J30,(Reference!$B$23 - X30) * S30, 0)</f>
        <v>0</v>
      </c>
      <c r="U30" s="180">
        <f t="shared" si="5"/>
        <v>0</v>
      </c>
      <c r="V30" s="274">
        <f>IF(DATEDIF(C30,Reference!$B$28,"Y")&gt;=1,0,U30+T30)</f>
        <v>0</v>
      </c>
      <c r="W30" s="180">
        <f>IF(DATEDIF(C30,Reference!$B$28,"Y")&gt;=1,U30+T30,0)</f>
        <v>0</v>
      </c>
      <c r="X30" s="184">
        <f>iferror(((O30*D30) - K30 + U30)/SWITCH(Summary!$K$26, "Calculated", Q30, "Manual entries", I30), 0)</f>
        <v>0</v>
      </c>
      <c r="Y30" s="184">
        <f>(Reference!$B$10-X30)*((SWITCH(Summary!$K$26, "Calculated", Q30, "Manual entries", I30)) - S30)</f>
        <v>0</v>
      </c>
      <c r="Z30" s="184">
        <f t="shared" si="6"/>
        <v>0</v>
      </c>
      <c r="AA30" s="186">
        <f t="shared" si="7"/>
        <v>0</v>
      </c>
    </row>
    <row r="31">
      <c r="A31" s="268"/>
      <c r="B31" s="269">
        <v>42170.0</v>
      </c>
      <c r="C31" s="168">
        <v>43405.0</v>
      </c>
      <c r="D31" s="169"/>
      <c r="E31" s="270">
        <v>144.64</v>
      </c>
      <c r="F31" s="271"/>
      <c r="G31" s="172">
        <f t="shared" si="1"/>
        <v>0</v>
      </c>
      <c r="H31" s="177">
        <f t="shared" si="2"/>
        <v>0</v>
      </c>
      <c r="I31" s="272"/>
      <c r="J31" s="189" t="b">
        <v>0</v>
      </c>
      <c r="K31" s="172">
        <f>LET(ratio,Reference!$B$4, ratio*Reference!$B$3*D31)</f>
        <v>0</v>
      </c>
      <c r="L31" s="172">
        <f>iferror(LET(ratio, I31/(0.252*D31),(1-ratio) * Reference!$B$3 * D31),0)</f>
        <v>0</v>
      </c>
      <c r="M31" s="172">
        <f>IF(C31&lt;Reference!$B$26,Reference!$C$26,0)</f>
        <v>10.18</v>
      </c>
      <c r="N31" s="172">
        <f>IF(C31&lt;Reference!$B$27,Reference!$C$27,0)</f>
        <v>16.87</v>
      </c>
      <c r="O31" s="172">
        <f t="shared" si="3"/>
        <v>117.59</v>
      </c>
      <c r="P31" s="176">
        <f t="shared" si="4"/>
        <v>0</v>
      </c>
      <c r="Q31" s="176">
        <f>SWITCH(Summary!$K$26,"Calculated", D31*Reference!$B$5*Reference!$B$6, "Manual entries",I31)</f>
        <v>0</v>
      </c>
      <c r="R31" s="177">
        <f>MAX(SWITCH(Summary!$K$27,"Derived from calculated values",K31,"Derived from manual entries",L31)+(Q31*Reference!$B$18)-(D31*O31),0)</f>
        <v>0</v>
      </c>
      <c r="S31" s="178">
        <f>IF(J31,Summary!$C$41/ (J$84+ESPP!$N$26), 0)</f>
        <v>0</v>
      </c>
      <c r="T31" s="273">
        <f>IF(J31,(Reference!$B$23 - X31) * S31, 0)</f>
        <v>0</v>
      </c>
      <c r="U31" s="180">
        <f t="shared" si="5"/>
        <v>0</v>
      </c>
      <c r="V31" s="274">
        <f>IF(DATEDIF(C31,Reference!$B$28,"Y")&gt;=1,0,U31+T31)</f>
        <v>0</v>
      </c>
      <c r="W31" s="180">
        <f>IF(DATEDIF(C31,Reference!$B$28,"Y")&gt;=1,U31+T31,0)</f>
        <v>0</v>
      </c>
      <c r="X31" s="184">
        <f>iferror(((O31*D31) - K31 + U31)/SWITCH(Summary!$K$26, "Calculated", Q31, "Manual entries", I31), 0)</f>
        <v>0</v>
      </c>
      <c r="Y31" s="184">
        <f>(Reference!$B$10-X31)*((SWITCH(Summary!$K$26, "Calculated", Q31, "Manual entries", I31)) - S31)</f>
        <v>0</v>
      </c>
      <c r="Z31" s="184">
        <f t="shared" si="6"/>
        <v>0</v>
      </c>
      <c r="AA31" s="186">
        <f t="shared" si="7"/>
        <v>0</v>
      </c>
    </row>
    <row r="32">
      <c r="A32" s="268"/>
      <c r="B32" s="269">
        <v>42489.0</v>
      </c>
      <c r="C32" s="168">
        <v>43405.0</v>
      </c>
      <c r="D32" s="169"/>
      <c r="E32" s="270">
        <v>144.64</v>
      </c>
      <c r="F32" s="271"/>
      <c r="G32" s="172">
        <f t="shared" si="1"/>
        <v>0</v>
      </c>
      <c r="H32" s="177">
        <f t="shared" si="2"/>
        <v>0</v>
      </c>
      <c r="I32" s="272"/>
      <c r="J32" s="189" t="b">
        <v>0</v>
      </c>
      <c r="K32" s="172">
        <f>LET(ratio,Reference!$B$4, ratio*Reference!$B$3*D32)</f>
        <v>0</v>
      </c>
      <c r="L32" s="172">
        <f>iferror(LET(ratio, I32/(0.252*D32),(1-ratio) * Reference!$B$3 * D32),0)</f>
        <v>0</v>
      </c>
      <c r="M32" s="172">
        <f>IF(C32&lt;Reference!$B$26,Reference!$C$26,0)</f>
        <v>10.18</v>
      </c>
      <c r="N32" s="172">
        <f>IF(C32&lt;Reference!$B$27,Reference!$C$27,0)</f>
        <v>16.87</v>
      </c>
      <c r="O32" s="172">
        <f t="shared" si="3"/>
        <v>117.59</v>
      </c>
      <c r="P32" s="176">
        <f t="shared" si="4"/>
        <v>0</v>
      </c>
      <c r="Q32" s="176">
        <f>SWITCH(Summary!$K$26,"Calculated", D32*Reference!$B$5*Reference!$B$6, "Manual entries",I32)</f>
        <v>0</v>
      </c>
      <c r="R32" s="177">
        <f>MAX(SWITCH(Summary!$K$27,"Derived from calculated values",K32,"Derived from manual entries",L32)+(Q32*Reference!$B$18)-(D32*O32),0)</f>
        <v>0</v>
      </c>
      <c r="S32" s="178">
        <f>IF(J32,Summary!$C$41/ (J$84+ESPP!$N$26), 0)</f>
        <v>0</v>
      </c>
      <c r="T32" s="273">
        <f>IF(J32,(Reference!$B$23 - X32) * S32, 0)</f>
        <v>0</v>
      </c>
      <c r="U32" s="180">
        <f t="shared" si="5"/>
        <v>0</v>
      </c>
      <c r="V32" s="274">
        <f>IF(DATEDIF(C32,Reference!$B$28,"Y")&gt;=1,0,U32+T32)</f>
        <v>0</v>
      </c>
      <c r="W32" s="180">
        <f>IF(DATEDIF(C32,Reference!$B$28,"Y")&gt;=1,U32+T32,0)</f>
        <v>0</v>
      </c>
      <c r="X32" s="184">
        <f>iferror(((O32*D32) - K32 + U32)/SWITCH(Summary!$K$26, "Calculated", Q32, "Manual entries", I32), 0)</f>
        <v>0</v>
      </c>
      <c r="Y32" s="184">
        <f>(Reference!$B$10-X32)*((SWITCH(Summary!$K$26, "Calculated", Q32, "Manual entries", I32)) - S32)</f>
        <v>0</v>
      </c>
      <c r="Z32" s="184">
        <f t="shared" si="6"/>
        <v>0</v>
      </c>
      <c r="AA32" s="186">
        <f t="shared" si="7"/>
        <v>0</v>
      </c>
    </row>
    <row r="33">
      <c r="A33" s="268"/>
      <c r="B33" s="269">
        <v>42342.0</v>
      </c>
      <c r="C33" s="168">
        <v>43435.0</v>
      </c>
      <c r="D33" s="169"/>
      <c r="E33" s="270">
        <v>167.34</v>
      </c>
      <c r="F33" s="271"/>
      <c r="G33" s="172">
        <f t="shared" si="1"/>
        <v>0</v>
      </c>
      <c r="H33" s="177">
        <f t="shared" si="2"/>
        <v>0</v>
      </c>
      <c r="I33" s="272"/>
      <c r="J33" s="189" t="b">
        <v>0</v>
      </c>
      <c r="K33" s="172">
        <f>LET(ratio,Reference!$B$4, ratio*Reference!$B$3*D33)</f>
        <v>0</v>
      </c>
      <c r="L33" s="172">
        <f>iferror(LET(ratio, I33/(0.252*D33),(1-ratio) * Reference!$B$3 * D33),0)</f>
        <v>0</v>
      </c>
      <c r="M33" s="172">
        <f>IF(C33&lt;Reference!$B$26,Reference!$C$26,0)</f>
        <v>10.18</v>
      </c>
      <c r="N33" s="172">
        <f>IF(C33&lt;Reference!$B$27,Reference!$C$27,0)</f>
        <v>16.87</v>
      </c>
      <c r="O33" s="172">
        <f t="shared" si="3"/>
        <v>140.29</v>
      </c>
      <c r="P33" s="176">
        <f t="shared" si="4"/>
        <v>0</v>
      </c>
      <c r="Q33" s="176">
        <f>SWITCH(Summary!$K$26,"Calculated", D33*Reference!$B$5*Reference!$B$6, "Manual entries",I33)</f>
        <v>0</v>
      </c>
      <c r="R33" s="177">
        <f>MAX(SWITCH(Summary!$K$27,"Derived from calculated values",K33,"Derived from manual entries",L33)+(Q33*Reference!$B$18)-(D33*O33),0)</f>
        <v>0</v>
      </c>
      <c r="S33" s="178">
        <f>IF(J33,Summary!$C$41/ (J$84+ESPP!$N$26), 0)</f>
        <v>0</v>
      </c>
      <c r="T33" s="273">
        <f>IF(J33,(Reference!$B$23 - X33) * S33, 0)</f>
        <v>0</v>
      </c>
      <c r="U33" s="277">
        <f t="shared" si="5"/>
        <v>0</v>
      </c>
      <c r="V33" s="274">
        <f>IF(DATEDIF(C33,Reference!$B$28,"Y")&gt;=1,0,U33+T33)</f>
        <v>0</v>
      </c>
      <c r="W33" s="180">
        <f>IF(DATEDIF(C33,Reference!$B$28,"Y")&gt;=1,U33+T33,0)</f>
        <v>0</v>
      </c>
      <c r="X33" s="184">
        <f>iferror(((O33*D33) - K33 + U33)/SWITCH(Summary!$K$26, "Calculated", Q33, "Manual entries", I33), 0)</f>
        <v>0</v>
      </c>
      <c r="Y33" s="184">
        <f>(Reference!$B$10-X33)*((SWITCH(Summary!$K$26, "Calculated", Q33, "Manual entries", I33)) - S33)</f>
        <v>0</v>
      </c>
      <c r="Z33" s="184">
        <f t="shared" si="6"/>
        <v>0</v>
      </c>
      <c r="AA33" s="186">
        <f t="shared" si="7"/>
        <v>0</v>
      </c>
    </row>
    <row r="34">
      <c r="A34" s="268"/>
      <c r="B34" s="269">
        <v>43462.0</v>
      </c>
      <c r="C34" s="168">
        <v>43475.0</v>
      </c>
      <c r="D34" s="169"/>
      <c r="E34" s="270">
        <v>148.88</v>
      </c>
      <c r="F34" s="271"/>
      <c r="G34" s="172">
        <f t="shared" si="1"/>
        <v>0</v>
      </c>
      <c r="H34" s="177">
        <f t="shared" si="2"/>
        <v>0</v>
      </c>
      <c r="I34" s="272"/>
      <c r="J34" s="189" t="b">
        <v>0</v>
      </c>
      <c r="K34" s="172">
        <f>LET(ratio,Reference!$B$4, ratio*Reference!$B$3*D34)</f>
        <v>0</v>
      </c>
      <c r="L34" s="172">
        <f>iferror(LET(ratio, I34/(0.252*D34),(1-ratio) * Reference!$B$3 * D34),0)</f>
        <v>0</v>
      </c>
      <c r="M34" s="172">
        <f>IF(C34&lt;Reference!$B$26,Reference!$C$26,0)</f>
        <v>0</v>
      </c>
      <c r="N34" s="172">
        <f>IF(C34&lt;Reference!$B$27,Reference!$C$27,0)</f>
        <v>16.87</v>
      </c>
      <c r="O34" s="172">
        <f t="shared" si="3"/>
        <v>132.01</v>
      </c>
      <c r="P34" s="176">
        <f t="shared" si="4"/>
        <v>0</v>
      </c>
      <c r="Q34" s="176">
        <f>SWITCH(Summary!$K$26,"Calculated", D34*Reference!$B$5*Reference!$B$6, "Manual entries",I34)</f>
        <v>0</v>
      </c>
      <c r="R34" s="177">
        <f>MAX(SWITCH(Summary!$K$27,"Derived from calculated values",K34,"Derived from manual entries",L34)+(Q34*Reference!$B$18)-(D34*O34),0)</f>
        <v>0</v>
      </c>
      <c r="S34" s="178">
        <f>IF(J34,Summary!$C$41/ (J$84+ESPP!$N$26), 0)</f>
        <v>0</v>
      </c>
      <c r="T34" s="273">
        <f>IF(J34,(Reference!$B$23 - X34) * S34, 0)</f>
        <v>0</v>
      </c>
      <c r="U34" s="277">
        <f t="shared" si="5"/>
        <v>0</v>
      </c>
      <c r="V34" s="274">
        <f>IF(DATEDIF(C34,Reference!$B$28,"Y")&gt;=1,0,U34+T34)</f>
        <v>0</v>
      </c>
      <c r="W34" s="180">
        <f>IF(DATEDIF(C34,Reference!$B$28,"Y")&gt;=1,U34+T34,0)</f>
        <v>0</v>
      </c>
      <c r="X34" s="184">
        <f>iferror(((O34*D34) - K34 + U34)/SWITCH(Summary!$K$26, "Calculated", Q34, "Manual entries", I34), 0)</f>
        <v>0</v>
      </c>
      <c r="Y34" s="184">
        <f>(Reference!$B$10-X34)*((SWITCH(Summary!$K$26, "Calculated", Q34, "Manual entries", I34)) - S34)</f>
        <v>0</v>
      </c>
      <c r="Z34" s="184">
        <f t="shared" si="6"/>
        <v>0</v>
      </c>
      <c r="AA34" s="186">
        <f t="shared" si="7"/>
        <v>0</v>
      </c>
    </row>
    <row r="35">
      <c r="A35" s="268"/>
      <c r="B35" s="269">
        <v>43462.0</v>
      </c>
      <c r="C35" s="168">
        <v>43586.0</v>
      </c>
      <c r="D35" s="169"/>
      <c r="E35" s="270">
        <v>202.46</v>
      </c>
      <c r="F35" s="271"/>
      <c r="G35" s="172">
        <f t="shared" si="1"/>
        <v>0</v>
      </c>
      <c r="H35" s="177">
        <f t="shared" si="2"/>
        <v>0</v>
      </c>
      <c r="I35" s="272"/>
      <c r="J35" s="189" t="b">
        <v>0</v>
      </c>
      <c r="K35" s="172">
        <f>LET(ratio,Reference!$B$4, ratio*Reference!$B$3*D35)</f>
        <v>0</v>
      </c>
      <c r="L35" s="172">
        <f>iferror(LET(ratio, I35/(0.252*D35),(1-ratio) * Reference!$B$3 * D35),0)</f>
        <v>0</v>
      </c>
      <c r="M35" s="172">
        <f>IF(C35&lt;Reference!$B$26,Reference!$C$26,0)</f>
        <v>0</v>
      </c>
      <c r="N35" s="172">
        <f>IF(C35&lt;Reference!$B$27,Reference!$C$27,0)</f>
        <v>16.87</v>
      </c>
      <c r="O35" s="172">
        <f t="shared" si="3"/>
        <v>185.59</v>
      </c>
      <c r="P35" s="176">
        <f t="shared" si="4"/>
        <v>0</v>
      </c>
      <c r="Q35" s="176">
        <f>SWITCH(Summary!$K$26,"Calculated", D35*Reference!$B$5*Reference!$B$6, "Manual entries",I35)</f>
        <v>0</v>
      </c>
      <c r="R35" s="177">
        <f>MAX(SWITCH(Summary!$K$27,"Derived from calculated values",K35,"Derived from manual entries",L35)+(Q35*Reference!$B$18)-(D35*O35),0)</f>
        <v>0</v>
      </c>
      <c r="S35" s="178">
        <f>IF(J35,Summary!$C$41/ (J$84+ESPP!$N$26), 0)</f>
        <v>0</v>
      </c>
      <c r="T35" s="273">
        <f>IF(J35,(Reference!$B$23 - X35) * S35, 0)</f>
        <v>0</v>
      </c>
      <c r="U35" s="277">
        <f t="shared" si="5"/>
        <v>0</v>
      </c>
      <c r="V35" s="274">
        <f>IF(DATEDIF(C35,Reference!$B$28,"Y")&gt;=1,0,U35+T35)</f>
        <v>0</v>
      </c>
      <c r="W35" s="180">
        <f>IF(DATEDIF(C35,Reference!$B$28,"Y")&gt;=1,U35+T35,0)</f>
        <v>0</v>
      </c>
      <c r="X35" s="184">
        <f>iferror(((O35*D35) - K35 + U35)/SWITCH(Summary!$K$26, "Calculated", Q35, "Manual entries", I35), 0)</f>
        <v>0</v>
      </c>
      <c r="Y35" s="184">
        <f>(Reference!$B$10-X35)*((SWITCH(Summary!$K$26, "Calculated", Q35, "Manual entries", I35)) - S35)</f>
        <v>0</v>
      </c>
      <c r="Z35" s="184">
        <f t="shared" si="6"/>
        <v>0</v>
      </c>
      <c r="AA35" s="186">
        <f t="shared" si="7"/>
        <v>0</v>
      </c>
    </row>
    <row r="36">
      <c r="A36" s="268"/>
      <c r="B36" s="269">
        <v>43462.0</v>
      </c>
      <c r="C36" s="168">
        <v>43586.0</v>
      </c>
      <c r="D36" s="169"/>
      <c r="E36" s="270">
        <v>202.46</v>
      </c>
      <c r="F36" s="271"/>
      <c r="G36" s="172">
        <f t="shared" si="1"/>
        <v>0</v>
      </c>
      <c r="H36" s="177">
        <f t="shared" si="2"/>
        <v>0</v>
      </c>
      <c r="I36" s="272"/>
      <c r="J36" s="189" t="b">
        <v>0</v>
      </c>
      <c r="K36" s="172">
        <f>LET(ratio,Reference!$B$4, ratio*Reference!$B$3*D36)</f>
        <v>0</v>
      </c>
      <c r="L36" s="172">
        <f>iferror(LET(ratio, I36/(0.252*D36),(1-ratio) * Reference!$B$3 * D36),0)</f>
        <v>0</v>
      </c>
      <c r="M36" s="172">
        <f>IF(C36&lt;Reference!$B$26,Reference!$C$26,0)</f>
        <v>0</v>
      </c>
      <c r="N36" s="172">
        <f>IF(C36&lt;Reference!$B$27,Reference!$C$27,0)</f>
        <v>16.87</v>
      </c>
      <c r="O36" s="172">
        <f t="shared" si="3"/>
        <v>185.59</v>
      </c>
      <c r="P36" s="176">
        <f t="shared" si="4"/>
        <v>0</v>
      </c>
      <c r="Q36" s="176">
        <f>SWITCH(Summary!$K$26,"Calculated", D36*Reference!$B$5*Reference!$B$6, "Manual entries",I36)</f>
        <v>0</v>
      </c>
      <c r="R36" s="177">
        <f>MAX(SWITCH(Summary!$K$27,"Derived from calculated values",K36,"Derived from manual entries",L36)+(Q36*Reference!$B$18)-(D36*O36),0)</f>
        <v>0</v>
      </c>
      <c r="S36" s="178">
        <f>IF(J36,Summary!$C$41/ (J$84+ESPP!$N$26), 0)</f>
        <v>0</v>
      </c>
      <c r="T36" s="273">
        <f>IF(J36,(Reference!$B$23 - X36) * S36, 0)</f>
        <v>0</v>
      </c>
      <c r="U36" s="277">
        <f t="shared" si="5"/>
        <v>0</v>
      </c>
      <c r="V36" s="274">
        <f>IF(DATEDIF(C36,Reference!$B$28,"Y")&gt;=1,0,U36+T36)</f>
        <v>0</v>
      </c>
      <c r="W36" s="180">
        <f>IF(DATEDIF(C36,Reference!$B$28,"Y")&gt;=1,U36+T36,0)</f>
        <v>0</v>
      </c>
      <c r="X36" s="184">
        <f>iferror(((O36*D36) - K36 + U36)/SWITCH(Summary!$K$26, "Calculated", Q36, "Manual entries", I36), 0)</f>
        <v>0</v>
      </c>
      <c r="Y36" s="184">
        <f>(Reference!$B$10-X36)*((SWITCH(Summary!$K$26, "Calculated", Q36, "Manual entries", I36)) - S36)</f>
        <v>0</v>
      </c>
      <c r="Z36" s="184">
        <f t="shared" si="6"/>
        <v>0</v>
      </c>
      <c r="AA36" s="186">
        <f t="shared" si="7"/>
        <v>0</v>
      </c>
    </row>
    <row r="37">
      <c r="A37" s="268"/>
      <c r="B37" s="269">
        <v>43462.0</v>
      </c>
      <c r="C37" s="168">
        <v>43617.0</v>
      </c>
      <c r="D37" s="169"/>
      <c r="E37" s="270">
        <v>176.98</v>
      </c>
      <c r="F37" s="271"/>
      <c r="G37" s="172">
        <f t="shared" si="1"/>
        <v>0</v>
      </c>
      <c r="H37" s="177">
        <f t="shared" si="2"/>
        <v>0</v>
      </c>
      <c r="I37" s="276"/>
      <c r="J37" s="189" t="b">
        <v>0</v>
      </c>
      <c r="K37" s="172">
        <f>LET(ratio,Reference!$B$4, ratio*Reference!$B$3*D37)</f>
        <v>0</v>
      </c>
      <c r="L37" s="172">
        <f>iferror(LET(ratio, I37/(0.252*D37),(1-ratio) * Reference!$B$3 * D37),0)</f>
        <v>0</v>
      </c>
      <c r="M37" s="172">
        <f>IF(C37&lt;Reference!$B$26,Reference!$C$26,0)</f>
        <v>0</v>
      </c>
      <c r="N37" s="172">
        <f>IF(C37&lt;Reference!$B$27,Reference!$C$27,0)</f>
        <v>16.87</v>
      </c>
      <c r="O37" s="172">
        <f t="shared" si="3"/>
        <v>160.11</v>
      </c>
      <c r="P37" s="176">
        <f t="shared" si="4"/>
        <v>0</v>
      </c>
      <c r="Q37" s="176">
        <f>SWITCH(Summary!$K$26,"Calculated", D37*Reference!$B$5*Reference!$B$6, "Manual entries",I37)</f>
        <v>0</v>
      </c>
      <c r="R37" s="177">
        <f>MAX(SWITCH(Summary!$K$27,"Derived from calculated values",K37,"Derived from manual entries",L37)+(Q37*Reference!$B$18)-(D37*O37),0)</f>
        <v>0</v>
      </c>
      <c r="S37" s="178">
        <f>IF(J37,Summary!$C$41/ (J$84+ESPP!$N$26), 0)</f>
        <v>0</v>
      </c>
      <c r="T37" s="273">
        <f>IF(J37,(Reference!$B$23 - X37) * S37, 0)</f>
        <v>0</v>
      </c>
      <c r="U37" s="277">
        <f t="shared" si="5"/>
        <v>0</v>
      </c>
      <c r="V37" s="274">
        <f>IF(DATEDIF(C37,Reference!$B$28,"Y")&gt;=1,0,U37+T37)</f>
        <v>0</v>
      </c>
      <c r="W37" s="180">
        <f>IF(DATEDIF(C37,Reference!$B$28,"Y")&gt;=1,U37+T37,0)</f>
        <v>0</v>
      </c>
      <c r="X37" s="184">
        <f>iferror(((O37*D37) - K37 + U37)/SWITCH(Summary!$K$26, "Calculated", Q37, "Manual entries", I37), 0)</f>
        <v>0</v>
      </c>
      <c r="Y37" s="184">
        <f>(Reference!$B$10-X37)*((SWITCH(Summary!$K$26, "Calculated", Q37, "Manual entries", I37)) - S37)</f>
        <v>0</v>
      </c>
      <c r="Z37" s="184">
        <f t="shared" si="6"/>
        <v>0</v>
      </c>
      <c r="AA37" s="186">
        <f t="shared" si="7"/>
        <v>0</v>
      </c>
    </row>
    <row r="38">
      <c r="A38" s="268"/>
      <c r="B38" s="269">
        <v>43462.0</v>
      </c>
      <c r="C38" s="168">
        <v>43647.0</v>
      </c>
      <c r="D38" s="169"/>
      <c r="E38" s="270">
        <v>168.77</v>
      </c>
      <c r="F38" s="271"/>
      <c r="G38" s="172">
        <f t="shared" si="1"/>
        <v>0</v>
      </c>
      <c r="H38" s="177">
        <f t="shared" si="2"/>
        <v>0</v>
      </c>
      <c r="I38" s="272"/>
      <c r="J38" s="189" t="b">
        <v>0</v>
      </c>
      <c r="K38" s="172">
        <f>LET(ratio,Reference!$B$4, ratio*Reference!$B$3*D38)</f>
        <v>0</v>
      </c>
      <c r="L38" s="172">
        <f>iferror(LET(ratio, I38/(0.252*D38),(1-ratio) * Reference!$B$3 * D38),0)</f>
        <v>0</v>
      </c>
      <c r="M38" s="172">
        <f>IF(C38&lt;Reference!$B$26,Reference!$C$26,0)</f>
        <v>0</v>
      </c>
      <c r="N38" s="172">
        <f>IF(C38&lt;Reference!$B$27,Reference!$C$27,0)</f>
        <v>16.87</v>
      </c>
      <c r="O38" s="172">
        <f t="shared" si="3"/>
        <v>151.9</v>
      </c>
      <c r="P38" s="176">
        <f t="shared" si="4"/>
        <v>0</v>
      </c>
      <c r="Q38" s="176">
        <f>SWITCH(Summary!$K$26,"Calculated", D38*Reference!$B$5*Reference!$B$6, "Manual entries",I38)</f>
        <v>0</v>
      </c>
      <c r="R38" s="177">
        <f>MAX(SWITCH(Summary!$K$27,"Derived from calculated values",K38,"Derived from manual entries",L38)+(Q38*Reference!$B$18)-(D38*O38),0)</f>
        <v>0</v>
      </c>
      <c r="S38" s="178">
        <f>IF(J38,Summary!$C$41/ (J$84+ESPP!$N$26), 0)</f>
        <v>0</v>
      </c>
      <c r="T38" s="273">
        <f>IF(J38,(Reference!$B$23 - X38) * S38, 0)</f>
        <v>0</v>
      </c>
      <c r="U38" s="277">
        <f t="shared" si="5"/>
        <v>0</v>
      </c>
      <c r="V38" s="274">
        <f>IF(DATEDIF(C38,Reference!$B$28,"Y")&gt;=1,0,U38+T38)</f>
        <v>0</v>
      </c>
      <c r="W38" s="180">
        <f>IF(DATEDIF(C38,Reference!$B$28,"Y")&gt;=1,U38+T38,0)</f>
        <v>0</v>
      </c>
      <c r="X38" s="184">
        <f>iferror(((O38*D38) - K38 + U38)/SWITCH(Summary!$K$26, "Calculated", Q38, "Manual entries", I38), 0)</f>
        <v>0</v>
      </c>
      <c r="Y38" s="184">
        <f>(Reference!$B$10-X38)*((SWITCH(Summary!$K$26, "Calculated", Q38, "Manual entries", I38)) - S38)</f>
        <v>0</v>
      </c>
      <c r="Z38" s="184">
        <f t="shared" si="6"/>
        <v>0</v>
      </c>
      <c r="AA38" s="186">
        <f t="shared" si="7"/>
        <v>0</v>
      </c>
    </row>
    <row r="39">
      <c r="A39" s="268"/>
      <c r="B39" s="269">
        <v>43462.0</v>
      </c>
      <c r="C39" s="168">
        <v>43770.0</v>
      </c>
      <c r="D39" s="169"/>
      <c r="E39" s="270">
        <v>163.06</v>
      </c>
      <c r="F39" s="271"/>
      <c r="G39" s="172">
        <f t="shared" si="1"/>
        <v>0</v>
      </c>
      <c r="H39" s="177">
        <f t="shared" si="2"/>
        <v>0</v>
      </c>
      <c r="I39" s="276"/>
      <c r="J39" s="189" t="b">
        <v>0</v>
      </c>
      <c r="K39" s="172">
        <f>LET(ratio,Reference!$B$4, ratio*Reference!$B$3*D39)</f>
        <v>0</v>
      </c>
      <c r="L39" s="172">
        <f>iferror(LET(ratio, I39/(0.252*D39),(1-ratio) * Reference!$B$3 * D39),0)</f>
        <v>0</v>
      </c>
      <c r="M39" s="172">
        <f>IF(C39&lt;Reference!$B$26,Reference!$C$26,0)</f>
        <v>0</v>
      </c>
      <c r="N39" s="172">
        <f>IF(C39&lt;Reference!$B$27,Reference!$C$27,0)</f>
        <v>16.87</v>
      </c>
      <c r="O39" s="172">
        <f t="shared" si="3"/>
        <v>146.19</v>
      </c>
      <c r="P39" s="176">
        <f t="shared" si="4"/>
        <v>0</v>
      </c>
      <c r="Q39" s="176">
        <f>SWITCH(Summary!$K$26,"Calculated", D39*Reference!$B$5*Reference!$B$6, "Manual entries",I39)</f>
        <v>0</v>
      </c>
      <c r="R39" s="177">
        <f>MAX(SWITCH(Summary!$K$27,"Derived from calculated values",K39,"Derived from manual entries",L39)+(Q39*Reference!$B$18)-(D39*O39),0)</f>
        <v>0</v>
      </c>
      <c r="S39" s="178">
        <f>IF(J39,Summary!$C$41/ (J$84+ESPP!$N$26), 0)</f>
        <v>0</v>
      </c>
      <c r="T39" s="273">
        <f>IF(J39,(Reference!$B$23 - X39) * S39, 0)</f>
        <v>0</v>
      </c>
      <c r="U39" s="277">
        <f t="shared" si="5"/>
        <v>0</v>
      </c>
      <c r="V39" s="274">
        <f>IF(DATEDIF(C39,Reference!$B$28,"Y")&gt;=1,0,U39+T39)</f>
        <v>0</v>
      </c>
      <c r="W39" s="180">
        <f>IF(DATEDIF(C39,Reference!$B$28,"Y")&gt;=1,U39+T39,0)</f>
        <v>0</v>
      </c>
      <c r="X39" s="184">
        <f>iferror(((O39*D39) - K39 + U39)/SWITCH(Summary!$K$26, "Calculated", Q39, "Manual entries", I39), 0)</f>
        <v>0</v>
      </c>
      <c r="Y39" s="184">
        <f>(Reference!$B$10-X39)*((SWITCH(Summary!$K$26, "Calculated", Q39, "Manual entries", I39)) - S39)</f>
        <v>0</v>
      </c>
      <c r="Z39" s="184">
        <f t="shared" si="6"/>
        <v>0</v>
      </c>
      <c r="AA39" s="186">
        <f t="shared" si="7"/>
        <v>0</v>
      </c>
    </row>
    <row r="40">
      <c r="A40" s="268"/>
      <c r="B40" s="269">
        <v>43462.0</v>
      </c>
      <c r="C40" s="168">
        <v>43800.0</v>
      </c>
      <c r="D40" s="169"/>
      <c r="E40" s="270">
        <v>155.62</v>
      </c>
      <c r="F40" s="271"/>
      <c r="G40" s="172">
        <f t="shared" si="1"/>
        <v>0</v>
      </c>
      <c r="H40" s="177">
        <f t="shared" si="2"/>
        <v>0</v>
      </c>
      <c r="I40" s="276"/>
      <c r="J40" s="189" t="b">
        <v>0</v>
      </c>
      <c r="K40" s="172">
        <f>LET(ratio,Reference!$B$4, ratio*Reference!$B$3*D40)</f>
        <v>0</v>
      </c>
      <c r="L40" s="172">
        <f>iferror(LET(ratio, I40/(0.252*D40),(1-ratio) * Reference!$B$3 * D40),0)</f>
        <v>0</v>
      </c>
      <c r="M40" s="172">
        <f>IF(C40&lt;Reference!$B$26,Reference!$C$26,0)</f>
        <v>0</v>
      </c>
      <c r="N40" s="172">
        <f>IF(C40&lt;Reference!$B$27,Reference!$C$27,0)</f>
        <v>16.87</v>
      </c>
      <c r="O40" s="172">
        <f t="shared" si="3"/>
        <v>138.75</v>
      </c>
      <c r="P40" s="176">
        <f t="shared" si="4"/>
        <v>0</v>
      </c>
      <c r="Q40" s="176">
        <f>SWITCH(Summary!$K$26,"Calculated", D40*Reference!$B$5*Reference!$B$6, "Manual entries",I40)</f>
        <v>0</v>
      </c>
      <c r="R40" s="177">
        <f>MAX(SWITCH(Summary!$K$27,"Derived from calculated values",K40,"Derived from manual entries",L40)+(Q40*Reference!$B$18)-(D40*O40),0)</f>
        <v>0</v>
      </c>
      <c r="S40" s="178">
        <f>IF(J40,Summary!$C$41/ (J$84+ESPP!$N$26), 0)</f>
        <v>0</v>
      </c>
      <c r="T40" s="273">
        <f>IF(J40,(Reference!$B$23 - X40) * S40, 0)</f>
        <v>0</v>
      </c>
      <c r="U40" s="277">
        <f t="shared" si="5"/>
        <v>0</v>
      </c>
      <c r="V40" s="274">
        <f>IF(DATEDIF(C40,Reference!$B$28,"Y")&gt;=1,0,U40+T40)</f>
        <v>0</v>
      </c>
      <c r="W40" s="180">
        <f>IF(DATEDIF(C40,Reference!$B$28,"Y")&gt;=1,U40+T40,0)</f>
        <v>0</v>
      </c>
      <c r="X40" s="184">
        <f>iferror(((O40*D40) - K40 + U40)/SWITCH(Summary!$K$26, "Calculated", Q40, "Manual entries", I40), 0)</f>
        <v>0</v>
      </c>
      <c r="Y40" s="184">
        <f>(Reference!$B$10-X40)*((SWITCH(Summary!$K$26, "Calculated", Q40, "Manual entries", I40)) - S40)</f>
        <v>0</v>
      </c>
      <c r="Z40" s="184">
        <f t="shared" si="6"/>
        <v>0</v>
      </c>
      <c r="AA40" s="186">
        <f t="shared" si="7"/>
        <v>0</v>
      </c>
    </row>
    <row r="41">
      <c r="A41" s="268"/>
      <c r="B41" s="269">
        <v>43462.0</v>
      </c>
      <c r="C41" s="168">
        <v>43831.0</v>
      </c>
      <c r="D41" s="169"/>
      <c r="E41" s="270">
        <v>151.79</v>
      </c>
      <c r="F41" s="271"/>
      <c r="G41" s="278">
        <f t="shared" si="1"/>
        <v>0</v>
      </c>
      <c r="H41" s="177">
        <f t="shared" si="2"/>
        <v>0</v>
      </c>
      <c r="I41" s="272"/>
      <c r="J41" s="189" t="b">
        <v>0</v>
      </c>
      <c r="K41" s="172">
        <f>LET(ratio,Reference!$B$4, ratio*Reference!$B$3*D41)</f>
        <v>0</v>
      </c>
      <c r="L41" s="172">
        <f>iferror(LET(ratio, I41/(0.252*D41),(1-ratio) * Reference!$B$3 * D41),0)</f>
        <v>0</v>
      </c>
      <c r="M41" s="172">
        <f>IF(C41&lt;Reference!$B$26,Reference!$C$26,0)</f>
        <v>0</v>
      </c>
      <c r="N41" s="172">
        <f>IF(C41&lt;Reference!$B$27,Reference!$C$27,0)</f>
        <v>16.87</v>
      </c>
      <c r="O41" s="172">
        <f t="shared" si="3"/>
        <v>134.92</v>
      </c>
      <c r="P41" s="176">
        <f t="shared" si="4"/>
        <v>0</v>
      </c>
      <c r="Q41" s="176">
        <f>SWITCH(Summary!$K$26,"Calculated", D41*Reference!$B$5*Reference!$B$6, "Manual entries",I41)</f>
        <v>0</v>
      </c>
      <c r="R41" s="177">
        <f>MAX(SWITCH(Summary!$K$27,"Derived from calculated values",K41,"Derived from manual entries",L41)+(Q41*Reference!$B$18)-(D41*O41),0)</f>
        <v>0</v>
      </c>
      <c r="S41" s="178">
        <f>IF(J41,Summary!$C$41/ (J$84+ESPP!$N$26), 0)</f>
        <v>0</v>
      </c>
      <c r="T41" s="273">
        <f>IF(J41,(Reference!$B$23 - X41) * S41, 0)</f>
        <v>0</v>
      </c>
      <c r="U41" s="277">
        <f t="shared" si="5"/>
        <v>0</v>
      </c>
      <c r="V41" s="274">
        <f>IF(DATEDIF(C41,Reference!$B$28,"Y")&gt;=1,0,U41+T41)</f>
        <v>0</v>
      </c>
      <c r="W41" s="180">
        <f>IF(DATEDIF(C41,Reference!$B$28,"Y")&gt;=1,U41+T41,0)</f>
        <v>0</v>
      </c>
      <c r="X41" s="184">
        <f>iferror(((O41*D41) - K41 + U41)/SWITCH(Summary!$K$26, "Calculated", Q41, "Manual entries", I41), 0)</f>
        <v>0</v>
      </c>
      <c r="Y41" s="184">
        <f>(Reference!$B$10-X41)*((SWITCH(Summary!$K$26, "Calculated", Q41, "Manual entries", I41)) - S41)</f>
        <v>0</v>
      </c>
      <c r="Z41" s="184">
        <f t="shared" si="6"/>
        <v>0</v>
      </c>
      <c r="AA41" s="186">
        <f t="shared" si="7"/>
        <v>0</v>
      </c>
    </row>
    <row r="42">
      <c r="A42" s="268"/>
      <c r="B42" s="279"/>
      <c r="C42" s="168">
        <v>43862.0</v>
      </c>
      <c r="D42" s="169"/>
      <c r="E42" s="270">
        <v>148.06</v>
      </c>
      <c r="F42" s="271"/>
      <c r="G42" s="278">
        <f t="shared" si="1"/>
        <v>0</v>
      </c>
      <c r="H42" s="177">
        <f t="shared" si="2"/>
        <v>0</v>
      </c>
      <c r="I42" s="272"/>
      <c r="J42" s="189" t="b">
        <v>0</v>
      </c>
      <c r="K42" s="172">
        <f>LET(ratio,Reference!$B$4, ratio*Reference!$B$3*D42)</f>
        <v>0</v>
      </c>
      <c r="L42" s="172">
        <f>iferror(LET(ratio, I42/(0.252*D42),(1-ratio) * Reference!$B$3 * D42),0)</f>
        <v>0</v>
      </c>
      <c r="M42" s="172">
        <f>IF(C42&lt;Reference!$B$26,Reference!$C$26,0)</f>
        <v>0</v>
      </c>
      <c r="N42" s="172">
        <f>IF(C42&lt;Reference!$B$27,Reference!$C$27,0)</f>
        <v>16.87</v>
      </c>
      <c r="O42" s="172">
        <f t="shared" si="3"/>
        <v>131.19</v>
      </c>
      <c r="P42" s="172">
        <f t="shared" si="4"/>
        <v>0</v>
      </c>
      <c r="Q42" s="176">
        <f>SWITCH(Summary!$K$26,"Calculated", D42*Reference!$B$5*Reference!$B$6, "Manual entries",I42)</f>
        <v>0</v>
      </c>
      <c r="R42" s="177">
        <f>MAX(SWITCH(Summary!$K$27,"Derived from calculated values",K42,"Derived from manual entries",L42)+(Q42*Reference!$B$18)-(D42*O42),0)</f>
        <v>0</v>
      </c>
      <c r="S42" s="178">
        <f>IF(J42,Summary!$C$41/ (J$84+ESPP!$N$26), 0)</f>
        <v>0</v>
      </c>
      <c r="T42" s="273">
        <f>IF(J42,(Reference!$B$23 - X42) * S42, 0)</f>
        <v>0</v>
      </c>
      <c r="U42" s="180">
        <f t="shared" si="5"/>
        <v>0</v>
      </c>
      <c r="V42" s="274">
        <f>IF(DATEDIF(C42,Reference!$B$28,"Y")&gt;=1,0,U42+T42)</f>
        <v>0</v>
      </c>
      <c r="W42" s="180">
        <f>IF(DATEDIF(C42,Reference!$B$28,"Y")&gt;=1,U42+T42,0)</f>
        <v>0</v>
      </c>
      <c r="X42" s="184">
        <f>iferror(((O42*D42) - K42 + U42)/SWITCH(Summary!$K$26, "Calculated", Q42, "Manual entries", I42), 0)</f>
        <v>0</v>
      </c>
      <c r="Y42" s="184">
        <f>(Reference!$B$10-X42)*((SWITCH(Summary!$K$26, "Calculated", Q42, "Manual entries", I42)) - S42)</f>
        <v>0</v>
      </c>
      <c r="Z42" s="184">
        <f t="shared" si="6"/>
        <v>0</v>
      </c>
      <c r="AA42" s="186">
        <f t="shared" si="7"/>
        <v>0</v>
      </c>
    </row>
    <row r="43">
      <c r="A43" s="280"/>
      <c r="B43" s="281"/>
      <c r="C43" s="282">
        <v>43891.0</v>
      </c>
      <c r="D43" s="169"/>
      <c r="E43" s="170">
        <v>120.52</v>
      </c>
      <c r="F43" s="283"/>
      <c r="G43" s="278">
        <f t="shared" si="1"/>
        <v>0</v>
      </c>
      <c r="H43" s="177">
        <f t="shared" si="2"/>
        <v>0</v>
      </c>
      <c r="I43" s="284"/>
      <c r="J43" s="189" t="b">
        <v>0</v>
      </c>
      <c r="K43" s="172">
        <f>LET(ratio,Reference!$B$4, ratio*Reference!$B$3*D43)</f>
        <v>0</v>
      </c>
      <c r="L43" s="172">
        <f>iferror(LET(ratio, I43/(0.252*D43),(1-ratio) * Reference!$B$3 * D43),0)</f>
        <v>0</v>
      </c>
      <c r="M43" s="172">
        <f>IF(C43&lt;Reference!$B$26,Reference!$C$26,0)</f>
        <v>0</v>
      </c>
      <c r="N43" s="172">
        <f>IF(C43&lt;Reference!$B$27,Reference!$C$27,0)</f>
        <v>16.87</v>
      </c>
      <c r="O43" s="172">
        <f t="shared" si="3"/>
        <v>103.65</v>
      </c>
      <c r="P43" s="172">
        <f t="shared" si="4"/>
        <v>0</v>
      </c>
      <c r="Q43" s="176">
        <f>SWITCH(Summary!$K$26,"Calculated", D43*Reference!$B$5*Reference!$B$6, "Manual entries",I43)</f>
        <v>0</v>
      </c>
      <c r="R43" s="177">
        <f>MAX(SWITCH(Summary!$K$27,"Derived from calculated values",K43,"Derived from manual entries",L43)+(Q43*Reference!$B$18)-(D43*O43),0)</f>
        <v>0</v>
      </c>
      <c r="S43" s="178">
        <f>IF(J43,Summary!$C$41/ (J$84+ESPP!$N$26), 0)</f>
        <v>0</v>
      </c>
      <c r="T43" s="273">
        <f>IF(J43,(Reference!$B$23 - X43) * S43, 0)</f>
        <v>0</v>
      </c>
      <c r="U43" s="180">
        <f t="shared" si="5"/>
        <v>0</v>
      </c>
      <c r="V43" s="274">
        <f>IF(DATEDIF(C43,Reference!$B$28,"Y")&gt;=1,0,U43+T43)</f>
        <v>0</v>
      </c>
      <c r="W43" s="180">
        <f>IF(DATEDIF(C43,Reference!$B$28,"Y")&gt;=1,U43+T43,0)</f>
        <v>0</v>
      </c>
      <c r="X43" s="184">
        <f>iferror(((O43*D43) - K43 + U43)/SWITCH(Summary!$K$26, "Calculated", Q43, "Manual entries", I43), 0)</f>
        <v>0</v>
      </c>
      <c r="Y43" s="184">
        <f>(Reference!$B$10-X43)*((SWITCH(Summary!$K$26, "Calculated", Q43, "Manual entries", I43)) - S43)</f>
        <v>0</v>
      </c>
      <c r="Z43" s="184">
        <f t="shared" si="6"/>
        <v>0</v>
      </c>
      <c r="AA43" s="186">
        <f t="shared" si="7"/>
        <v>0</v>
      </c>
    </row>
    <row r="44">
      <c r="A44" s="268"/>
      <c r="B44" s="269">
        <v>43462.0</v>
      </c>
      <c r="C44" s="168">
        <v>43952.0</v>
      </c>
      <c r="D44" s="169"/>
      <c r="E44" s="270">
        <v>125.34</v>
      </c>
      <c r="F44" s="271"/>
      <c r="G44" s="278">
        <f t="shared" si="1"/>
        <v>0</v>
      </c>
      <c r="H44" s="177">
        <f t="shared" si="2"/>
        <v>0</v>
      </c>
      <c r="I44" s="272"/>
      <c r="J44" s="189" t="b">
        <v>0</v>
      </c>
      <c r="K44" s="172">
        <f>LET(ratio,Reference!$B$4, ratio*Reference!$B$3*D44)</f>
        <v>0</v>
      </c>
      <c r="L44" s="172">
        <f>iferror(LET(ratio, I44/(0.252*D44),(1-ratio) * Reference!$B$3 * D44),0)</f>
        <v>0</v>
      </c>
      <c r="M44" s="172">
        <f>IF(C44&lt;Reference!$B$26,Reference!$C$26,0)</f>
        <v>0</v>
      </c>
      <c r="N44" s="172">
        <f>IF(C44&lt;Reference!$B$27,Reference!$C$27,0)</f>
        <v>16.87</v>
      </c>
      <c r="O44" s="172">
        <f t="shared" si="3"/>
        <v>108.47</v>
      </c>
      <c r="P44" s="172">
        <f t="shared" si="4"/>
        <v>0</v>
      </c>
      <c r="Q44" s="176">
        <f>SWITCH(Summary!$K$26,"Calculated", D44*Reference!$B$5*Reference!$B$6, "Manual entries",I44)</f>
        <v>0</v>
      </c>
      <c r="R44" s="177">
        <f>MAX(SWITCH(Summary!$K$27,"Derived from calculated values",K44,"Derived from manual entries",L44)+(Q44*Reference!$B$18)-(D44*O44),0)</f>
        <v>0</v>
      </c>
      <c r="S44" s="178">
        <f>IF(J44,Summary!$C$41/ (J$84+ESPP!$N$26), 0)</f>
        <v>0</v>
      </c>
      <c r="T44" s="273">
        <f>IF(J44,(Reference!$B$23 - X44) * S44, 0)</f>
        <v>0</v>
      </c>
      <c r="U44" s="180">
        <f t="shared" si="5"/>
        <v>0</v>
      </c>
      <c r="V44" s="274">
        <f>IF(DATEDIF(C44,Reference!$B$28,"Y")&gt;=1,0,U44+T44)</f>
        <v>0</v>
      </c>
      <c r="W44" s="180">
        <f>IF(DATEDIF(C44,Reference!$B$28,"Y")&gt;=1,U44+T44,0)</f>
        <v>0</v>
      </c>
      <c r="X44" s="184">
        <f>iferror(((O44*D44) - K44 + U44)/SWITCH(Summary!$K$26, "Calculated", Q44, "Manual entries", I44), 0)</f>
        <v>0</v>
      </c>
      <c r="Y44" s="184">
        <f>(Reference!$B$10-X44)*((SWITCH(Summary!$K$26, "Calculated", Q44, "Manual entries", I44)) - S44)</f>
        <v>0</v>
      </c>
      <c r="Z44" s="184">
        <f t="shared" si="6"/>
        <v>0</v>
      </c>
      <c r="AA44" s="186">
        <f t="shared" si="7"/>
        <v>0</v>
      </c>
    </row>
    <row r="45">
      <c r="A45" s="268"/>
      <c r="B45" s="269">
        <v>43630.0</v>
      </c>
      <c r="C45" s="168">
        <v>43983.0</v>
      </c>
      <c r="D45" s="169"/>
      <c r="E45" s="270">
        <v>154.14</v>
      </c>
      <c r="F45" s="271"/>
      <c r="G45" s="278">
        <f t="shared" si="1"/>
        <v>0</v>
      </c>
      <c r="H45" s="177">
        <f t="shared" si="2"/>
        <v>0</v>
      </c>
      <c r="I45" s="276"/>
      <c r="J45" s="189" t="b">
        <v>0</v>
      </c>
      <c r="K45" s="172">
        <f>LET(ratio,Reference!$B$4, ratio*Reference!$B$3*D45)</f>
        <v>0</v>
      </c>
      <c r="L45" s="172">
        <f>iferror(LET(ratio, I45/(0.252*D45),(1-ratio) * Reference!$B$3 * D45),0)</f>
        <v>0</v>
      </c>
      <c r="M45" s="172">
        <f>IF(C45&lt;Reference!$B$26,Reference!$C$26,0)</f>
        <v>0</v>
      </c>
      <c r="N45" s="172">
        <f>IF(C45&lt;Reference!$B$27,Reference!$C$27,0)</f>
        <v>16.87</v>
      </c>
      <c r="O45" s="172">
        <f t="shared" si="3"/>
        <v>137.27</v>
      </c>
      <c r="P45" s="172">
        <f t="shared" si="4"/>
        <v>0</v>
      </c>
      <c r="Q45" s="176">
        <f>SWITCH(Summary!$K$26,"Calculated", D45*Reference!$B$5*Reference!$B$6, "Manual entries",I45)</f>
        <v>0</v>
      </c>
      <c r="R45" s="177">
        <f>MAX(SWITCH(Summary!$K$27,"Derived from calculated values",K45,"Derived from manual entries",L45)+(Q45*Reference!$B$18)-(D45*O45),0)</f>
        <v>0</v>
      </c>
      <c r="S45" s="178">
        <f>IF(J45,Summary!$C$41/ (J$84+ESPP!$N$26), 0)</f>
        <v>0</v>
      </c>
      <c r="T45" s="273">
        <f>IF(J45,(Reference!$B$23 - X45) * S45, 0)</f>
        <v>0</v>
      </c>
      <c r="U45" s="277">
        <f t="shared" si="5"/>
        <v>0</v>
      </c>
      <c r="V45" s="274">
        <f>IF(DATEDIF(C45,Reference!$B$28,"Y")&gt;=1,0,U45+T45)</f>
        <v>0</v>
      </c>
      <c r="W45" s="180">
        <f>IF(DATEDIF(C45,Reference!$B$28,"Y")&gt;=1,U45+T45,0)</f>
        <v>0</v>
      </c>
      <c r="X45" s="184">
        <f>iferror(((O45*D45) - K45 + U45)/SWITCH(Summary!$K$26, "Calculated", Q45, "Manual entries", I45), 0)</f>
        <v>0</v>
      </c>
      <c r="Y45" s="184">
        <f>(Reference!$B$10-X45)*((SWITCH(Summary!$K$26, "Calculated", Q45, "Manual entries", I45)) - S45)</f>
        <v>0</v>
      </c>
      <c r="Z45" s="184">
        <f t="shared" si="6"/>
        <v>0</v>
      </c>
      <c r="AA45" s="186">
        <f t="shared" si="7"/>
        <v>0</v>
      </c>
    </row>
    <row r="46">
      <c r="A46" s="268"/>
      <c r="B46" s="269">
        <v>43462.0</v>
      </c>
      <c r="C46" s="168">
        <v>43983.0</v>
      </c>
      <c r="D46" s="169"/>
      <c r="E46" s="270">
        <v>154.14</v>
      </c>
      <c r="F46" s="271"/>
      <c r="G46" s="278">
        <f t="shared" si="1"/>
        <v>0</v>
      </c>
      <c r="H46" s="177">
        <f t="shared" si="2"/>
        <v>0</v>
      </c>
      <c r="I46" s="272"/>
      <c r="J46" s="189" t="b">
        <v>0</v>
      </c>
      <c r="K46" s="172">
        <f>LET(ratio,Reference!$B$4, ratio*Reference!$B$3*D46)</f>
        <v>0</v>
      </c>
      <c r="L46" s="172">
        <f>iferror(LET(ratio, I46/(0.252*D46),(1-ratio) * Reference!$B$3 * D46),0)</f>
        <v>0</v>
      </c>
      <c r="M46" s="172">
        <f>IF(C46&lt;Reference!$B$26,Reference!$C$26,0)</f>
        <v>0</v>
      </c>
      <c r="N46" s="172">
        <f>IF(C46&lt;Reference!$B$27,Reference!$C$27,0)</f>
        <v>16.87</v>
      </c>
      <c r="O46" s="172">
        <f t="shared" si="3"/>
        <v>137.27</v>
      </c>
      <c r="P46" s="172">
        <f t="shared" si="4"/>
        <v>0</v>
      </c>
      <c r="Q46" s="176">
        <f>SWITCH(Summary!$K$26,"Calculated", D46*Reference!$B$5*Reference!$B$6, "Manual entries",I46)</f>
        <v>0</v>
      </c>
      <c r="R46" s="177">
        <f>MAX(SWITCH(Summary!$K$27,"Derived from calculated values",K46,"Derived from manual entries",L46)+(Q46*Reference!$B$18)-(D46*O46),0)</f>
        <v>0</v>
      </c>
      <c r="S46" s="178">
        <f>IF(J46,Summary!$C$41/ (J$84+ESPP!$N$26), 0)</f>
        <v>0</v>
      </c>
      <c r="T46" s="273">
        <f>IF(J46,(Reference!$B$23 - X46) * S46, 0)</f>
        <v>0</v>
      </c>
      <c r="U46" s="277">
        <f t="shared" si="5"/>
        <v>0</v>
      </c>
      <c r="V46" s="274">
        <f>IF(DATEDIF(C46,Reference!$B$28,"Y")&gt;=1,0,U46+T46)</f>
        <v>0</v>
      </c>
      <c r="W46" s="180">
        <f>IF(DATEDIF(C46,Reference!$B$28,"Y")&gt;=1,U46+T46,0)</f>
        <v>0</v>
      </c>
      <c r="X46" s="184">
        <f>iferror(((O46*D46) - K46 + U46)/SWITCH(Summary!$K$26, "Calculated", Q46, "Manual entries", I46), 0)</f>
        <v>0</v>
      </c>
      <c r="Y46" s="184">
        <f>(Reference!$B$10-X46)*((SWITCH(Summary!$K$26, "Calculated", Q46, "Manual entries", I46)) - S46)</f>
        <v>0</v>
      </c>
      <c r="Z46" s="184">
        <f t="shared" si="6"/>
        <v>0</v>
      </c>
      <c r="AA46" s="186">
        <f t="shared" si="7"/>
        <v>0</v>
      </c>
    </row>
    <row r="47">
      <c r="A47" s="268"/>
      <c r="B47" s="269">
        <v>43462.0</v>
      </c>
      <c r="C47" s="168">
        <v>44013.0</v>
      </c>
      <c r="D47" s="169"/>
      <c r="E47" s="270">
        <v>153.1</v>
      </c>
      <c r="F47" s="271"/>
      <c r="G47" s="278">
        <f t="shared" si="1"/>
        <v>0</v>
      </c>
      <c r="H47" s="177">
        <f t="shared" si="2"/>
        <v>0</v>
      </c>
      <c r="I47" s="272"/>
      <c r="J47" s="189" t="b">
        <v>0</v>
      </c>
      <c r="K47" s="172">
        <f>LET(ratio,Reference!$B$4, ratio*Reference!$B$3*D47)</f>
        <v>0</v>
      </c>
      <c r="L47" s="172">
        <f>iferror(LET(ratio, I47/(0.252*D47),(1-ratio) * Reference!$B$3 * D47),0)</f>
        <v>0</v>
      </c>
      <c r="M47" s="172">
        <f>IF(C47&lt;Reference!$B$26,Reference!$C$26,0)</f>
        <v>0</v>
      </c>
      <c r="N47" s="172">
        <f>IF(C47&lt;Reference!$B$27,Reference!$C$27,0)</f>
        <v>16.87</v>
      </c>
      <c r="O47" s="172">
        <f t="shared" si="3"/>
        <v>136.23</v>
      </c>
      <c r="P47" s="172">
        <f t="shared" si="4"/>
        <v>0</v>
      </c>
      <c r="Q47" s="176">
        <f>SWITCH(Summary!$K$26,"Calculated", D47*Reference!$B$5*Reference!$B$6, "Manual entries",I47)</f>
        <v>0</v>
      </c>
      <c r="R47" s="177">
        <f>MAX(SWITCH(Summary!$K$27,"Derived from calculated values",K47,"Derived from manual entries",L47)+(Q47*Reference!$B$18)-(D47*O47),0)</f>
        <v>0</v>
      </c>
      <c r="S47" s="178">
        <f>IF(J47,Summary!$C$41/ (J$84+ESPP!$N$26), 0)</f>
        <v>0</v>
      </c>
      <c r="T47" s="273">
        <f>IF(J47,(Reference!$B$23 - X47) * S47, 0)</f>
        <v>0</v>
      </c>
      <c r="U47" s="277">
        <f t="shared" si="5"/>
        <v>0</v>
      </c>
      <c r="V47" s="274">
        <f>IF(DATEDIF(C47,Reference!$B$28,"Y")&gt;=1,0,U47+T47)</f>
        <v>0</v>
      </c>
      <c r="W47" s="180">
        <f>IF(DATEDIF(C47,Reference!$B$28,"Y")&gt;=1,U47+T47,0)</f>
        <v>0</v>
      </c>
      <c r="X47" s="184">
        <f>iferror(((O47*D47) - K47 + U47)/SWITCH(Summary!$K$26, "Calculated", Q47, "Manual entries", I47), 0)</f>
        <v>0</v>
      </c>
      <c r="Y47" s="184">
        <f>(Reference!$B$10-X47)*((SWITCH(Summary!$K$26, "Calculated", Q47, "Manual entries", I47)) - S47)</f>
        <v>0</v>
      </c>
      <c r="Z47" s="184">
        <f t="shared" si="6"/>
        <v>0</v>
      </c>
      <c r="AA47" s="186">
        <f t="shared" si="7"/>
        <v>0</v>
      </c>
    </row>
    <row r="48">
      <c r="A48" s="280"/>
      <c r="B48" s="281"/>
      <c r="C48" s="282">
        <v>44075.0</v>
      </c>
      <c r="D48" s="169"/>
      <c r="E48" s="270">
        <v>141.28</v>
      </c>
      <c r="F48" s="285"/>
      <c r="G48" s="278">
        <f t="shared" si="1"/>
        <v>0</v>
      </c>
      <c r="H48" s="177">
        <f t="shared" si="2"/>
        <v>0</v>
      </c>
      <c r="I48" s="284"/>
      <c r="J48" s="189" t="b">
        <v>0</v>
      </c>
      <c r="K48" s="172">
        <f>LET(ratio,Reference!$B$4, ratio*Reference!$B$3*D48)</f>
        <v>0</v>
      </c>
      <c r="L48" s="172">
        <f>iferror(LET(ratio, I48/(0.252*D48),(1-ratio) * Reference!$B$3 * D48),0)</f>
        <v>0</v>
      </c>
      <c r="M48" s="172">
        <f>IF(C48&lt;Reference!$B$26,Reference!$C$26,0)</f>
        <v>0</v>
      </c>
      <c r="N48" s="172">
        <f>IF(C48&lt;Reference!$B$27,Reference!$C$27,0)</f>
        <v>16.87</v>
      </c>
      <c r="O48" s="172">
        <f t="shared" si="3"/>
        <v>124.41</v>
      </c>
      <c r="P48" s="172">
        <f t="shared" si="4"/>
        <v>0</v>
      </c>
      <c r="Q48" s="176">
        <f>SWITCH(Summary!$K$26,"Calculated", D48*Reference!$B$5*Reference!$B$6, "Manual entries",I48)</f>
        <v>0</v>
      </c>
      <c r="R48" s="177">
        <f>MAX(SWITCH(Summary!$K$27,"Derived from calculated values",K48,"Derived from manual entries",L48)+(Q48*Reference!$B$18)-(D48*O48),0)</f>
        <v>0</v>
      </c>
      <c r="S48" s="178">
        <f>IF(J48,Summary!$C$41/ (J$84+ESPP!$N$26), 0)</f>
        <v>0</v>
      </c>
      <c r="T48" s="273">
        <f>IF(J48,(Reference!$B$23 - X48) * S48, 0)</f>
        <v>0</v>
      </c>
      <c r="U48" s="180">
        <f t="shared" si="5"/>
        <v>0</v>
      </c>
      <c r="V48" s="274">
        <f>IF(DATEDIF(C48,Reference!$B$28,"Y")&gt;=1,0,U48+T48)</f>
        <v>0</v>
      </c>
      <c r="W48" s="180">
        <f>IF(DATEDIF(C48,Reference!$B$28,"Y")&gt;=1,U48+T48,0)</f>
        <v>0</v>
      </c>
      <c r="X48" s="184">
        <f>iferror(((O48*D48) - K48 + U48)/SWITCH(Summary!$K$26, "Calculated", Q48, "Manual entries", I48), 0)</f>
        <v>0</v>
      </c>
      <c r="Y48" s="184">
        <f>(Reference!$B$10-X48)*((SWITCH(Summary!$K$26, "Calculated", Q48, "Manual entries", I48)) - S48)</f>
        <v>0</v>
      </c>
      <c r="Z48" s="184">
        <f t="shared" si="6"/>
        <v>0</v>
      </c>
      <c r="AA48" s="186">
        <f t="shared" si="7"/>
        <v>0</v>
      </c>
    </row>
    <row r="49">
      <c r="A49" s="268"/>
      <c r="B49" s="269">
        <v>43630.0</v>
      </c>
      <c r="C49" s="168">
        <v>44166.0</v>
      </c>
      <c r="D49" s="169"/>
      <c r="E49" s="270">
        <v>140.75</v>
      </c>
      <c r="F49" s="271"/>
      <c r="G49" s="278">
        <f t="shared" si="1"/>
        <v>0</v>
      </c>
      <c r="H49" s="177">
        <f t="shared" si="2"/>
        <v>0</v>
      </c>
      <c r="I49" s="276"/>
      <c r="J49" s="189" t="b">
        <v>0</v>
      </c>
      <c r="K49" s="172">
        <f>LET(ratio,Reference!$B$4, ratio*Reference!$B$3*D49)</f>
        <v>0</v>
      </c>
      <c r="L49" s="172">
        <f>iferror(LET(ratio, I49/(0.252*D49),(1-ratio) * Reference!$B$3 * D49),0)</f>
        <v>0</v>
      </c>
      <c r="M49" s="172">
        <f>IF(C49&lt;Reference!$B$26,Reference!$C$26,0)</f>
        <v>0</v>
      </c>
      <c r="N49" s="172">
        <f>IF(C49&lt;Reference!$B$27,Reference!$C$27,0)</f>
        <v>16.87</v>
      </c>
      <c r="O49" s="172">
        <f t="shared" si="3"/>
        <v>123.88</v>
      </c>
      <c r="P49" s="172">
        <f t="shared" si="4"/>
        <v>0</v>
      </c>
      <c r="Q49" s="176">
        <f>SWITCH(Summary!$K$26,"Calculated", D49*Reference!$B$5*Reference!$B$6, "Manual entries",I49)</f>
        <v>0</v>
      </c>
      <c r="R49" s="177">
        <f>MAX(SWITCH(Summary!$K$27,"Derived from calculated values",K49,"Derived from manual entries",L49)+(Q49*Reference!$B$18)-(D49*O49),0)</f>
        <v>0</v>
      </c>
      <c r="S49" s="178">
        <f>IF(J49,Summary!$C$41/ (J$84+ESPP!$N$26), 0)</f>
        <v>0</v>
      </c>
      <c r="T49" s="273">
        <f>IF(J49,(Reference!$B$23 - X49) * S49, 0)</f>
        <v>0</v>
      </c>
      <c r="U49" s="180">
        <f t="shared" si="5"/>
        <v>0</v>
      </c>
      <c r="V49" s="274">
        <f>IF(DATEDIF(C49,Reference!$B$28,"Y")&gt;=1,0,U49+T49)</f>
        <v>0</v>
      </c>
      <c r="W49" s="180">
        <f>IF(DATEDIF(C49,Reference!$B$28,"Y")&gt;=1,U49+T49,0)</f>
        <v>0</v>
      </c>
      <c r="X49" s="184">
        <f>iferror(((O49*D49) - K49 + U49)/SWITCH(Summary!$K$26, "Calculated", Q49, "Manual entries", I49), 0)</f>
        <v>0</v>
      </c>
      <c r="Y49" s="184">
        <f>(Reference!$B$10-X49)*((SWITCH(Summary!$K$26, "Calculated", Q49, "Manual entries", I49)) - S49)</f>
        <v>0</v>
      </c>
      <c r="Z49" s="184">
        <f t="shared" si="6"/>
        <v>0</v>
      </c>
      <c r="AA49" s="186">
        <f t="shared" si="7"/>
        <v>0</v>
      </c>
    </row>
    <row r="50">
      <c r="A50" s="268"/>
      <c r="B50" s="269">
        <v>43462.0</v>
      </c>
      <c r="C50" s="168">
        <v>44166.0</v>
      </c>
      <c r="D50" s="169"/>
      <c r="E50" s="270">
        <v>140.75</v>
      </c>
      <c r="F50" s="271"/>
      <c r="G50" s="278">
        <f t="shared" si="1"/>
        <v>0</v>
      </c>
      <c r="H50" s="177">
        <f t="shared" si="2"/>
        <v>0</v>
      </c>
      <c r="I50" s="272"/>
      <c r="J50" s="189" t="b">
        <v>0</v>
      </c>
      <c r="K50" s="172">
        <f>LET(ratio,Reference!$B$4, ratio*Reference!$B$3*D50)</f>
        <v>0</v>
      </c>
      <c r="L50" s="172">
        <f>iferror(LET(ratio, I50/(0.252*D50),(1-ratio) * Reference!$B$3 * D50),0)</f>
        <v>0</v>
      </c>
      <c r="M50" s="172">
        <f>IF(C50&lt;Reference!$B$26,Reference!$C$26,0)</f>
        <v>0</v>
      </c>
      <c r="N50" s="172">
        <f>IF(C50&lt;Reference!$B$27,Reference!$C$27,0)</f>
        <v>16.87</v>
      </c>
      <c r="O50" s="172">
        <f t="shared" si="3"/>
        <v>123.88</v>
      </c>
      <c r="P50" s="172">
        <f t="shared" si="4"/>
        <v>0</v>
      </c>
      <c r="Q50" s="176">
        <f>SWITCH(Summary!$K$26,"Calculated", D50*Reference!$B$5*Reference!$B$6, "Manual entries",I50)</f>
        <v>0</v>
      </c>
      <c r="R50" s="177">
        <f>MAX(SWITCH(Summary!$K$27,"Derived from calculated values",K50,"Derived from manual entries",L50)+(Q50*Reference!$B$18)-(D50*O50),0)</f>
        <v>0</v>
      </c>
      <c r="S50" s="178">
        <f>IF(J50,Summary!$C$41/ (J$84+ESPP!$N$26), 0)</f>
        <v>0</v>
      </c>
      <c r="T50" s="273">
        <f>IF(J50,(Reference!$B$23 - X50) * S50, 0)</f>
        <v>0</v>
      </c>
      <c r="U50" s="180">
        <f t="shared" si="5"/>
        <v>0</v>
      </c>
      <c r="V50" s="274">
        <f>IF(DATEDIF(C50,Reference!$B$28,"Y")&gt;=1,0,U50+T50)</f>
        <v>0</v>
      </c>
      <c r="W50" s="180">
        <f>IF(DATEDIF(C50,Reference!$B$28,"Y")&gt;=1,U50+T50,0)</f>
        <v>0</v>
      </c>
      <c r="X50" s="184">
        <f>iferror(((O50*D50) - K50 + U50)/SWITCH(Summary!$K$26, "Calculated", Q50, "Manual entries", I50), 0)</f>
        <v>0</v>
      </c>
      <c r="Y50" s="184">
        <f>(Reference!$B$10-X50)*((SWITCH(Summary!$K$26, "Calculated", Q50, "Manual entries", I50)) - S50)</f>
        <v>0</v>
      </c>
      <c r="Z50" s="184">
        <f t="shared" si="6"/>
        <v>0</v>
      </c>
      <c r="AA50" s="186">
        <f t="shared" si="7"/>
        <v>0</v>
      </c>
    </row>
    <row r="51">
      <c r="A51" s="268"/>
      <c r="B51" s="269">
        <v>43462.0</v>
      </c>
      <c r="C51" s="168">
        <v>44197.0</v>
      </c>
      <c r="D51" s="169"/>
      <c r="E51" s="270">
        <v>140.26</v>
      </c>
      <c r="F51" s="271"/>
      <c r="G51" s="278">
        <f t="shared" si="1"/>
        <v>0</v>
      </c>
      <c r="H51" s="177">
        <f t="shared" si="2"/>
        <v>0</v>
      </c>
      <c r="I51" s="276"/>
      <c r="J51" s="189" t="b">
        <v>0</v>
      </c>
      <c r="K51" s="172">
        <f>LET(ratio,Reference!$B$4, ratio*Reference!$B$3*D51)</f>
        <v>0</v>
      </c>
      <c r="L51" s="172">
        <f>iferror(LET(ratio, I51/(0.252*D51),(1-ratio) * Reference!$B$3 * D51),0)</f>
        <v>0</v>
      </c>
      <c r="M51" s="172">
        <f>IF(C51&lt;Reference!$B$26,Reference!$C$26,0)</f>
        <v>0</v>
      </c>
      <c r="N51" s="172">
        <f>IF(C51&lt;Reference!$B$27,Reference!$C$27,0)</f>
        <v>16.87</v>
      </c>
      <c r="O51" s="172">
        <f t="shared" si="3"/>
        <v>123.39</v>
      </c>
      <c r="P51" s="172">
        <f t="shared" si="4"/>
        <v>0</v>
      </c>
      <c r="Q51" s="176">
        <f>SWITCH(Summary!$K$26,"Calculated", D51*Reference!$B$5*Reference!$B$6, "Manual entries",I51)</f>
        <v>0</v>
      </c>
      <c r="R51" s="177">
        <f>MAX(SWITCH(Summary!$K$27,"Derived from calculated values",K51,"Derived from manual entries",L51)+(Q51*Reference!$B$18)-(D51*O51),0)</f>
        <v>0</v>
      </c>
      <c r="S51" s="178">
        <f>IF(J51,Summary!$C$41/ (J$84+ESPP!$N$26), 0)</f>
        <v>0</v>
      </c>
      <c r="T51" s="273">
        <f>IF(J51,(Reference!$B$23 - X51) * S51, 0)</f>
        <v>0</v>
      </c>
      <c r="U51" s="180">
        <f t="shared" si="5"/>
        <v>0</v>
      </c>
      <c r="V51" s="274">
        <f>IF(DATEDIF(C51,Reference!$B$28,"Y")&gt;=1,0,U51+T51)</f>
        <v>0</v>
      </c>
      <c r="W51" s="180">
        <f>IF(DATEDIF(C51,Reference!$B$28,"Y")&gt;=1,U51+T51,0)</f>
        <v>0</v>
      </c>
      <c r="X51" s="184">
        <f>iferror(((O51*D51) - K51 + U51)/SWITCH(Summary!$K$26, "Calculated", Q51, "Manual entries", I51), 0)</f>
        <v>0</v>
      </c>
      <c r="Y51" s="184">
        <f>(Reference!$B$10-X51)*((SWITCH(Summary!$K$26, "Calculated", Q51, "Manual entries", I51)) - S51)</f>
        <v>0</v>
      </c>
      <c r="Z51" s="184">
        <f t="shared" si="6"/>
        <v>0</v>
      </c>
      <c r="AA51" s="186">
        <f t="shared" si="7"/>
        <v>0</v>
      </c>
    </row>
    <row r="52">
      <c r="A52" s="280"/>
      <c r="B52" s="281"/>
      <c r="C52" s="282">
        <v>44256.0</v>
      </c>
      <c r="D52" s="169"/>
      <c r="E52" s="270">
        <v>140.41</v>
      </c>
      <c r="F52" s="285"/>
      <c r="G52" s="278">
        <f t="shared" si="1"/>
        <v>0</v>
      </c>
      <c r="H52" s="177">
        <f t="shared" si="2"/>
        <v>0</v>
      </c>
      <c r="I52" s="284"/>
      <c r="J52" s="189" t="b">
        <v>0</v>
      </c>
      <c r="K52" s="172">
        <f>LET(ratio,Reference!$B$4, ratio*Reference!$B$3*D52)</f>
        <v>0</v>
      </c>
      <c r="L52" s="172">
        <f>iferror(LET(ratio, I52/(0.252*D52),(1-ratio) * Reference!$B$3 * D52),0)</f>
        <v>0</v>
      </c>
      <c r="M52" s="172">
        <f>IF(C52&lt;Reference!$B$26,Reference!$C$26,0)</f>
        <v>0</v>
      </c>
      <c r="N52" s="172">
        <f>IF(C52&lt;Reference!$B$27,Reference!$C$27,0)</f>
        <v>16.87</v>
      </c>
      <c r="O52" s="172">
        <f t="shared" si="3"/>
        <v>123.54</v>
      </c>
      <c r="P52" s="172">
        <f t="shared" si="4"/>
        <v>0</v>
      </c>
      <c r="Q52" s="176">
        <f>SWITCH(Summary!$K$26,"Calculated", D52*Reference!$B$5*Reference!$B$6, "Manual entries",I52)</f>
        <v>0</v>
      </c>
      <c r="R52" s="177">
        <f>MAX(SWITCH(Summary!$K$27,"Derived from calculated values",K52,"Derived from manual entries",L52)+(Q52*Reference!$B$18)-(D52*O52),0)</f>
        <v>0</v>
      </c>
      <c r="S52" s="178">
        <f>IF(J52,Summary!$C$41/ (J$84+ESPP!$N$26), 0)</f>
        <v>0</v>
      </c>
      <c r="T52" s="273">
        <f>IF(J52,(Reference!$B$23 - X52) * S52, 0)</f>
        <v>0</v>
      </c>
      <c r="U52" s="180">
        <f t="shared" si="5"/>
        <v>0</v>
      </c>
      <c r="V52" s="274">
        <f>IF(DATEDIF(C52,Reference!$B$28,"Y")&gt;=1,0,U52+T52)</f>
        <v>0</v>
      </c>
      <c r="W52" s="180">
        <f>IF(DATEDIF(C52,Reference!$B$28,"Y")&gt;=1,U52+T52,0)</f>
        <v>0</v>
      </c>
      <c r="X52" s="184">
        <f>iferror(((O52*D52) - K52 + U52)/SWITCH(Summary!$K$26, "Calculated", Q52, "Manual entries", I52), 0)</f>
        <v>0</v>
      </c>
      <c r="Y52" s="184">
        <f>(Reference!$B$10-X52)*((SWITCH(Summary!$K$26, "Calculated", Q52, "Manual entries", I52)) - S52)</f>
        <v>0</v>
      </c>
      <c r="Z52" s="184">
        <f t="shared" si="6"/>
        <v>0</v>
      </c>
      <c r="AA52" s="186">
        <f t="shared" si="7"/>
        <v>0</v>
      </c>
    </row>
    <row r="53">
      <c r="A53" s="268"/>
      <c r="B53" s="269">
        <v>43980.0</v>
      </c>
      <c r="C53" s="168">
        <v>44317.0</v>
      </c>
      <c r="D53" s="169"/>
      <c r="E53" s="270">
        <v>160.83</v>
      </c>
      <c r="F53" s="271"/>
      <c r="G53" s="278">
        <f t="shared" si="1"/>
        <v>0</v>
      </c>
      <c r="H53" s="177">
        <f t="shared" si="2"/>
        <v>0</v>
      </c>
      <c r="I53" s="272"/>
      <c r="J53" s="189" t="b">
        <v>0</v>
      </c>
      <c r="K53" s="172">
        <f>LET(ratio,Reference!$B$4, ratio*Reference!$B$3*D53)</f>
        <v>0</v>
      </c>
      <c r="L53" s="172">
        <f>iferror(LET(ratio, I53/(0.252*D53),(1-ratio) * Reference!$B$3 * D53),0)</f>
        <v>0</v>
      </c>
      <c r="M53" s="172">
        <f>IF(C53&lt;Reference!$B$26,Reference!$C$26,0)</f>
        <v>0</v>
      </c>
      <c r="N53" s="172">
        <f>IF(C53&lt;Reference!$B$27,Reference!$C$27,0)</f>
        <v>16.87</v>
      </c>
      <c r="O53" s="172">
        <f t="shared" si="3"/>
        <v>143.96</v>
      </c>
      <c r="P53" s="172">
        <f t="shared" si="4"/>
        <v>0</v>
      </c>
      <c r="Q53" s="176">
        <f>SWITCH(Summary!$K$26,"Calculated", D53*Reference!$B$5*Reference!$B$6, "Manual entries",I53)</f>
        <v>0</v>
      </c>
      <c r="R53" s="177">
        <f>MAX(SWITCH(Summary!$K$27,"Derived from calculated values",K53,"Derived from manual entries",L53)+(Q53*Reference!$B$18)-(D53*O53),0)</f>
        <v>0</v>
      </c>
      <c r="S53" s="178">
        <f>IF(J53,Summary!$C$41/ (J$84+ESPP!$N$26), 0)</f>
        <v>0</v>
      </c>
      <c r="T53" s="273">
        <f>IF(J53,(Reference!$B$23 - X53) * S53, 0)</f>
        <v>0</v>
      </c>
      <c r="U53" s="277">
        <f t="shared" si="5"/>
        <v>0</v>
      </c>
      <c r="V53" s="274">
        <f>IF(DATEDIF(C53,Reference!$B$28,"Y")&gt;=1,0,U53+T53)</f>
        <v>0</v>
      </c>
      <c r="W53" s="180">
        <f>IF(DATEDIF(C53,Reference!$B$28,"Y")&gt;=1,U53+T53,0)</f>
        <v>0</v>
      </c>
      <c r="X53" s="184">
        <f>iferror(((O53*D53) - K53 + U53)/SWITCH(Summary!$K$26, "Calculated", Q53, "Manual entries", I53), 0)</f>
        <v>0</v>
      </c>
      <c r="Y53" s="184">
        <f>(Reference!$B$10-X53)*((SWITCH(Summary!$K$26, "Calculated", Q53, "Manual entries", I53)) - S53)</f>
        <v>0</v>
      </c>
      <c r="Z53" s="184">
        <f t="shared" si="6"/>
        <v>0</v>
      </c>
      <c r="AA53" s="186">
        <f t="shared" si="7"/>
        <v>0</v>
      </c>
    </row>
    <row r="54">
      <c r="A54" s="268"/>
      <c r="B54" s="269">
        <v>43630.0</v>
      </c>
      <c r="C54" s="168">
        <v>44348.0</v>
      </c>
      <c r="D54" s="169"/>
      <c r="E54" s="270">
        <v>161.26</v>
      </c>
      <c r="F54" s="271"/>
      <c r="G54" s="278">
        <f t="shared" si="1"/>
        <v>0</v>
      </c>
      <c r="H54" s="177">
        <f t="shared" si="2"/>
        <v>0</v>
      </c>
      <c r="I54" s="272"/>
      <c r="J54" s="189" t="b">
        <v>0</v>
      </c>
      <c r="K54" s="172">
        <f>LET(ratio,Reference!$B$4, ratio*Reference!$B$3*D54)</f>
        <v>0</v>
      </c>
      <c r="L54" s="172">
        <f>iferror(LET(ratio, I54/(0.252*D54),(1-ratio) * Reference!$B$3 * D54),0)</f>
        <v>0</v>
      </c>
      <c r="M54" s="172">
        <f>IF(C54&lt;Reference!$B$26,Reference!$C$26,0)</f>
        <v>0</v>
      </c>
      <c r="N54" s="172">
        <f>IF(C54&lt;Reference!$B$27,Reference!$C$27,0)</f>
        <v>16.87</v>
      </c>
      <c r="O54" s="172">
        <f t="shared" si="3"/>
        <v>144.39</v>
      </c>
      <c r="P54" s="172">
        <f t="shared" si="4"/>
        <v>0</v>
      </c>
      <c r="Q54" s="176">
        <f>SWITCH(Summary!$K$26,"Calculated", D54*Reference!$B$5*Reference!$B$6, "Manual entries",I54)</f>
        <v>0</v>
      </c>
      <c r="R54" s="177">
        <f>MAX(SWITCH(Summary!$K$27,"Derived from calculated values",K54,"Derived from manual entries",L54)+(Q54*Reference!$B$18)-(D54*O54),0)</f>
        <v>0</v>
      </c>
      <c r="S54" s="178">
        <f>IF(J54,Summary!$C$41/ (J$84+ESPP!$N$26), 0)</f>
        <v>0</v>
      </c>
      <c r="T54" s="273">
        <f>IF(J54,(Reference!$B$23 - X54) * S54, 0)</f>
        <v>0</v>
      </c>
      <c r="U54" s="277">
        <f t="shared" si="5"/>
        <v>0</v>
      </c>
      <c r="V54" s="274">
        <f>IF(DATEDIF(C54,Reference!$B$28,"Y")&gt;=1,0,U54+T54)</f>
        <v>0</v>
      </c>
      <c r="W54" s="180">
        <f>IF(DATEDIF(C54,Reference!$B$28,"Y")&gt;=1,U54+T54,0)</f>
        <v>0</v>
      </c>
      <c r="X54" s="184">
        <f>iferror(((O54*D54) - K54 + U54)/SWITCH(Summary!$K$26, "Calculated", Q54, "Manual entries", I54), 0)</f>
        <v>0</v>
      </c>
      <c r="Y54" s="184">
        <f>(Reference!$B$10-X54)*((SWITCH(Summary!$K$26, "Calculated", Q54, "Manual entries", I54)) - S54)</f>
        <v>0</v>
      </c>
      <c r="Z54" s="184">
        <f t="shared" si="6"/>
        <v>0</v>
      </c>
      <c r="AA54" s="186">
        <f t="shared" si="7"/>
        <v>0</v>
      </c>
    </row>
    <row r="55">
      <c r="A55" s="268"/>
      <c r="B55" s="269">
        <v>43462.0</v>
      </c>
      <c r="C55" s="168">
        <v>44348.0</v>
      </c>
      <c r="D55" s="169"/>
      <c r="E55" s="270">
        <v>161.26</v>
      </c>
      <c r="F55" s="271"/>
      <c r="G55" s="278">
        <f t="shared" si="1"/>
        <v>0</v>
      </c>
      <c r="H55" s="177">
        <f t="shared" si="2"/>
        <v>0</v>
      </c>
      <c r="I55" s="272"/>
      <c r="J55" s="189" t="b">
        <v>0</v>
      </c>
      <c r="K55" s="172">
        <f>LET(ratio,Reference!$B$4, ratio*Reference!$B$3*D55)</f>
        <v>0</v>
      </c>
      <c r="L55" s="172">
        <f>iferror(LET(ratio, I55/(0.252*D55),(1-ratio) * Reference!$B$3 * D55),0)</f>
        <v>0</v>
      </c>
      <c r="M55" s="172">
        <f>IF(C55&lt;Reference!$B$26,Reference!$C$26,0)</f>
        <v>0</v>
      </c>
      <c r="N55" s="172">
        <f>IF(C55&lt;Reference!$B$27,Reference!$C$27,0)</f>
        <v>16.87</v>
      </c>
      <c r="O55" s="172">
        <f t="shared" si="3"/>
        <v>144.39</v>
      </c>
      <c r="P55" s="172">
        <f t="shared" si="4"/>
        <v>0</v>
      </c>
      <c r="Q55" s="176">
        <f>SWITCH(Summary!$K$26,"Calculated", D55*Reference!$B$5*Reference!$B$6, "Manual entries",I55)</f>
        <v>0</v>
      </c>
      <c r="R55" s="177">
        <f>MAX(SWITCH(Summary!$K$27,"Derived from calculated values",K55,"Derived from manual entries",L55)+(Q55*Reference!$B$18)-(D55*O55),0)</f>
        <v>0</v>
      </c>
      <c r="S55" s="178">
        <f>IF(J55,Summary!$C$41/ (J$84+ESPP!$N$26), 0)</f>
        <v>0</v>
      </c>
      <c r="T55" s="273">
        <f>IF(J55,(Reference!$B$23 - X55) * S55, 0)</f>
        <v>0</v>
      </c>
      <c r="U55" s="277">
        <f t="shared" si="5"/>
        <v>0</v>
      </c>
      <c r="V55" s="274">
        <f>IF(DATEDIF(C55,Reference!$B$28,"Y")&gt;=1,0,U55+T55)</f>
        <v>0</v>
      </c>
      <c r="W55" s="180">
        <f>IF(DATEDIF(C55,Reference!$B$28,"Y")&gt;=1,U55+T55,0)</f>
        <v>0</v>
      </c>
      <c r="X55" s="184">
        <f>iferror(((O55*D55) - K55 + U55)/SWITCH(Summary!$K$26, "Calculated", Q55, "Manual entries", I55), 0)</f>
        <v>0</v>
      </c>
      <c r="Y55" s="184">
        <f>(Reference!$B$10-X55)*((SWITCH(Summary!$K$26, "Calculated", Q55, "Manual entries", I55)) - S55)</f>
        <v>0</v>
      </c>
      <c r="Z55" s="184">
        <f t="shared" si="6"/>
        <v>0</v>
      </c>
      <c r="AA55" s="186">
        <f t="shared" si="7"/>
        <v>0</v>
      </c>
    </row>
    <row r="56">
      <c r="A56" s="268"/>
      <c r="B56" s="269">
        <v>43462.0</v>
      </c>
      <c r="C56" s="168">
        <v>44378.0</v>
      </c>
      <c r="D56" s="169"/>
      <c r="E56" s="270">
        <v>156.13</v>
      </c>
      <c r="F56" s="271"/>
      <c r="G56" s="278">
        <f t="shared" si="1"/>
        <v>0</v>
      </c>
      <c r="H56" s="177">
        <f t="shared" si="2"/>
        <v>0</v>
      </c>
      <c r="I56" s="272"/>
      <c r="J56" s="189" t="b">
        <v>0</v>
      </c>
      <c r="K56" s="172">
        <f>LET(ratio,Reference!$B$4, ratio*Reference!$B$3*D56)</f>
        <v>0</v>
      </c>
      <c r="L56" s="172">
        <f>iferror(LET(ratio, I56/(0.252*D56),(1-ratio) * Reference!$B$3 * D56),0)</f>
        <v>0</v>
      </c>
      <c r="M56" s="172">
        <f>IF(C56&lt;Reference!$B$26,Reference!$C$26,0)</f>
        <v>0</v>
      </c>
      <c r="N56" s="172">
        <f>IF(C56&lt;Reference!$B$27,Reference!$C$27,0)</f>
        <v>16.87</v>
      </c>
      <c r="O56" s="172">
        <f t="shared" si="3"/>
        <v>139.26</v>
      </c>
      <c r="P56" s="172">
        <f t="shared" si="4"/>
        <v>0</v>
      </c>
      <c r="Q56" s="176">
        <f>SWITCH(Summary!$K$26,"Calculated", D56*Reference!$B$5*Reference!$B$6, "Manual entries",I56)</f>
        <v>0</v>
      </c>
      <c r="R56" s="177">
        <f>MAX(SWITCH(Summary!$K$27,"Derived from calculated values",K56,"Derived from manual entries",L56)+(Q56*Reference!$B$18)-(D56*O56),0)</f>
        <v>0</v>
      </c>
      <c r="S56" s="178">
        <f>IF(J56,Summary!$C$41/ (J$84+ESPP!$N$26), 0)</f>
        <v>0</v>
      </c>
      <c r="T56" s="273">
        <f>IF(J56,(Reference!$B$23 - X56) * S56, 0)</f>
        <v>0</v>
      </c>
      <c r="U56" s="277">
        <f t="shared" si="5"/>
        <v>0</v>
      </c>
      <c r="V56" s="274">
        <f>IF(DATEDIF(C56,Reference!$B$28,"Y")&gt;=1,0,U56+T56)</f>
        <v>0</v>
      </c>
      <c r="W56" s="180">
        <f>IF(DATEDIF(C56,Reference!$B$28,"Y")&gt;=1,U56+T56,0)</f>
        <v>0</v>
      </c>
      <c r="X56" s="184">
        <f>iferror(((O56*D56) - K56 + U56)/SWITCH(Summary!$K$26, "Calculated", Q56, "Manual entries", I56), 0)</f>
        <v>0</v>
      </c>
      <c r="Y56" s="184">
        <f>(Reference!$B$10-X56)*((SWITCH(Summary!$K$26, "Calculated", Q56, "Manual entries", I56)) - S56)</f>
        <v>0</v>
      </c>
      <c r="Z56" s="184">
        <f t="shared" si="6"/>
        <v>0</v>
      </c>
      <c r="AA56" s="186">
        <f t="shared" si="7"/>
        <v>0</v>
      </c>
    </row>
    <row r="57">
      <c r="A57" s="280"/>
      <c r="B57" s="281"/>
      <c r="C57" s="282">
        <v>44440.0</v>
      </c>
      <c r="D57" s="169"/>
      <c r="E57" s="270">
        <v>146.86</v>
      </c>
      <c r="F57" s="285"/>
      <c r="G57" s="278">
        <f t="shared" si="1"/>
        <v>0</v>
      </c>
      <c r="H57" s="177">
        <f t="shared" si="2"/>
        <v>0</v>
      </c>
      <c r="I57" s="284"/>
      <c r="J57" s="189" t="b">
        <v>0</v>
      </c>
      <c r="K57" s="172">
        <f>LET(ratio,Reference!$B$4, ratio*Reference!$B$3*D57)</f>
        <v>0</v>
      </c>
      <c r="L57" s="172">
        <f>iferror(LET(ratio, I57/(0.252*D57),(1-ratio) * Reference!$B$3 * D57),0)</f>
        <v>0</v>
      </c>
      <c r="M57" s="172">
        <f>IF(C57&lt;Reference!$B$26,Reference!$C$26,0)</f>
        <v>0</v>
      </c>
      <c r="N57" s="172">
        <f>IF(C57&lt;Reference!$B$27,Reference!$C$27,0)</f>
        <v>16.87</v>
      </c>
      <c r="O57" s="172">
        <f t="shared" si="3"/>
        <v>129.99</v>
      </c>
      <c r="P57" s="172">
        <f t="shared" si="4"/>
        <v>0</v>
      </c>
      <c r="Q57" s="176">
        <f>SWITCH(Summary!$K$26,"Calculated", D57*Reference!$B$5*Reference!$B$6, "Manual entries",I57)</f>
        <v>0</v>
      </c>
      <c r="R57" s="177">
        <f>MAX(SWITCH(Summary!$K$27,"Derived from calculated values",K57,"Derived from manual entries",L57)+(Q57*Reference!$B$18)-(D57*O57),0)</f>
        <v>0</v>
      </c>
      <c r="S57" s="178">
        <f>IF(J57,Summary!$C$41/ (J$84+ESPP!$N$26), 0)</f>
        <v>0</v>
      </c>
      <c r="T57" s="273">
        <f>IF(J57,(Reference!$B$23 - X57) * S57, 0)</f>
        <v>0</v>
      </c>
      <c r="U57" s="180">
        <f t="shared" si="5"/>
        <v>0</v>
      </c>
      <c r="V57" s="274">
        <f>IF(DATEDIF(C57,Reference!$B$28,"Y")&gt;=1,0,U57+T57)</f>
        <v>0</v>
      </c>
      <c r="W57" s="180">
        <f>IF(DATEDIF(C57,Reference!$B$28,"Y")&gt;=1,U57+T57,0)</f>
        <v>0</v>
      </c>
      <c r="X57" s="184">
        <f>iferror(((O57*D57) - K57 + U57)/SWITCH(Summary!$K$26, "Calculated", Q57, "Manual entries", I57), 0)</f>
        <v>0</v>
      </c>
      <c r="Y57" s="184">
        <f>(Reference!$B$10-X57)*((SWITCH(Summary!$K$26, "Calculated", Q57, "Manual entries", I57)) - S57)</f>
        <v>0</v>
      </c>
      <c r="Z57" s="184">
        <f t="shared" si="6"/>
        <v>0</v>
      </c>
      <c r="AA57" s="186">
        <f t="shared" si="7"/>
        <v>0</v>
      </c>
    </row>
    <row r="58">
      <c r="A58" s="268"/>
      <c r="B58" s="269">
        <v>44501.0</v>
      </c>
      <c r="C58" s="168">
        <v>44511.0</v>
      </c>
      <c r="D58" s="169"/>
      <c r="E58" s="270">
        <v>124.18</v>
      </c>
      <c r="F58" s="271"/>
      <c r="G58" s="278">
        <f t="shared" si="1"/>
        <v>0</v>
      </c>
      <c r="H58" s="177">
        <f t="shared" si="2"/>
        <v>0</v>
      </c>
      <c r="I58" s="272"/>
      <c r="J58" s="189" t="b">
        <v>0</v>
      </c>
      <c r="K58" s="172">
        <f>LET(ratio,Reference!$B$4, ratio*Reference!$B$3*D58)</f>
        <v>0</v>
      </c>
      <c r="L58" s="172">
        <f>iferror(LET(ratio, I58/(0.252*D58),(1-ratio) * Reference!$B$3 * D58),0)</f>
        <v>0</v>
      </c>
      <c r="M58" s="172">
        <f>IF(C58&lt;Reference!$B$26,Reference!$C$26,0)</f>
        <v>0</v>
      </c>
      <c r="N58" s="172">
        <f>IF(C58&lt;Reference!$B$27,Reference!$C$27,0)</f>
        <v>0</v>
      </c>
      <c r="O58" s="172">
        <f t="shared" si="3"/>
        <v>124.18</v>
      </c>
      <c r="P58" s="172">
        <f t="shared" si="4"/>
        <v>0</v>
      </c>
      <c r="Q58" s="176">
        <f>SWITCH(Summary!$K$26,"Calculated", D58*Reference!$B$5*Reference!$B$6, "Manual entries",I58)</f>
        <v>0</v>
      </c>
      <c r="R58" s="177">
        <f>MAX(SWITCH(Summary!$K$27,"Derived from calculated values",K58,"Derived from manual entries",L58)+(Q58*Reference!$B$18)-(D58*O58),0)</f>
        <v>0</v>
      </c>
      <c r="S58" s="178">
        <f>IF(J58,Summary!$C$41/ (J$84+ESPP!$N$26), 0)</f>
        <v>0</v>
      </c>
      <c r="T58" s="273">
        <f>IF(J58,(Reference!$B$23 - X58) * S58, 0)</f>
        <v>0</v>
      </c>
      <c r="U58" s="180">
        <f t="shared" si="5"/>
        <v>0</v>
      </c>
      <c r="V58" s="274">
        <f>IF(DATEDIF(C58,Reference!$B$28,"Y")&gt;=1,0,U58+T58)</f>
        <v>0</v>
      </c>
      <c r="W58" s="180">
        <f>IF(DATEDIF(C58,Reference!$B$28,"Y")&gt;=1,U58+T58,0)</f>
        <v>0</v>
      </c>
      <c r="X58" s="184">
        <f>iferror(((O58*D58) - K58 + U58)/SWITCH(Summary!$K$26, "Calculated", Q58, "Manual entries", I58), 0)</f>
        <v>0</v>
      </c>
      <c r="Y58" s="184">
        <f>(Reference!$B$10-X58)*((SWITCH(Summary!$K$26, "Calculated", Q58, "Manual entries", I58)) - S58)</f>
        <v>0</v>
      </c>
      <c r="Z58" s="184">
        <f t="shared" si="6"/>
        <v>0</v>
      </c>
      <c r="AA58" s="186">
        <f t="shared" si="7"/>
        <v>0</v>
      </c>
    </row>
    <row r="59">
      <c r="A59" s="268"/>
      <c r="B59" s="269">
        <v>44501.0</v>
      </c>
      <c r="C59" s="168">
        <v>44531.0</v>
      </c>
      <c r="D59" s="169"/>
      <c r="E59" s="270">
        <v>114.0</v>
      </c>
      <c r="F59" s="271"/>
      <c r="G59" s="278">
        <f t="shared" si="1"/>
        <v>0</v>
      </c>
      <c r="H59" s="177">
        <f t="shared" si="2"/>
        <v>0</v>
      </c>
      <c r="I59" s="272"/>
      <c r="J59" s="189" t="b">
        <v>0</v>
      </c>
      <c r="K59" s="172">
        <f>LET(ratio,Reference!$B$4, ratio*Reference!$B$3*D59)</f>
        <v>0</v>
      </c>
      <c r="L59" s="172">
        <f>iferror(LET(ratio, I59/(0.252*D59),(1-ratio) * Reference!$B$3 * D59),0)</f>
        <v>0</v>
      </c>
      <c r="M59" s="172">
        <f>IF(C59&lt;Reference!$B$26,Reference!$C$26,0)</f>
        <v>0</v>
      </c>
      <c r="N59" s="172">
        <f>IF(C59&lt;Reference!$B$27,Reference!$C$27,0)</f>
        <v>0</v>
      </c>
      <c r="O59" s="172">
        <f t="shared" si="3"/>
        <v>114</v>
      </c>
      <c r="P59" s="172">
        <f t="shared" si="4"/>
        <v>0</v>
      </c>
      <c r="Q59" s="176">
        <f>SWITCH(Summary!$K$26,"Calculated", D59*Reference!$B$5*Reference!$B$6, "Manual entries",I59)</f>
        <v>0</v>
      </c>
      <c r="R59" s="177">
        <f>MAX(SWITCH(Summary!$K$27,"Derived from calculated values",K59,"Derived from manual entries",L59)+(Q59*Reference!$B$18)-(D59*O59),0)</f>
        <v>0</v>
      </c>
      <c r="S59" s="178">
        <f>IF(J59,Summary!$C$41/ (J$84+ESPP!$N$26), 0)</f>
        <v>0</v>
      </c>
      <c r="T59" s="273">
        <f>IF(J59,(Reference!$B$23 - X59) * S59, 0)</f>
        <v>0</v>
      </c>
      <c r="U59" s="180">
        <f t="shared" si="5"/>
        <v>0</v>
      </c>
      <c r="V59" s="274">
        <f>IF(DATEDIF(C59,Reference!$B$28,"Y")&gt;=1,0,U59+T59)</f>
        <v>0</v>
      </c>
      <c r="W59" s="180">
        <f>IF(DATEDIF(C59,Reference!$B$28,"Y")&gt;=1,U59+T59,0)</f>
        <v>0</v>
      </c>
      <c r="X59" s="184">
        <f>iferror(((O59*D59) - K59 + U59)/SWITCH(Summary!$K$26, "Calculated", Q59, "Manual entries", I59), 0)</f>
        <v>0</v>
      </c>
      <c r="Y59" s="184">
        <f>(Reference!$B$10-X59)*((SWITCH(Summary!$K$26, "Calculated", Q59, "Manual entries", I59)) - S59)</f>
        <v>0</v>
      </c>
      <c r="Z59" s="184">
        <f t="shared" si="6"/>
        <v>0</v>
      </c>
      <c r="AA59" s="186">
        <f t="shared" si="7"/>
        <v>0</v>
      </c>
    </row>
    <row r="60">
      <c r="A60" s="268"/>
      <c r="B60" s="269">
        <v>44501.0</v>
      </c>
      <c r="C60" s="168">
        <v>44531.0</v>
      </c>
      <c r="D60" s="169"/>
      <c r="E60" s="270">
        <v>114.0</v>
      </c>
      <c r="F60" s="271"/>
      <c r="G60" s="278">
        <f t="shared" si="1"/>
        <v>0</v>
      </c>
      <c r="H60" s="177">
        <f t="shared" si="2"/>
        <v>0</v>
      </c>
      <c r="I60" s="272"/>
      <c r="J60" s="189" t="b">
        <v>0</v>
      </c>
      <c r="K60" s="172">
        <f>LET(ratio,Reference!$B$4, ratio*Reference!$B$3*D60)</f>
        <v>0</v>
      </c>
      <c r="L60" s="172">
        <f>iferror(LET(ratio, I60/(0.252*D60),(1-ratio) * Reference!$B$3 * D60),0)</f>
        <v>0</v>
      </c>
      <c r="M60" s="172">
        <f>IF(C60&lt;Reference!$B$26,Reference!$C$26,0)</f>
        <v>0</v>
      </c>
      <c r="N60" s="172">
        <f>IF(C60&lt;Reference!$B$27,Reference!$C$27,0)</f>
        <v>0</v>
      </c>
      <c r="O60" s="172">
        <f t="shared" si="3"/>
        <v>114</v>
      </c>
      <c r="P60" s="172">
        <f t="shared" si="4"/>
        <v>0</v>
      </c>
      <c r="Q60" s="176">
        <f>SWITCH(Summary!$K$26,"Calculated", D60*Reference!$B$5*Reference!$B$6, "Manual entries",I60)</f>
        <v>0</v>
      </c>
      <c r="R60" s="177">
        <f>MAX(SWITCH(Summary!$K$27,"Derived from calculated values",K60,"Derived from manual entries",L60)+(Q60*Reference!$B$18)-(D60*O60),0)</f>
        <v>0</v>
      </c>
      <c r="S60" s="178">
        <f>IF(J60,Summary!$C$41/ (J$84+ESPP!$N$26), 0)</f>
        <v>0</v>
      </c>
      <c r="T60" s="273">
        <f>IF(J60,(Reference!$B$23 - X60) * S60, 0)</f>
        <v>0</v>
      </c>
      <c r="U60" s="180">
        <f t="shared" si="5"/>
        <v>0</v>
      </c>
      <c r="V60" s="274">
        <f>IF(DATEDIF(C60,Reference!$B$28,"Y")&gt;=1,0,U60+T60)</f>
        <v>0</v>
      </c>
      <c r="W60" s="180">
        <f>IF(DATEDIF(C60,Reference!$B$28,"Y")&gt;=1,U60+T60,0)</f>
        <v>0</v>
      </c>
      <c r="X60" s="184">
        <f>iferror(((O60*D60) - K60 + U60)/SWITCH(Summary!$K$26, "Calculated", Q60, "Manual entries", I60), 0)</f>
        <v>0</v>
      </c>
      <c r="Y60" s="184">
        <f>(Reference!$B$10-X60)*((SWITCH(Summary!$K$26, "Calculated", Q60, "Manual entries", I60)) - S60)</f>
        <v>0</v>
      </c>
      <c r="Z60" s="184">
        <f t="shared" si="6"/>
        <v>0</v>
      </c>
      <c r="AA60" s="186">
        <f t="shared" si="7"/>
        <v>0</v>
      </c>
    </row>
    <row r="61">
      <c r="A61" s="280"/>
      <c r="B61" s="281"/>
      <c r="C61" s="282">
        <v>44562.0</v>
      </c>
      <c r="D61" s="169"/>
      <c r="E61" s="270">
        <v>115.88</v>
      </c>
      <c r="F61" s="285"/>
      <c r="G61" s="278">
        <f t="shared" si="1"/>
        <v>0</v>
      </c>
      <c r="H61" s="177">
        <f t="shared" si="2"/>
        <v>0</v>
      </c>
      <c r="I61" s="284"/>
      <c r="J61" s="189" t="b">
        <v>0</v>
      </c>
      <c r="K61" s="172">
        <f>LET(ratio,Reference!$B$4, ratio*Reference!$B$3*D61)</f>
        <v>0</v>
      </c>
      <c r="L61" s="172">
        <f>iferror(LET(ratio, I61/(0.252*D61),(1-ratio) * Reference!$B$3 * D61),0)</f>
        <v>0</v>
      </c>
      <c r="M61" s="172">
        <f>IF(C61&lt;Reference!$B$26,Reference!$C$26,0)</f>
        <v>0</v>
      </c>
      <c r="N61" s="172">
        <f>IF(C61&lt;Reference!$B$27,Reference!$C$27,0)</f>
        <v>0</v>
      </c>
      <c r="O61" s="172">
        <f t="shared" si="3"/>
        <v>115.88</v>
      </c>
      <c r="P61" s="172">
        <f t="shared" si="4"/>
        <v>0</v>
      </c>
      <c r="Q61" s="176">
        <f>SWITCH(Summary!$K$26,"Calculated", D61*Reference!$B$5*Reference!$B$6, "Manual entries",I61)</f>
        <v>0</v>
      </c>
      <c r="R61" s="177">
        <f>MAX(SWITCH(Summary!$K$27,"Derived from calculated values",K61,"Derived from manual entries",L61)+(Q61*Reference!$B$18)-(D61*O61),0)</f>
        <v>0</v>
      </c>
      <c r="S61" s="178">
        <f>IF(J61,Summary!$C$41/ (J$84+ESPP!$N$26), 0)</f>
        <v>0</v>
      </c>
      <c r="T61" s="273">
        <f>IF(J61,(Reference!$B$23 - X61) * S61, 0)</f>
        <v>0</v>
      </c>
      <c r="U61" s="180">
        <f t="shared" si="5"/>
        <v>0</v>
      </c>
      <c r="V61" s="274">
        <f>IF(DATEDIF(C61,Reference!$B$28,"Y")&gt;=1,0,U61+T61)</f>
        <v>0</v>
      </c>
      <c r="W61" s="180">
        <f>IF(DATEDIF(C61,Reference!$B$28,"Y")&gt;=1,U61+T61,0)</f>
        <v>0</v>
      </c>
      <c r="X61" s="184">
        <f>iferror(((O61*D61) - K61 + U61)/SWITCH(Summary!$K$26, "Calculated", Q61, "Manual entries", I61), 0)</f>
        <v>0</v>
      </c>
      <c r="Y61" s="184">
        <f>(Reference!$B$10-X61)*((SWITCH(Summary!$K$26, "Calculated", Q61, "Manual entries", I61)) - S61)</f>
        <v>0</v>
      </c>
      <c r="Z61" s="184">
        <f t="shared" si="6"/>
        <v>0</v>
      </c>
      <c r="AA61" s="186">
        <f t="shared" si="7"/>
        <v>0</v>
      </c>
    </row>
    <row r="62">
      <c r="A62" s="268"/>
      <c r="B62" s="269">
        <v>44501.0</v>
      </c>
      <c r="C62" s="168">
        <v>44593.0</v>
      </c>
      <c r="D62" s="169"/>
      <c r="E62" s="270">
        <v>128.47</v>
      </c>
      <c r="F62" s="271"/>
      <c r="G62" s="278">
        <f t="shared" si="1"/>
        <v>0</v>
      </c>
      <c r="H62" s="177">
        <f t="shared" si="2"/>
        <v>0</v>
      </c>
      <c r="I62" s="272"/>
      <c r="J62" s="189" t="b">
        <v>0</v>
      </c>
      <c r="K62" s="172">
        <f>LET(ratio,Reference!$B$4, ratio*Reference!$B$3*D62)</f>
        <v>0</v>
      </c>
      <c r="L62" s="172">
        <f>iferror(LET(ratio, I62/(0.252*D62),(1-ratio) * Reference!$B$3 * D62),0)</f>
        <v>0</v>
      </c>
      <c r="M62" s="172">
        <f>IF(C62&lt;Reference!$B$26,Reference!$C$26,0)</f>
        <v>0</v>
      </c>
      <c r="N62" s="172">
        <f>IF(C62&lt;Reference!$B$27,Reference!$C$27,0)</f>
        <v>0</v>
      </c>
      <c r="O62" s="172">
        <f t="shared" si="3"/>
        <v>128.47</v>
      </c>
      <c r="P62" s="172">
        <f t="shared" si="4"/>
        <v>0</v>
      </c>
      <c r="Q62" s="176">
        <f>SWITCH(Summary!$K$26,"Calculated", D62*Reference!$B$5*Reference!$B$6, "Manual entries",I62)</f>
        <v>0</v>
      </c>
      <c r="R62" s="177">
        <f>MAX(SWITCH(Summary!$K$27,"Derived from calculated values",K62,"Derived from manual entries",L62)+(Q62*Reference!$B$18)-(D62*O62),0)</f>
        <v>0</v>
      </c>
      <c r="S62" s="178">
        <f>IF(J62,Summary!$C$41/ (J$84+ESPP!$N$26), 0)</f>
        <v>0</v>
      </c>
      <c r="T62" s="273">
        <f>IF(J62,(Reference!$B$23 - X62) * S62, 0)</f>
        <v>0</v>
      </c>
      <c r="U62" s="180">
        <f t="shared" si="5"/>
        <v>0</v>
      </c>
      <c r="V62" s="274">
        <f>IF(DATEDIF(C62,Reference!$B$28,"Y")&gt;=1,0,U62+T62)</f>
        <v>0</v>
      </c>
      <c r="W62" s="180">
        <f>IF(DATEDIF(C62,Reference!$B$28,"Y")&gt;=1,U62+T62,0)</f>
        <v>0</v>
      </c>
      <c r="X62" s="184">
        <f>iferror(((O62*D62) - K62 + U62)/SWITCH(Summary!$K$26, "Calculated", Q62, "Manual entries", I62), 0)</f>
        <v>0</v>
      </c>
      <c r="Y62" s="184">
        <f>(Reference!$B$10-X62)*((SWITCH(Summary!$K$26, "Calculated", Q62, "Manual entries", I62)) - S62)</f>
        <v>0</v>
      </c>
      <c r="Z62" s="184">
        <f t="shared" si="6"/>
        <v>0</v>
      </c>
      <c r="AA62" s="186">
        <f t="shared" si="7"/>
        <v>0</v>
      </c>
    </row>
    <row r="63">
      <c r="A63" s="280"/>
      <c r="B63" s="281"/>
      <c r="C63" s="282">
        <v>44621.0</v>
      </c>
      <c r="D63" s="169"/>
      <c r="E63" s="270">
        <v>115.91</v>
      </c>
      <c r="F63" s="285"/>
      <c r="G63" s="278">
        <f t="shared" si="1"/>
        <v>0</v>
      </c>
      <c r="H63" s="177">
        <f t="shared" si="2"/>
        <v>0</v>
      </c>
      <c r="I63" s="284"/>
      <c r="J63" s="189" t="b">
        <v>0</v>
      </c>
      <c r="K63" s="172">
        <f>LET(ratio,Reference!$B$4, ratio*Reference!$B$3*D63)</f>
        <v>0</v>
      </c>
      <c r="L63" s="172">
        <f>iferror(LET(ratio, I63/(0.252*D63),(1-ratio) * Reference!$B$3 * D63),0)</f>
        <v>0</v>
      </c>
      <c r="M63" s="172">
        <f>IF(C63&lt;Reference!$B$26,Reference!$C$26,0)</f>
        <v>0</v>
      </c>
      <c r="N63" s="172">
        <f>IF(C63&lt;Reference!$B$27,Reference!$C$27,0)</f>
        <v>0</v>
      </c>
      <c r="O63" s="172">
        <f t="shared" si="3"/>
        <v>115.91</v>
      </c>
      <c r="P63" s="172">
        <f t="shared" si="4"/>
        <v>0</v>
      </c>
      <c r="Q63" s="176">
        <f>SWITCH(Summary!$K$26,"Calculated", D63*Reference!$B$5*Reference!$B$6, "Manual entries",I63)</f>
        <v>0</v>
      </c>
      <c r="R63" s="177">
        <f>MAX(SWITCH(Summary!$K$27,"Derived from calculated values",K63,"Derived from manual entries",L63)+(Q63*Reference!$B$18)-(D63*O63),0)</f>
        <v>0</v>
      </c>
      <c r="S63" s="178">
        <f>IF(J63,Summary!$C$41/ (J$84+ESPP!$N$26), 0)</f>
        <v>0</v>
      </c>
      <c r="T63" s="273">
        <f>IF(J63,(Reference!$B$23 - X63) * S63, 0)</f>
        <v>0</v>
      </c>
      <c r="U63" s="180">
        <f t="shared" si="5"/>
        <v>0</v>
      </c>
      <c r="V63" s="274">
        <f>IF(DATEDIF(C63,Reference!$B$28,"Y")&gt;=1,0,U63+T63)</f>
        <v>0</v>
      </c>
      <c r="W63" s="180">
        <f>IF(DATEDIF(C63,Reference!$B$28,"Y")&gt;=1,U63+T63,0)</f>
        <v>0</v>
      </c>
      <c r="X63" s="184">
        <f>iferror(((O63*D63) - K63 + U63)/SWITCH(Summary!$K$26, "Calculated", Q63, "Manual entries", I63), 0)</f>
        <v>0</v>
      </c>
      <c r="Y63" s="184">
        <f>(Reference!$B$10-X63)*((SWITCH(Summary!$K$26, "Calculated", Q63, "Manual entries", I63)) - S63)</f>
        <v>0</v>
      </c>
      <c r="Z63" s="184">
        <f t="shared" si="6"/>
        <v>0</v>
      </c>
      <c r="AA63" s="186">
        <f t="shared" si="7"/>
        <v>0</v>
      </c>
    </row>
    <row r="64">
      <c r="A64" s="268"/>
      <c r="B64" s="269">
        <v>44501.0</v>
      </c>
      <c r="C64" s="168">
        <v>44682.0</v>
      </c>
      <c r="D64" s="169"/>
      <c r="E64" s="270">
        <v>108.04</v>
      </c>
      <c r="F64" s="271"/>
      <c r="G64" s="278">
        <f t="shared" si="1"/>
        <v>0</v>
      </c>
      <c r="H64" s="177">
        <f t="shared" si="2"/>
        <v>0</v>
      </c>
      <c r="I64" s="272"/>
      <c r="J64" s="189" t="b">
        <v>0</v>
      </c>
      <c r="K64" s="172">
        <f>LET(ratio,Reference!$B$4, ratio*Reference!$B$3*D64)</f>
        <v>0</v>
      </c>
      <c r="L64" s="172">
        <f>iferror(LET(ratio, I64/(0.252*D64),(1-ratio) * Reference!$B$3 * D64),0)</f>
        <v>0</v>
      </c>
      <c r="M64" s="172">
        <f>IF(C64&lt;Reference!$B$26,Reference!$C$26,0)</f>
        <v>0</v>
      </c>
      <c r="N64" s="172">
        <f>IF(C64&lt;Reference!$B$27,Reference!$C$27,0)</f>
        <v>0</v>
      </c>
      <c r="O64" s="172">
        <f t="shared" si="3"/>
        <v>108.04</v>
      </c>
      <c r="P64" s="172">
        <f t="shared" si="4"/>
        <v>0</v>
      </c>
      <c r="Q64" s="176">
        <f>SWITCH(Summary!$K$26,"Calculated", D64*Reference!$B$5*Reference!$B$6, "Manual entries",I64)</f>
        <v>0</v>
      </c>
      <c r="R64" s="177">
        <f>MAX(SWITCH(Summary!$K$27,"Derived from calculated values",K64,"Derived from manual entries",L64)+(Q64*Reference!$B$18)-(D64*O64),0)</f>
        <v>0</v>
      </c>
      <c r="S64" s="178">
        <f>IF(J64,Summary!$C$41/ (J$84+ESPP!$N$26), 0)</f>
        <v>0</v>
      </c>
      <c r="T64" s="273">
        <f>IF(J64,(Reference!$B$23 - X64) * S64, 0)</f>
        <v>0</v>
      </c>
      <c r="U64" s="180">
        <f t="shared" si="5"/>
        <v>0</v>
      </c>
      <c r="V64" s="274">
        <f>IF(DATEDIF(C64,Reference!$B$28,"Y")&gt;=1,0,U64+T64)</f>
        <v>0</v>
      </c>
      <c r="W64" s="180">
        <f>IF(DATEDIF(C64,Reference!$B$28,"Y")&gt;=1,U64+T64,0)</f>
        <v>0</v>
      </c>
      <c r="X64" s="184">
        <f>iferror(((O64*D64) - K64 + U64)/SWITCH(Summary!$K$26, "Calculated", Q64, "Manual entries", I64), 0)</f>
        <v>0</v>
      </c>
      <c r="Y64" s="184">
        <f>(Reference!$B$10-X64)*((SWITCH(Summary!$K$26, "Calculated", Q64, "Manual entries", I64)) - S64)</f>
        <v>0</v>
      </c>
      <c r="Z64" s="184">
        <f t="shared" si="6"/>
        <v>0</v>
      </c>
      <c r="AA64" s="186">
        <f t="shared" si="7"/>
        <v>0</v>
      </c>
    </row>
    <row r="65">
      <c r="A65" s="268"/>
      <c r="B65" s="269">
        <v>44501.0</v>
      </c>
      <c r="C65" s="168">
        <v>44682.0</v>
      </c>
      <c r="D65" s="169"/>
      <c r="E65" s="270">
        <v>108.04</v>
      </c>
      <c r="F65" s="271"/>
      <c r="G65" s="278">
        <f t="shared" si="1"/>
        <v>0</v>
      </c>
      <c r="H65" s="177">
        <f t="shared" si="2"/>
        <v>0</v>
      </c>
      <c r="I65" s="272"/>
      <c r="J65" s="189" t="b">
        <v>0</v>
      </c>
      <c r="K65" s="172">
        <f>LET(ratio,Reference!$B$4, ratio*Reference!$B$3*D65)</f>
        <v>0</v>
      </c>
      <c r="L65" s="172">
        <f>iferror(LET(ratio, I65/(0.252*D65),(1-ratio) * Reference!$B$3 * D65),0)</f>
        <v>0</v>
      </c>
      <c r="M65" s="172">
        <f>IF(C65&lt;Reference!$B$26,Reference!$C$26,0)</f>
        <v>0</v>
      </c>
      <c r="N65" s="172">
        <f>IF(C65&lt;Reference!$B$27,Reference!$C$27,0)</f>
        <v>0</v>
      </c>
      <c r="O65" s="172">
        <f t="shared" si="3"/>
        <v>108.04</v>
      </c>
      <c r="P65" s="172">
        <f t="shared" si="4"/>
        <v>0</v>
      </c>
      <c r="Q65" s="176">
        <f>SWITCH(Summary!$K$26,"Calculated", D65*Reference!$B$5*Reference!$B$6, "Manual entries",I65)</f>
        <v>0</v>
      </c>
      <c r="R65" s="177">
        <f>MAX(SWITCH(Summary!$K$27,"Derived from calculated values",K65,"Derived from manual entries",L65)+(Q65*Reference!$B$18)-(D65*O65),0)</f>
        <v>0</v>
      </c>
      <c r="S65" s="178">
        <f>IF(J65,Summary!$C$41/ (J$84+ESPP!$N$26), 0)</f>
        <v>0</v>
      </c>
      <c r="T65" s="273">
        <f>IF(J65,(Reference!$B$23 - X65) * S65, 0)</f>
        <v>0</v>
      </c>
      <c r="U65" s="180">
        <f t="shared" si="5"/>
        <v>0</v>
      </c>
      <c r="V65" s="274">
        <f>IF(DATEDIF(C65,Reference!$B$28,"Y")&gt;=1,0,U65+T65)</f>
        <v>0</v>
      </c>
      <c r="W65" s="180">
        <f>IF(DATEDIF(C65,Reference!$B$28,"Y")&gt;=1,U65+T65,0)</f>
        <v>0</v>
      </c>
      <c r="X65" s="184">
        <f>iferror(((O65*D65) - K65 + U65)/SWITCH(Summary!$K$26, "Calculated", Q65, "Manual entries", I65), 0)</f>
        <v>0</v>
      </c>
      <c r="Y65" s="184">
        <f>(Reference!$B$10-X65)*((SWITCH(Summary!$K$26, "Calculated", Q65, "Manual entries", I65)) - S65)</f>
        <v>0</v>
      </c>
      <c r="Z65" s="184">
        <f t="shared" si="6"/>
        <v>0</v>
      </c>
      <c r="AA65" s="186">
        <f t="shared" si="7"/>
        <v>0</v>
      </c>
    </row>
    <row r="66">
      <c r="A66" s="268"/>
      <c r="B66" s="269">
        <v>44501.0</v>
      </c>
      <c r="C66" s="168">
        <v>44713.0</v>
      </c>
      <c r="D66" s="169"/>
      <c r="E66" s="270">
        <v>129.41</v>
      </c>
      <c r="F66" s="271"/>
      <c r="G66" s="278">
        <f t="shared" si="1"/>
        <v>0</v>
      </c>
      <c r="H66" s="177">
        <f t="shared" si="2"/>
        <v>0</v>
      </c>
      <c r="I66" s="272"/>
      <c r="J66" s="189" t="b">
        <v>0</v>
      </c>
      <c r="K66" s="172">
        <f>LET(ratio,Reference!$B$4, ratio*Reference!$B$3*D66)</f>
        <v>0</v>
      </c>
      <c r="L66" s="172">
        <f>iferror(LET(ratio, I66/(0.252*D66),(1-ratio) * Reference!$B$3 * D66),0)</f>
        <v>0</v>
      </c>
      <c r="M66" s="172">
        <f>IF(C66&lt;Reference!$B$26,Reference!$C$26,0)</f>
        <v>0</v>
      </c>
      <c r="N66" s="172">
        <f>IF(C66&lt;Reference!$B$27,Reference!$C$27,0)</f>
        <v>0</v>
      </c>
      <c r="O66" s="172">
        <f t="shared" si="3"/>
        <v>129.41</v>
      </c>
      <c r="P66" s="172">
        <f t="shared" si="4"/>
        <v>0</v>
      </c>
      <c r="Q66" s="176">
        <f>SWITCH(Summary!$K$26,"Calculated", D66*Reference!$B$5*Reference!$B$6, "Manual entries",I66)</f>
        <v>0</v>
      </c>
      <c r="R66" s="177">
        <f>MAX(SWITCH(Summary!$K$27,"Derived from calculated values",K66,"Derived from manual entries",L66)+(Q66*Reference!$B$18)-(D66*O66),0)</f>
        <v>0</v>
      </c>
      <c r="S66" s="178">
        <f>IF(J66,Summary!$C$41/ (J$84+ESPP!$N$26), 0)</f>
        <v>0</v>
      </c>
      <c r="T66" s="273">
        <f>IF(J66,(Reference!$B$23 - X66) * S66, 0)</f>
        <v>0</v>
      </c>
      <c r="U66" s="277">
        <f t="shared" si="5"/>
        <v>0</v>
      </c>
      <c r="V66" s="274">
        <f>IF(DATEDIF(C66,Reference!$B$28,"Y")&gt;=1,0,U66+T66)</f>
        <v>0</v>
      </c>
      <c r="W66" s="180">
        <f>IF(DATEDIF(C66,Reference!$B$28,"Y")&gt;=1,U66+T66,0)</f>
        <v>0</v>
      </c>
      <c r="X66" s="184">
        <f>iferror(((O66*D66) - K66 + U66)/SWITCH(Summary!$K$26, "Calculated", Q66, "Manual entries", I66), 0)</f>
        <v>0</v>
      </c>
      <c r="Y66" s="184">
        <f>(Reference!$B$10-X66)*((SWITCH(Summary!$K$26, "Calculated", Q66, "Manual entries", I66)) - S66)</f>
        <v>0</v>
      </c>
      <c r="Z66" s="184">
        <f t="shared" si="6"/>
        <v>0</v>
      </c>
      <c r="AA66" s="186">
        <f t="shared" si="7"/>
        <v>0</v>
      </c>
    </row>
    <row r="67">
      <c r="A67" s="268"/>
      <c r="B67" s="269">
        <v>44501.0</v>
      </c>
      <c r="C67" s="168">
        <v>44713.0</v>
      </c>
      <c r="D67" s="169"/>
      <c r="E67" s="270">
        <v>129.41</v>
      </c>
      <c r="F67" s="271"/>
      <c r="G67" s="278">
        <f t="shared" si="1"/>
        <v>0</v>
      </c>
      <c r="H67" s="177">
        <f t="shared" si="2"/>
        <v>0</v>
      </c>
      <c r="I67" s="276"/>
      <c r="J67" s="189" t="b">
        <v>0</v>
      </c>
      <c r="K67" s="172">
        <f>LET(ratio,Reference!$B$4, ratio*Reference!$B$3*D67)</f>
        <v>0</v>
      </c>
      <c r="L67" s="172">
        <f>iferror(LET(ratio, I67/(0.252*D67),(1-ratio) * Reference!$B$3 * D67),0)</f>
        <v>0</v>
      </c>
      <c r="M67" s="172">
        <f>IF(C67&lt;Reference!$B$26,Reference!$C$26,0)</f>
        <v>0</v>
      </c>
      <c r="N67" s="172">
        <f>IF(C67&lt;Reference!$B$27,Reference!$C$27,0)</f>
        <v>0</v>
      </c>
      <c r="O67" s="172">
        <f t="shared" si="3"/>
        <v>129.41</v>
      </c>
      <c r="P67" s="172">
        <f t="shared" si="4"/>
        <v>0</v>
      </c>
      <c r="Q67" s="176">
        <f>SWITCH(Summary!$K$26,"Calculated", D67*Reference!$B$5*Reference!$B$6, "Manual entries",I67)</f>
        <v>0</v>
      </c>
      <c r="R67" s="177">
        <f>MAX(SWITCH(Summary!$K$27,"Derived from calculated values",K67,"Derived from manual entries",L67)+(Q67*Reference!$B$18)-(D67*O67),0)</f>
        <v>0</v>
      </c>
      <c r="S67" s="178">
        <f>IF(J67,Summary!$C$41/ (J$84+ESPP!$N$26), 0)</f>
        <v>0</v>
      </c>
      <c r="T67" s="273">
        <f>IF(J67,(Reference!$B$23 - X67) * S67, 0)</f>
        <v>0</v>
      </c>
      <c r="U67" s="277">
        <f t="shared" si="5"/>
        <v>0</v>
      </c>
      <c r="V67" s="274">
        <f>IF(DATEDIF(C67,Reference!$B$28,"Y")&gt;=1,0,U67+T67)</f>
        <v>0</v>
      </c>
      <c r="W67" s="180">
        <f>IF(DATEDIF(C67,Reference!$B$28,"Y")&gt;=1,U67+T67,0)</f>
        <v>0</v>
      </c>
      <c r="X67" s="184">
        <f>iferror(((O67*D67) - K67 + U67)/SWITCH(Summary!$K$26, "Calculated", Q67, "Manual entries", I67), 0)</f>
        <v>0</v>
      </c>
      <c r="Y67" s="184">
        <f>(Reference!$B$10-X67)*((SWITCH(Summary!$K$26, "Calculated", Q67, "Manual entries", I67)) - S67)</f>
        <v>0</v>
      </c>
      <c r="Z67" s="184">
        <f t="shared" si="6"/>
        <v>0</v>
      </c>
      <c r="AA67" s="186">
        <f t="shared" si="7"/>
        <v>0</v>
      </c>
    </row>
    <row r="68">
      <c r="A68" s="280"/>
      <c r="B68" s="281"/>
      <c r="C68" s="282">
        <v>44743.0</v>
      </c>
      <c r="D68" s="169"/>
      <c r="E68" s="270">
        <v>114.06</v>
      </c>
      <c r="F68" s="285"/>
      <c r="G68" s="278">
        <f t="shared" si="1"/>
        <v>0</v>
      </c>
      <c r="H68" s="177">
        <f t="shared" si="2"/>
        <v>0</v>
      </c>
      <c r="I68" s="284"/>
      <c r="J68" s="189" t="b">
        <v>0</v>
      </c>
      <c r="K68" s="172">
        <f>LET(ratio,Reference!$B$4, ratio*Reference!$B$3*D68)</f>
        <v>0</v>
      </c>
      <c r="L68" s="172">
        <f>iferror(LET(ratio, I68/(0.252*D68),(1-ratio) * Reference!$B$3 * D68),0)</f>
        <v>0</v>
      </c>
      <c r="M68" s="172">
        <f>IF(C68&lt;Reference!$B$26,Reference!$C$26,0)</f>
        <v>0</v>
      </c>
      <c r="N68" s="172">
        <f>IF(C68&lt;Reference!$B$27,Reference!$C$27,0)</f>
        <v>0</v>
      </c>
      <c r="O68" s="172">
        <f t="shared" si="3"/>
        <v>114.06</v>
      </c>
      <c r="P68" s="172">
        <f t="shared" si="4"/>
        <v>0</v>
      </c>
      <c r="Q68" s="176">
        <f>SWITCH(Summary!$K$26,"Calculated", D68*Reference!$B$5*Reference!$B$6, "Manual entries",I68)</f>
        <v>0</v>
      </c>
      <c r="R68" s="177">
        <f>MAX(SWITCH(Summary!$K$27,"Derived from calculated values",K68,"Derived from manual entries",L68)+(Q68*Reference!$B$18)-(D68*O68),0)</f>
        <v>0</v>
      </c>
      <c r="S68" s="178">
        <f>IF(J68,Summary!$C$41/ (J$84+ESPP!$N$26), 0)</f>
        <v>0</v>
      </c>
      <c r="T68" s="273">
        <f>IF(J68,(Reference!$B$23 - X68) * S68, 0)</f>
        <v>0</v>
      </c>
      <c r="U68" s="180">
        <f t="shared" si="5"/>
        <v>0</v>
      </c>
      <c r="V68" s="274">
        <f>IF(DATEDIF(C68,Reference!$B$28,"Y")&gt;=1,0,U68+T68)</f>
        <v>0</v>
      </c>
      <c r="W68" s="180">
        <f>IF(DATEDIF(C68,Reference!$B$28,"Y")&gt;=1,U68+T68,0)</f>
        <v>0</v>
      </c>
      <c r="X68" s="184">
        <f>iferror(((O68*D68) - K68 + U68)/SWITCH(Summary!$K$26, "Calculated", Q68, "Manual entries", I68), 0)</f>
        <v>0</v>
      </c>
      <c r="Y68" s="184">
        <f>(Reference!$B$10-X68)*((SWITCH(Summary!$K$26, "Calculated", Q68, "Manual entries", I68)) - S68)</f>
        <v>0</v>
      </c>
      <c r="Z68" s="184">
        <f t="shared" si="6"/>
        <v>0</v>
      </c>
      <c r="AA68" s="186">
        <f t="shared" si="7"/>
        <v>0</v>
      </c>
    </row>
    <row r="69">
      <c r="A69" s="268"/>
      <c r="B69" s="269">
        <v>44501.0</v>
      </c>
      <c r="C69" s="168">
        <v>44774.0</v>
      </c>
      <c r="D69" s="169"/>
      <c r="E69" s="270">
        <v>116.17</v>
      </c>
      <c r="F69" s="271"/>
      <c r="G69" s="278">
        <f t="shared" si="1"/>
        <v>0</v>
      </c>
      <c r="H69" s="177">
        <f t="shared" si="2"/>
        <v>0</v>
      </c>
      <c r="I69" s="272"/>
      <c r="J69" s="189" t="b">
        <v>0</v>
      </c>
      <c r="K69" s="172">
        <f>LET(ratio,Reference!$B$4, ratio*Reference!$B$3*D69)</f>
        <v>0</v>
      </c>
      <c r="L69" s="172">
        <f>iferror(LET(ratio, I69/(0.252*D69),(1-ratio) * Reference!$B$3 * D69),0)</f>
        <v>0</v>
      </c>
      <c r="M69" s="172">
        <f>IF(C69&lt;Reference!$B$26,Reference!$C$26,0)</f>
        <v>0</v>
      </c>
      <c r="N69" s="172">
        <f>IF(C69&lt;Reference!$B$27,Reference!$C$27,0)</f>
        <v>0</v>
      </c>
      <c r="O69" s="172">
        <f t="shared" si="3"/>
        <v>116.17</v>
      </c>
      <c r="P69" s="172">
        <f t="shared" si="4"/>
        <v>0</v>
      </c>
      <c r="Q69" s="176">
        <f>SWITCH(Summary!$K$26,"Calculated", D69*Reference!$B$5*Reference!$B$6, "Manual entries",I69)</f>
        <v>0</v>
      </c>
      <c r="R69" s="177">
        <f>MAX(SWITCH(Summary!$K$27,"Derived from calculated values",K69,"Derived from manual entries",L69)+(Q69*Reference!$B$18)-(D69*O69),0)</f>
        <v>0</v>
      </c>
      <c r="S69" s="178">
        <f>IF(J69,Summary!$C$41/ (J$84+ESPP!$N$26), 0)</f>
        <v>0</v>
      </c>
      <c r="T69" s="273">
        <f>IF(J69,(Reference!$B$23 - X69) * S69, 0)</f>
        <v>0</v>
      </c>
      <c r="U69" s="180">
        <f t="shared" si="5"/>
        <v>0</v>
      </c>
      <c r="V69" s="274">
        <f>IF(DATEDIF(C69,Reference!$B$28,"Y")&gt;=1,0,U69+T69)</f>
        <v>0</v>
      </c>
      <c r="W69" s="180">
        <f>IF(DATEDIF(C69,Reference!$B$28,"Y")&gt;=1,U69+T69,0)</f>
        <v>0</v>
      </c>
      <c r="X69" s="184">
        <f>iferror(((O69*D69) - K69 + U69)/SWITCH(Summary!$K$26, "Calculated", Q69, "Manual entries", I69), 0)</f>
        <v>0</v>
      </c>
      <c r="Y69" s="184">
        <f>(Reference!$B$10-X69)*((SWITCH(Summary!$K$26, "Calculated", Q69, "Manual entries", I69)) - S69)</f>
        <v>0</v>
      </c>
      <c r="Z69" s="184">
        <f t="shared" si="6"/>
        <v>0</v>
      </c>
      <c r="AA69" s="186">
        <f t="shared" si="7"/>
        <v>0</v>
      </c>
    </row>
    <row r="70">
      <c r="A70" s="280"/>
      <c r="B70" s="281"/>
      <c r="C70" s="282">
        <v>44805.0</v>
      </c>
      <c r="D70" s="169"/>
      <c r="E70" s="270">
        <v>114.82</v>
      </c>
      <c r="F70" s="285"/>
      <c r="G70" s="278">
        <f t="shared" si="1"/>
        <v>0</v>
      </c>
      <c r="H70" s="177">
        <f t="shared" si="2"/>
        <v>0</v>
      </c>
      <c r="I70" s="284"/>
      <c r="J70" s="189" t="b">
        <v>0</v>
      </c>
      <c r="K70" s="172">
        <f>LET(ratio,Reference!$B$4, ratio*Reference!$B$3*D70)</f>
        <v>0</v>
      </c>
      <c r="L70" s="172">
        <f>iferror(LET(ratio, I70/(0.252*D70),(1-ratio) * Reference!$B$3 * D70),0)</f>
        <v>0</v>
      </c>
      <c r="M70" s="172">
        <f>IF(C70&lt;Reference!$B$26,Reference!$C$26,0)</f>
        <v>0</v>
      </c>
      <c r="N70" s="172">
        <f>IF(C70&lt;Reference!$B$27,Reference!$C$27,0)</f>
        <v>0</v>
      </c>
      <c r="O70" s="172">
        <f t="shared" si="3"/>
        <v>114.82</v>
      </c>
      <c r="P70" s="172">
        <f t="shared" si="4"/>
        <v>0</v>
      </c>
      <c r="Q70" s="176">
        <f>SWITCH(Summary!$K$26,"Calculated", D70*Reference!$B$5*Reference!$B$6, "Manual entries",I70)</f>
        <v>0</v>
      </c>
      <c r="R70" s="177">
        <f>MAX(SWITCH(Summary!$K$27,"Derived from calculated values",K70,"Derived from manual entries",L70)+(Q70*Reference!$B$18)-(D70*O70),0)</f>
        <v>0</v>
      </c>
      <c r="S70" s="178">
        <f>IF(J70,Summary!$C$41/ (J$84+ESPP!$N$26), 0)</f>
        <v>0</v>
      </c>
      <c r="T70" s="273">
        <f>IF(J70,(Reference!$B$23 - X70) * S70, 0)</f>
        <v>0</v>
      </c>
      <c r="U70" s="180">
        <f t="shared" si="5"/>
        <v>0</v>
      </c>
      <c r="V70" s="274">
        <f>IF(DATEDIF(C70,Reference!$B$28,"Y")&gt;=1,0,U70+T70)</f>
        <v>0</v>
      </c>
      <c r="W70" s="180">
        <f>IF(DATEDIF(C70,Reference!$B$28,"Y")&gt;=1,U70+T70,0)</f>
        <v>0</v>
      </c>
      <c r="X70" s="184">
        <f>iferror(((O70*D70) - K70 + U70)/SWITCH(Summary!$K$26, "Calculated", Q70, "Manual entries", I70), 0)</f>
        <v>0</v>
      </c>
      <c r="Y70" s="184">
        <f>(Reference!$B$10-X70)*((SWITCH(Summary!$K$26, "Calculated", Q70, "Manual entries", I70)) - S70)</f>
        <v>0</v>
      </c>
      <c r="Z70" s="184">
        <f t="shared" si="6"/>
        <v>0</v>
      </c>
      <c r="AA70" s="186">
        <f t="shared" si="7"/>
        <v>0</v>
      </c>
    </row>
    <row r="71">
      <c r="A71" s="268"/>
      <c r="B71" s="269">
        <v>44501.0</v>
      </c>
      <c r="C71" s="168">
        <v>44866.0</v>
      </c>
      <c r="D71" s="169"/>
      <c r="E71" s="270">
        <v>112.62</v>
      </c>
      <c r="F71" s="271"/>
      <c r="G71" s="278">
        <f t="shared" si="1"/>
        <v>0</v>
      </c>
      <c r="H71" s="177">
        <f t="shared" si="2"/>
        <v>0</v>
      </c>
      <c r="I71" s="272"/>
      <c r="J71" s="189" t="b">
        <v>0</v>
      </c>
      <c r="K71" s="172">
        <f>LET(ratio,Reference!$B$4, ratio*Reference!$B$3*D71)</f>
        <v>0</v>
      </c>
      <c r="L71" s="172">
        <f>iferror(LET(ratio, I71/(0.252*D71),(1-ratio) * Reference!$B$3 * D71),0)</f>
        <v>0</v>
      </c>
      <c r="M71" s="172">
        <f>IF(C71&lt;Reference!$B$26,Reference!$C$26,0)</f>
        <v>0</v>
      </c>
      <c r="N71" s="172">
        <f>IF(C71&lt;Reference!$B$27,Reference!$C$27,0)</f>
        <v>0</v>
      </c>
      <c r="O71" s="172">
        <f t="shared" si="3"/>
        <v>112.62</v>
      </c>
      <c r="P71" s="172">
        <f t="shared" si="4"/>
        <v>0</v>
      </c>
      <c r="Q71" s="176">
        <f>SWITCH(Summary!$K$26,"Calculated", D71*Reference!$B$5*Reference!$B$6, "Manual entries",I71)</f>
        <v>0</v>
      </c>
      <c r="R71" s="177">
        <f>MAX(SWITCH(Summary!$K$27,"Derived from calculated values",K71,"Derived from manual entries",L71)+(Q71*Reference!$B$18)-(D71*O71),0)</f>
        <v>0</v>
      </c>
      <c r="S71" s="178">
        <f>IF(J71,Summary!$C$41/ (J$84+ESPP!$N$26), 0)</f>
        <v>0</v>
      </c>
      <c r="T71" s="273">
        <f>IF(J71,(Reference!$B$23 - X71) * S71, 0)</f>
        <v>0</v>
      </c>
      <c r="U71" s="180">
        <f t="shared" si="5"/>
        <v>0</v>
      </c>
      <c r="V71" s="274">
        <f>IF(DATEDIF(C71,Reference!$B$28,"Y")&gt;=1,0,U71+T71)</f>
        <v>0</v>
      </c>
      <c r="W71" s="180">
        <f>IF(DATEDIF(C71,Reference!$B$28,"Y")&gt;=1,U71+T71,0)</f>
        <v>0</v>
      </c>
      <c r="X71" s="184">
        <f>iferror(((O71*D71) - K71 + U71)/SWITCH(Summary!$K$26, "Calculated", Q71, "Manual entries", I71), 0)</f>
        <v>0</v>
      </c>
      <c r="Y71" s="184">
        <f>(Reference!$B$10-X71)*((SWITCH(Summary!$K$26, "Calculated", Q71, "Manual entries", I71)) - S71)</f>
        <v>0</v>
      </c>
      <c r="Z71" s="184">
        <f t="shared" si="6"/>
        <v>0</v>
      </c>
      <c r="AA71" s="186">
        <f t="shared" si="7"/>
        <v>0</v>
      </c>
    </row>
    <row r="72">
      <c r="A72" s="268"/>
      <c r="B72" s="269">
        <v>44501.0</v>
      </c>
      <c r="C72" s="168">
        <v>44866.0</v>
      </c>
      <c r="D72" s="169"/>
      <c r="E72" s="270">
        <v>112.62</v>
      </c>
      <c r="F72" s="271"/>
      <c r="G72" s="278">
        <f t="shared" si="1"/>
        <v>0</v>
      </c>
      <c r="H72" s="177">
        <f t="shared" si="2"/>
        <v>0</v>
      </c>
      <c r="I72" s="272"/>
      <c r="J72" s="189" t="b">
        <v>0</v>
      </c>
      <c r="K72" s="172">
        <f>LET(ratio,Reference!$B$4, ratio*Reference!$B$3*D72)</f>
        <v>0</v>
      </c>
      <c r="L72" s="172">
        <f>iferror(LET(ratio, I72/(0.252*D72),(1-ratio) * Reference!$B$3 * D72),0)</f>
        <v>0</v>
      </c>
      <c r="M72" s="172">
        <f>IF(C72&lt;Reference!$B$26,Reference!$C$26,0)</f>
        <v>0</v>
      </c>
      <c r="N72" s="172">
        <f>IF(C72&lt;Reference!$B$27,Reference!$C$27,0)</f>
        <v>0</v>
      </c>
      <c r="O72" s="172">
        <f t="shared" si="3"/>
        <v>112.62</v>
      </c>
      <c r="P72" s="172">
        <f t="shared" si="4"/>
        <v>0</v>
      </c>
      <c r="Q72" s="176">
        <f>SWITCH(Summary!$K$26,"Calculated", D72*Reference!$B$5*Reference!$B$6, "Manual entries",I72)</f>
        <v>0</v>
      </c>
      <c r="R72" s="177">
        <f>MAX(SWITCH(Summary!$K$27,"Derived from calculated values",K72,"Derived from manual entries",L72)+(Q72*Reference!$B$18)-(D72*O72),0)</f>
        <v>0</v>
      </c>
      <c r="S72" s="178">
        <f>IF(J72,Summary!$C$41/ (J$84+ESPP!$N$26), 0)</f>
        <v>0</v>
      </c>
      <c r="T72" s="273">
        <f>IF(J72,(Reference!$B$23 - X72) * S72, 0)</f>
        <v>0</v>
      </c>
      <c r="U72" s="180">
        <f t="shared" si="5"/>
        <v>0</v>
      </c>
      <c r="V72" s="274">
        <f>IF(DATEDIF(C72,Reference!$B$28,"Y")&gt;=1,0,U72+T72)</f>
        <v>0</v>
      </c>
      <c r="W72" s="180">
        <f>IF(DATEDIF(C72,Reference!$B$28,"Y")&gt;=1,U72+T72,0)</f>
        <v>0</v>
      </c>
      <c r="X72" s="184">
        <f>iferror(((O72*D72) - K72 + U72)/SWITCH(Summary!$K$26, "Calculated", Q72, "Manual entries", I72), 0)</f>
        <v>0</v>
      </c>
      <c r="Y72" s="184">
        <f>(Reference!$B$10-X72)*((SWITCH(Summary!$K$26, "Calculated", Q72, "Manual entries", I72)) - S72)</f>
        <v>0</v>
      </c>
      <c r="Z72" s="184">
        <f t="shared" si="6"/>
        <v>0</v>
      </c>
      <c r="AA72" s="186">
        <f t="shared" si="7"/>
        <v>0</v>
      </c>
    </row>
    <row r="73">
      <c r="A73" s="268"/>
      <c r="B73" s="269">
        <v>44501.0</v>
      </c>
      <c r="C73" s="168">
        <v>44896.0</v>
      </c>
      <c r="D73" s="169"/>
      <c r="E73" s="270">
        <v>121.68</v>
      </c>
      <c r="F73" s="271"/>
      <c r="G73" s="278">
        <f t="shared" si="1"/>
        <v>0</v>
      </c>
      <c r="H73" s="177">
        <f t="shared" si="2"/>
        <v>0</v>
      </c>
      <c r="I73" s="272"/>
      <c r="J73" s="189" t="b">
        <v>0</v>
      </c>
      <c r="K73" s="172">
        <f>LET(ratio,Reference!$B$4, ratio*Reference!$B$3*D73)</f>
        <v>0</v>
      </c>
      <c r="L73" s="172">
        <f>iferror(LET(ratio, I73/(0.252*D73),(1-ratio) * Reference!$B$3 * D73),0)</f>
        <v>0</v>
      </c>
      <c r="M73" s="172">
        <f>IF(C73&lt;Reference!$B$26,Reference!$C$26,0)</f>
        <v>0</v>
      </c>
      <c r="N73" s="172">
        <f>IF(C73&lt;Reference!$B$27,Reference!$C$27,0)</f>
        <v>0</v>
      </c>
      <c r="O73" s="172">
        <f t="shared" si="3"/>
        <v>121.68</v>
      </c>
      <c r="P73" s="172">
        <f t="shared" si="4"/>
        <v>0</v>
      </c>
      <c r="Q73" s="176">
        <f>SWITCH(Summary!$K$26,"Calculated", D73*Reference!$B$5*Reference!$B$6, "Manual entries",I73)</f>
        <v>0</v>
      </c>
      <c r="R73" s="177">
        <f>MAX(SWITCH(Summary!$K$27,"Derived from calculated values",K73,"Derived from manual entries",L73)+(Q73*Reference!$B$18)-(D73*O73),0)</f>
        <v>0</v>
      </c>
      <c r="S73" s="178">
        <f>IF(J73,Summary!$C$41/ (J$84+ESPP!$N$26), 0)</f>
        <v>0</v>
      </c>
      <c r="T73" s="273">
        <f>IF(J73,(Reference!$B$23 - X73) * S73, 0)</f>
        <v>0</v>
      </c>
      <c r="U73" s="180">
        <f t="shared" si="5"/>
        <v>0</v>
      </c>
      <c r="V73" s="274">
        <f>IF(DATEDIF(C73,Reference!$B$28,"Y")&gt;=1,0,U73+T73)</f>
        <v>0</v>
      </c>
      <c r="W73" s="180">
        <f>IF(DATEDIF(C73,Reference!$B$28,"Y")&gt;=1,U73+T73,0)</f>
        <v>0</v>
      </c>
      <c r="X73" s="184">
        <f>iferror(((O73*D73) - K73 + U73)/SWITCH(Summary!$K$26, "Calculated", Q73, "Manual entries", I73), 0)</f>
        <v>0</v>
      </c>
      <c r="Y73" s="184">
        <f>(Reference!$B$10-X73)*((SWITCH(Summary!$K$26, "Calculated", Q73, "Manual entries", I73)) - S73)</f>
        <v>0</v>
      </c>
      <c r="Z73" s="184">
        <f t="shared" si="6"/>
        <v>0</v>
      </c>
      <c r="AA73" s="186">
        <f t="shared" si="7"/>
        <v>0</v>
      </c>
    </row>
    <row r="74">
      <c r="A74" s="280"/>
      <c r="B74" s="281"/>
      <c r="C74" s="282">
        <v>44927.0</v>
      </c>
      <c r="D74" s="169"/>
      <c r="E74" s="270">
        <v>122.76</v>
      </c>
      <c r="F74" s="285"/>
      <c r="G74" s="278">
        <f t="shared" si="1"/>
        <v>0</v>
      </c>
      <c r="H74" s="177">
        <f t="shared" si="2"/>
        <v>0</v>
      </c>
      <c r="I74" s="284"/>
      <c r="J74" s="189" t="b">
        <v>0</v>
      </c>
      <c r="K74" s="172">
        <f>LET(ratio,Reference!$B$4, ratio*Reference!$B$3*D74)</f>
        <v>0</v>
      </c>
      <c r="L74" s="172">
        <f>iferror(LET(ratio, I74/(0.252*D74),(1-ratio) * Reference!$B$3 * D74),0)</f>
        <v>0</v>
      </c>
      <c r="M74" s="172">
        <f>IF(C74&lt;Reference!$B$26,Reference!$C$26,0)</f>
        <v>0</v>
      </c>
      <c r="N74" s="172">
        <f>IF(C74&lt;Reference!$B$27,Reference!$C$27,0)</f>
        <v>0</v>
      </c>
      <c r="O74" s="172">
        <f t="shared" si="3"/>
        <v>122.76</v>
      </c>
      <c r="P74" s="172">
        <f t="shared" si="4"/>
        <v>0</v>
      </c>
      <c r="Q74" s="176">
        <f>SWITCH(Summary!$K$26,"Calculated", D74*Reference!$B$5*Reference!$B$6, "Manual entries",I74)</f>
        <v>0</v>
      </c>
      <c r="R74" s="177">
        <f>MAX(SWITCH(Summary!$K$27,"Derived from calculated values",K74,"Derived from manual entries",L74)+(Q74*Reference!$B$18)-(D74*O74),0)</f>
        <v>0</v>
      </c>
      <c r="S74" s="178">
        <f>IF(J74,Summary!$C$41/ (J$84+ESPP!$N$26), 0)</f>
        <v>0</v>
      </c>
      <c r="T74" s="273">
        <f>IF(J74,(Reference!$B$23 - X74) * S74, 0)</f>
        <v>0</v>
      </c>
      <c r="U74" s="180">
        <f t="shared" si="5"/>
        <v>0</v>
      </c>
      <c r="V74" s="274">
        <f>IF(DATEDIF(C74,Reference!$B$28,"Y")&gt;=1,0,U74+T74)</f>
        <v>0</v>
      </c>
      <c r="W74" s="180">
        <f>IF(DATEDIF(C74,Reference!$B$28,"Y")&gt;=1,U74+T74,0)</f>
        <v>0</v>
      </c>
      <c r="X74" s="184">
        <f>iferror(((O74*D74) - K74 + U74)/SWITCH(Summary!$K$26, "Calculated", Q74, "Manual entries", I74), 0)</f>
        <v>0</v>
      </c>
      <c r="Y74" s="184">
        <f>(Reference!$B$10-X74)*((SWITCH(Summary!$K$26, "Calculated", Q74, "Manual entries", I74)) - S74)</f>
        <v>0</v>
      </c>
      <c r="Z74" s="184">
        <f t="shared" si="6"/>
        <v>0</v>
      </c>
      <c r="AA74" s="186">
        <f t="shared" si="7"/>
        <v>0</v>
      </c>
    </row>
    <row r="75">
      <c r="A75" s="268"/>
      <c r="B75" s="269">
        <v>44501.0</v>
      </c>
      <c r="C75" s="168">
        <v>44958.0</v>
      </c>
      <c r="D75" s="169"/>
      <c r="E75" s="270">
        <v>123.34</v>
      </c>
      <c r="F75" s="271"/>
      <c r="G75" s="278">
        <f t="shared" si="1"/>
        <v>0</v>
      </c>
      <c r="H75" s="177">
        <f t="shared" si="2"/>
        <v>0</v>
      </c>
      <c r="I75" s="276"/>
      <c r="J75" s="189" t="b">
        <v>0</v>
      </c>
      <c r="K75" s="172">
        <f>LET(ratio,Reference!$B$4, ratio*Reference!$B$3*D75)</f>
        <v>0</v>
      </c>
      <c r="L75" s="172">
        <f>iferror(LET(ratio, I75/(0.252*D75),(1-ratio) * Reference!$B$3 * D75),0)</f>
        <v>0</v>
      </c>
      <c r="M75" s="172">
        <f>IF(C75&lt;Reference!$B$26,Reference!$C$26,0)</f>
        <v>0</v>
      </c>
      <c r="N75" s="172">
        <f>IF(C75&lt;Reference!$B$27,Reference!$C$27,0)</f>
        <v>0</v>
      </c>
      <c r="O75" s="172">
        <f t="shared" si="3"/>
        <v>123.34</v>
      </c>
      <c r="P75" s="172">
        <f t="shared" si="4"/>
        <v>0</v>
      </c>
      <c r="Q75" s="176">
        <f>SWITCH(Summary!$K$26,"Calculated", D75*Reference!$B$5*Reference!$B$6, "Manual entries",I75)</f>
        <v>0</v>
      </c>
      <c r="R75" s="177">
        <f>MAX(SWITCH(Summary!$K$27,"Derived from calculated values",K75,"Derived from manual entries",L75)+(Q75*Reference!$B$18)-(D75*O75),0)</f>
        <v>0</v>
      </c>
      <c r="S75" s="178">
        <f>IF(J75,Summary!$C$41/ (J$84+ESPP!$N$26), 0)</f>
        <v>0</v>
      </c>
      <c r="T75" s="273">
        <f>IF(J75,(Reference!$B$23 - X75) * S75, 0)</f>
        <v>0</v>
      </c>
      <c r="U75" s="180">
        <f t="shared" si="5"/>
        <v>0</v>
      </c>
      <c r="V75" s="274">
        <f>IF(DATEDIF(C75,Reference!$B$28,"Y")&gt;=1,0,U75+T75)</f>
        <v>0</v>
      </c>
      <c r="W75" s="180">
        <f>IF(DATEDIF(C75,Reference!$B$28,"Y")&gt;=1,U75+T75,0)</f>
        <v>0</v>
      </c>
      <c r="X75" s="184">
        <f>iferror(((O75*D75) - K75 + U75)/SWITCH(Summary!$K$26, "Calculated", Q75, "Manual entries", I75), 0)</f>
        <v>0</v>
      </c>
      <c r="Y75" s="184">
        <f>(Reference!$B$10-X75)*((SWITCH(Summary!$K$26, "Calculated", Q75, "Manual entries", I75)) - S75)</f>
        <v>0</v>
      </c>
      <c r="Z75" s="184">
        <f t="shared" si="6"/>
        <v>0</v>
      </c>
      <c r="AA75" s="186">
        <f t="shared" si="7"/>
        <v>0</v>
      </c>
    </row>
    <row r="76">
      <c r="A76" s="268"/>
      <c r="B76" s="269">
        <v>44741.0</v>
      </c>
      <c r="C76" s="168">
        <v>44986.0</v>
      </c>
      <c r="D76" s="169"/>
      <c r="E76" s="270">
        <v>110.09</v>
      </c>
      <c r="F76" s="271"/>
      <c r="G76" s="278">
        <f t="shared" si="1"/>
        <v>0</v>
      </c>
      <c r="H76" s="177">
        <f t="shared" si="2"/>
        <v>0</v>
      </c>
      <c r="I76" s="272"/>
      <c r="J76" s="189" t="b">
        <v>0</v>
      </c>
      <c r="K76" s="172">
        <f>LET(ratio,Reference!$B$4, ratio*Reference!$B$3*D76)</f>
        <v>0</v>
      </c>
      <c r="L76" s="172">
        <f>iferror(LET(ratio, I76/(0.252*D76),(1-ratio) * Reference!$B$3 * D76),0)</f>
        <v>0</v>
      </c>
      <c r="M76" s="172">
        <f>IF(C76&lt;Reference!$B$26,Reference!$C$26,0)</f>
        <v>0</v>
      </c>
      <c r="N76" s="172">
        <f>IF(C76&lt;Reference!$B$27,Reference!$C$27,0)</f>
        <v>0</v>
      </c>
      <c r="O76" s="172">
        <f t="shared" si="3"/>
        <v>110.09</v>
      </c>
      <c r="P76" s="172">
        <f t="shared" si="4"/>
        <v>0</v>
      </c>
      <c r="Q76" s="176">
        <f>SWITCH(Summary!$K$26,"Calculated", D76*Reference!$B$5*Reference!$B$6, "Manual entries",I76)</f>
        <v>0</v>
      </c>
      <c r="R76" s="177">
        <f>MAX(SWITCH(Summary!$K$27,"Derived from calculated values",K76,"Derived from manual entries",L76)+(Q76*Reference!$B$18)-(D76*O76),0)</f>
        <v>0</v>
      </c>
      <c r="S76" s="178">
        <f>IF(J76,Summary!$C$41/ (J$84+ESPP!$N$26), 0)</f>
        <v>0</v>
      </c>
      <c r="T76" s="273">
        <f>IF(J76,(Reference!$B$23 - X76) * S76, 0)</f>
        <v>0</v>
      </c>
      <c r="U76" s="180">
        <f t="shared" si="5"/>
        <v>0</v>
      </c>
      <c r="V76" s="274">
        <f>IF(DATEDIF(C76,Reference!$B$28,"Y")&gt;=1,0,U76+T76)</f>
        <v>0</v>
      </c>
      <c r="W76" s="180">
        <f>IF(DATEDIF(C76,Reference!$B$28,"Y")&gt;=1,U76+T76,0)</f>
        <v>0</v>
      </c>
      <c r="X76" s="184">
        <f>iferror(((O76*D76) - K76 + U76)/SWITCH(Summary!$K$26, "Calculated", Q76, "Manual entries", I76), 0)</f>
        <v>0</v>
      </c>
      <c r="Y76" s="184">
        <f>(Reference!$B$10-X76)*((SWITCH(Summary!$K$26, "Calculated", Q76, "Manual entries", I76)) - S76)</f>
        <v>0</v>
      </c>
      <c r="Z76" s="184">
        <f t="shared" si="6"/>
        <v>0</v>
      </c>
      <c r="AA76" s="186">
        <f t="shared" si="7"/>
        <v>0</v>
      </c>
    </row>
    <row r="77">
      <c r="A77" s="268"/>
      <c r="B77" s="269">
        <v>44501.0</v>
      </c>
      <c r="C77" s="168">
        <v>45047.0</v>
      </c>
      <c r="D77" s="169"/>
      <c r="E77" s="270">
        <v>126.98</v>
      </c>
      <c r="F77" s="271"/>
      <c r="G77" s="172">
        <f t="shared" si="1"/>
        <v>0</v>
      </c>
      <c r="H77" s="177">
        <f t="shared" si="2"/>
        <v>0</v>
      </c>
      <c r="I77" s="272"/>
      <c r="J77" s="189" t="b">
        <v>0</v>
      </c>
      <c r="K77" s="172">
        <f>LET(ratio,Reference!$B$4, ratio*Reference!$B$3*D77)</f>
        <v>0</v>
      </c>
      <c r="L77" s="172">
        <f>iferror(LET(ratio, I77/(0.252*D77),(1-ratio) * Reference!$B$3 * D77),0)</f>
        <v>0</v>
      </c>
      <c r="M77" s="172">
        <f>IF(C77&lt;Reference!$B$26,Reference!$C$26,0)</f>
        <v>0</v>
      </c>
      <c r="N77" s="172">
        <f>IF(C77&lt;Reference!$B$27,Reference!$C$27,0)</f>
        <v>0</v>
      </c>
      <c r="O77" s="172">
        <f t="shared" si="3"/>
        <v>126.98</v>
      </c>
      <c r="P77" s="172">
        <f t="shared" si="4"/>
        <v>0</v>
      </c>
      <c r="Q77" s="176">
        <f>SWITCH(Summary!$K$26,"Calculated", D77*Reference!$B$5*Reference!$B$6, "Manual entries",I77)</f>
        <v>0</v>
      </c>
      <c r="R77" s="177">
        <f>MAX(SWITCH(Summary!$K$27,"Derived from calculated values",K77,"Derived from manual entries",L77)+(Q77*Reference!$B$18)-(D77*O77),0)</f>
        <v>0</v>
      </c>
      <c r="S77" s="178">
        <f>IF(J77,Summary!$C$41/ (J$84+ESPP!$N$26), 0)</f>
        <v>0</v>
      </c>
      <c r="T77" s="273">
        <f>IF(J77,(Reference!$B$23 - X77) * S77, 0)</f>
        <v>0</v>
      </c>
      <c r="U77" s="180">
        <f t="shared" si="5"/>
        <v>0</v>
      </c>
      <c r="V77" s="274">
        <f>IF(DATEDIF(C77,Reference!$B$28,"Y")&gt;=1,0,U77+T77)</f>
        <v>0</v>
      </c>
      <c r="W77" s="180">
        <f>IF(DATEDIF(C77,Reference!$B$28,"Y")&gt;=1,U77+T77,0)</f>
        <v>0</v>
      </c>
      <c r="X77" s="184">
        <f>iferror(((O77*D77) - K77 + U77)/SWITCH(Summary!$K$26, "Calculated", Q77, "Manual entries", I77), 0)</f>
        <v>0</v>
      </c>
      <c r="Y77" s="184">
        <f>(Reference!$B$10-X77)*((SWITCH(Summary!$K$26, "Calculated", Q77, "Manual entries", I77)) - S77)</f>
        <v>0</v>
      </c>
      <c r="Z77" s="184">
        <f t="shared" si="6"/>
        <v>0</v>
      </c>
      <c r="AA77" s="186">
        <f t="shared" si="7"/>
        <v>0</v>
      </c>
    </row>
    <row r="78">
      <c r="A78" s="268"/>
      <c r="B78" s="269">
        <v>44501.0</v>
      </c>
      <c r="C78" s="168">
        <v>45047.0</v>
      </c>
      <c r="D78" s="169"/>
      <c r="E78" s="270">
        <v>126.98</v>
      </c>
      <c r="F78" s="271"/>
      <c r="G78" s="172">
        <f t="shared" si="1"/>
        <v>0</v>
      </c>
      <c r="H78" s="177">
        <f t="shared" si="2"/>
        <v>0</v>
      </c>
      <c r="I78" s="272"/>
      <c r="J78" s="189" t="b">
        <v>0</v>
      </c>
      <c r="K78" s="172">
        <f>LET(ratio,Reference!$B$4, ratio*Reference!$B$3*D78)</f>
        <v>0</v>
      </c>
      <c r="L78" s="172">
        <f>iferror(LET(ratio, I78/(0.252*D78),(1-ratio) * Reference!$B$3 * D78),0)</f>
        <v>0</v>
      </c>
      <c r="M78" s="172">
        <f>IF(C78&lt;Reference!$B$26,Reference!$C$26,0)</f>
        <v>0</v>
      </c>
      <c r="N78" s="172">
        <f>IF(C78&lt;Reference!$B$27,Reference!$C$27,0)</f>
        <v>0</v>
      </c>
      <c r="O78" s="172">
        <f t="shared" si="3"/>
        <v>126.98</v>
      </c>
      <c r="P78" s="172">
        <f t="shared" si="4"/>
        <v>0</v>
      </c>
      <c r="Q78" s="176">
        <f>SWITCH(Summary!$K$26,"Calculated", D78*Reference!$B$5*Reference!$B$6, "Manual entries",I78)</f>
        <v>0</v>
      </c>
      <c r="R78" s="177">
        <f>MAX(SWITCH(Summary!$K$27,"Derived from calculated values",K78,"Derived from manual entries",L78)+(Q78*Reference!$B$18)-(D78*O78),0)</f>
        <v>0</v>
      </c>
      <c r="S78" s="178">
        <f>IF(J78,Summary!$C$41/ (J$84+ESPP!$N$26), 0)</f>
        <v>0</v>
      </c>
      <c r="T78" s="273">
        <f>IF(J78,(Reference!$B$23 - X78) * S78, 0)</f>
        <v>0</v>
      </c>
      <c r="U78" s="180">
        <f t="shared" si="5"/>
        <v>0</v>
      </c>
      <c r="V78" s="274">
        <f>IF(DATEDIF(C78,Reference!$B$28,"Y")&gt;=1,0,U78+T78)</f>
        <v>0</v>
      </c>
      <c r="W78" s="180">
        <f>IF(DATEDIF(C78,Reference!$B$28,"Y")&gt;=1,U78+T78,0)</f>
        <v>0</v>
      </c>
      <c r="X78" s="184">
        <f>iferror(((O78*D78) - K78 + U78)/SWITCH(Summary!$K$26, "Calculated", Q78, "Manual entries", I78), 0)</f>
        <v>0</v>
      </c>
      <c r="Y78" s="184">
        <f>(Reference!$B$10-X78)*((SWITCH(Summary!$K$26, "Calculated", Q78, "Manual entries", I78)) - S78)</f>
        <v>0</v>
      </c>
      <c r="Z78" s="184">
        <f t="shared" si="6"/>
        <v>0</v>
      </c>
      <c r="AA78" s="186">
        <f t="shared" si="7"/>
        <v>0</v>
      </c>
    </row>
    <row r="79">
      <c r="A79" s="268"/>
      <c r="B79" s="269">
        <v>44741.0</v>
      </c>
      <c r="C79" s="168">
        <v>45078.0</v>
      </c>
      <c r="D79" s="169"/>
      <c r="E79" s="270">
        <v>133.94</v>
      </c>
      <c r="F79" s="271"/>
      <c r="G79" s="172">
        <f t="shared" si="1"/>
        <v>0</v>
      </c>
      <c r="H79" s="177">
        <f t="shared" si="2"/>
        <v>0</v>
      </c>
      <c r="I79" s="272"/>
      <c r="J79" s="189" t="b">
        <v>0</v>
      </c>
      <c r="K79" s="172">
        <f>LET(ratio,Reference!$B$4, ratio*Reference!$B$3*D79)</f>
        <v>0</v>
      </c>
      <c r="L79" s="172">
        <f>iferror(LET(ratio, I79/(0.252*D79),(1-ratio) * Reference!$B$3 * D79),0)</f>
        <v>0</v>
      </c>
      <c r="M79" s="172">
        <f>IF(C79&lt;Reference!$B$26,Reference!$C$26,0)</f>
        <v>0</v>
      </c>
      <c r="N79" s="172">
        <f>IF(C79&lt;Reference!$B$27,Reference!$C$27,0)</f>
        <v>0</v>
      </c>
      <c r="O79" s="172">
        <f t="shared" si="3"/>
        <v>133.94</v>
      </c>
      <c r="P79" s="172">
        <f t="shared" si="4"/>
        <v>0</v>
      </c>
      <c r="Q79" s="176">
        <f>SWITCH(Summary!$K$26,"Calculated", D79*Reference!$B$5*Reference!$B$6, "Manual entries",I79)</f>
        <v>0</v>
      </c>
      <c r="R79" s="177">
        <f>MAX(SWITCH(Summary!$K$27,"Derived from calculated values",K79,"Derived from manual entries",L79)+(Q79*Reference!$B$18)-(D79*O79),0)</f>
        <v>0</v>
      </c>
      <c r="S79" s="178">
        <f>IF(J79,Summary!$C$41/ (J$84+ESPP!$N$26), 0)</f>
        <v>0</v>
      </c>
      <c r="T79" s="273">
        <f>IF(J79,(Reference!$B$23 - X79) * S79, 0)</f>
        <v>0</v>
      </c>
      <c r="U79" s="277">
        <f t="shared" si="5"/>
        <v>0</v>
      </c>
      <c r="V79" s="274">
        <f>IF(DATEDIF(C79,Reference!$B$28,"Y")&gt;=1,0,U79+T79)</f>
        <v>0</v>
      </c>
      <c r="W79" s="180">
        <f>IF(DATEDIF(C79,Reference!$B$28,"Y")&gt;=1,U79+T79,0)</f>
        <v>0</v>
      </c>
      <c r="X79" s="184">
        <f>iferror(((O79*D79) - K79 + U79)/SWITCH(Summary!$K$26, "Calculated", Q79, "Manual entries", I79), 0)</f>
        <v>0</v>
      </c>
      <c r="Y79" s="184">
        <f>(Reference!$B$10-X79)*((SWITCH(Summary!$K$26, "Calculated", Q79, "Manual entries", I79)) - S79)</f>
        <v>0</v>
      </c>
      <c r="Z79" s="184">
        <f t="shared" si="6"/>
        <v>0</v>
      </c>
      <c r="AA79" s="186">
        <f t="shared" si="7"/>
        <v>0</v>
      </c>
    </row>
    <row r="80">
      <c r="A80" s="268"/>
      <c r="B80" s="269">
        <v>44501.0</v>
      </c>
      <c r="C80" s="168">
        <v>45078.0</v>
      </c>
      <c r="D80" s="169"/>
      <c r="E80" s="270">
        <v>133.94</v>
      </c>
      <c r="F80" s="271"/>
      <c r="G80" s="172">
        <f t="shared" si="1"/>
        <v>0</v>
      </c>
      <c r="H80" s="177">
        <f t="shared" si="2"/>
        <v>0</v>
      </c>
      <c r="I80" s="276"/>
      <c r="J80" s="189" t="b">
        <v>0</v>
      </c>
      <c r="K80" s="172">
        <f>LET(ratio,Reference!$B$4, ratio*Reference!$B$3*D80)</f>
        <v>0</v>
      </c>
      <c r="L80" s="172">
        <f>iferror(LET(ratio, I80/(0.252*D80),(1-ratio) * Reference!$B$3 * D80),0)</f>
        <v>0</v>
      </c>
      <c r="M80" s="172">
        <f>IF(C80&lt;Reference!$B$26,Reference!$C$26,0)</f>
        <v>0</v>
      </c>
      <c r="N80" s="172">
        <f>IF(C80&lt;Reference!$B$27,Reference!$C$27,0)</f>
        <v>0</v>
      </c>
      <c r="O80" s="172">
        <f t="shared" si="3"/>
        <v>133.94</v>
      </c>
      <c r="P80" s="172">
        <f t="shared" si="4"/>
        <v>0</v>
      </c>
      <c r="Q80" s="176">
        <f>SWITCH(Summary!$K$26,"Calculated", D80*Reference!$B$5*Reference!$B$6, "Manual entries",I80)</f>
        <v>0</v>
      </c>
      <c r="R80" s="177">
        <f>MAX(SWITCH(Summary!$K$27,"Derived from calculated values",K80,"Derived from manual entries",L80)+(Q80*Reference!$B$18)-(D80*O80),0)</f>
        <v>0</v>
      </c>
      <c r="S80" s="178">
        <f>IF(J80,Summary!$C$41/ (J$84+ESPP!$N$26), 0)</f>
        <v>0</v>
      </c>
      <c r="T80" s="273">
        <f>IF(J80,(Reference!$B$23 - X80) * S80, 0)</f>
        <v>0</v>
      </c>
      <c r="U80" s="277">
        <f t="shared" si="5"/>
        <v>0</v>
      </c>
      <c r="V80" s="274">
        <f>IF(DATEDIF(C80,Reference!$B$28,"Y")&gt;=1,0,U80+T80)</f>
        <v>0</v>
      </c>
      <c r="W80" s="180">
        <f>IF(DATEDIF(C80,Reference!$B$28,"Y")&gt;=1,U80+T80,0)</f>
        <v>0</v>
      </c>
      <c r="X80" s="184">
        <f>iferror(((O80*D80) - K80 + U80)/SWITCH(Summary!$K$26, "Calculated", Q80, "Manual entries", I80), 0)</f>
        <v>0</v>
      </c>
      <c r="Y80" s="184">
        <f>(Reference!$B$10-X80)*((SWITCH(Summary!$K$26, "Calculated", Q80, "Manual entries", I80)) - S80)</f>
        <v>0</v>
      </c>
      <c r="Z80" s="184">
        <f t="shared" si="6"/>
        <v>0</v>
      </c>
      <c r="AA80" s="186">
        <f t="shared" si="7"/>
        <v>0</v>
      </c>
    </row>
    <row r="81">
      <c r="A81" s="268"/>
      <c r="B81" s="269">
        <v>44501.0</v>
      </c>
      <c r="C81" s="168">
        <v>45139.0</v>
      </c>
      <c r="D81" s="169"/>
      <c r="E81" s="270">
        <v>158.96</v>
      </c>
      <c r="F81" s="271"/>
      <c r="G81" s="172">
        <f t="shared" si="1"/>
        <v>0</v>
      </c>
      <c r="H81" s="177">
        <f t="shared" si="2"/>
        <v>0</v>
      </c>
      <c r="I81" s="272"/>
      <c r="J81" s="189" t="b">
        <v>0</v>
      </c>
      <c r="K81" s="172">
        <f>LET(ratio,Reference!$B$4, ratio*Reference!$B$3*D81)</f>
        <v>0</v>
      </c>
      <c r="L81" s="172">
        <f>iferror(LET(ratio, I81/(0.252*D81),(1-ratio) * Reference!$B$3 * D81),0)</f>
        <v>0</v>
      </c>
      <c r="M81" s="172">
        <f>IF(C81&lt;Reference!$B$26,Reference!$C$26,0)</f>
        <v>0</v>
      </c>
      <c r="N81" s="172">
        <f>IF(C81&lt;Reference!$B$27,Reference!$C$27,0)</f>
        <v>0</v>
      </c>
      <c r="O81" s="172">
        <f t="shared" si="3"/>
        <v>158.96</v>
      </c>
      <c r="P81" s="172">
        <f t="shared" si="4"/>
        <v>0</v>
      </c>
      <c r="Q81" s="176">
        <f>SWITCH(Summary!$K$26,"Calculated", D81*Reference!$B$5*Reference!$B$6, "Manual entries",I81)</f>
        <v>0</v>
      </c>
      <c r="R81" s="177">
        <f>MAX(SWITCH(Summary!$K$27,"Derived from calculated values",K81,"Derived from manual entries",L81)+(Q81*Reference!$B$18)-(D81*O81),0)</f>
        <v>0</v>
      </c>
      <c r="S81" s="178">
        <f>IF(J81,Summary!$C$41/ (J$84+ESPP!$N$26), 0)</f>
        <v>0</v>
      </c>
      <c r="T81" s="273">
        <f>IF(J81,(Reference!$B$23 - X81) * S81, 0)</f>
        <v>0</v>
      </c>
      <c r="U81" s="277">
        <f t="shared" si="5"/>
        <v>0</v>
      </c>
      <c r="V81" s="274">
        <f>IF(DATEDIF(C81,Reference!$B$28,"Y")&gt;=1,0,U81+T81)</f>
        <v>0</v>
      </c>
      <c r="W81" s="180">
        <f>IF(DATEDIF(C81,Reference!$B$28,"Y")&gt;=1,U81+T81,0)</f>
        <v>0</v>
      </c>
      <c r="X81" s="184">
        <f>iferror(((O81*D81) - K81 + U81)/SWITCH(Summary!$K$26, "Calculated", Q81, "Manual entries", I81), 0)</f>
        <v>0</v>
      </c>
      <c r="Y81" s="184">
        <f>(Reference!$B$10-X81)*((SWITCH(Summary!$K$26, "Calculated", Q81, "Manual entries", I81)) - S81)</f>
        <v>0</v>
      </c>
      <c r="Z81" s="184">
        <f t="shared" si="6"/>
        <v>0</v>
      </c>
      <c r="AA81" s="186">
        <f t="shared" si="7"/>
        <v>0</v>
      </c>
    </row>
    <row r="82">
      <c r="A82" s="286"/>
      <c r="B82" s="287">
        <v>44741.0</v>
      </c>
      <c r="C82" s="193">
        <v>45170.0</v>
      </c>
      <c r="D82" s="194"/>
      <c r="E82" s="288">
        <v>164.1</v>
      </c>
      <c r="F82" s="289"/>
      <c r="G82" s="197">
        <f t="shared" si="1"/>
        <v>0</v>
      </c>
      <c r="H82" s="177">
        <f t="shared" si="2"/>
        <v>0</v>
      </c>
      <c r="I82" s="290"/>
      <c r="J82" s="200" t="b">
        <v>0</v>
      </c>
      <c r="K82" s="197">
        <f>LET(ratio,Reference!$B$4, ratio*Reference!$B$3*D82)</f>
        <v>0</v>
      </c>
      <c r="L82" s="197">
        <f>iferror(LET(ratio, I82/(0.252*D82),(1-ratio) * Reference!$B$3 * D82),0)</f>
        <v>0</v>
      </c>
      <c r="M82" s="197">
        <f>IF(C82&lt;Reference!$B$26,Reference!$C$26,0)</f>
        <v>0</v>
      </c>
      <c r="N82" s="197">
        <f>IF(C82&lt;Reference!$B$27,Reference!$C$27,0)</f>
        <v>0</v>
      </c>
      <c r="O82" s="197">
        <f t="shared" si="3"/>
        <v>164.1</v>
      </c>
      <c r="P82" s="197">
        <f t="shared" si="4"/>
        <v>0</v>
      </c>
      <c r="Q82" s="201">
        <f>SWITCH(Summary!$K$26,"Calculated", D82*Reference!$B$5*Reference!$B$6, "Manual entries",I82)</f>
        <v>0</v>
      </c>
      <c r="R82" s="202">
        <f>MAX(SWITCH(Summary!$K$27,"Derived from calculated values",K82,"Derived from manual entries",L82)+(Q82*Reference!$B$18)-(D82*O82),0)</f>
        <v>0</v>
      </c>
      <c r="S82" s="203">
        <f>IF(J82,Summary!$C$41/ (J$84+ESPP!$N$26), 0)</f>
        <v>0</v>
      </c>
      <c r="T82" s="291">
        <f>IF(J82,(Reference!$B$23 - X82) * S82, 0)</f>
        <v>0</v>
      </c>
      <c r="U82" s="292">
        <f t="shared" si="5"/>
        <v>0</v>
      </c>
      <c r="V82" s="293">
        <f>IF(DATEDIF(C82,Reference!$B$28,"Y")&gt;=1,0,U82+T82)</f>
        <v>0</v>
      </c>
      <c r="W82" s="205">
        <f>IF(DATEDIF(C82,Reference!$B$28,"Y")&gt;=1,U82+T82,0)</f>
        <v>0</v>
      </c>
      <c r="X82" s="209">
        <f>iferror(((O82*D82) - K82 + U82)/SWITCH(Summary!$K$26, "Calculated", Q82, "Manual entries", I82), 0)</f>
        <v>0</v>
      </c>
      <c r="Y82" s="209">
        <f>(Reference!$B$10-X82)*((SWITCH(Summary!$K$26, "Calculated", Q82, "Manual entries", I82)) - S82)</f>
        <v>0</v>
      </c>
      <c r="Z82" s="209">
        <f t="shared" si="6"/>
        <v>0</v>
      </c>
      <c r="AA82" s="211">
        <f t="shared" si="7"/>
        <v>0</v>
      </c>
    </row>
    <row r="83">
      <c r="G83" s="92"/>
      <c r="I83" s="110"/>
      <c r="K83" s="110"/>
      <c r="S83" s="110"/>
      <c r="V83" s="110"/>
      <c r="X83" s="110"/>
    </row>
    <row r="84">
      <c r="A84" s="212"/>
      <c r="B84" s="92"/>
      <c r="C84" s="92"/>
      <c r="D84" s="213">
        <f>SUM(D5:D82)</f>
        <v>0</v>
      </c>
      <c r="E84" s="92"/>
      <c r="F84" s="92"/>
      <c r="G84" s="294">
        <f t="shared" ref="G84:H84" si="8">SUM(G3:G82)</f>
        <v>0</v>
      </c>
      <c r="H84" s="215">
        <f t="shared" si="8"/>
        <v>0</v>
      </c>
      <c r="I84" s="295">
        <f>SUM(I5:I82)</f>
        <v>0</v>
      </c>
      <c r="J84" s="92">
        <f>COUNTIF(J5:J82, TRUE)</f>
        <v>0</v>
      </c>
      <c r="K84" s="117">
        <f t="shared" ref="K84:L84" si="9">SUM(K5:K82)</f>
        <v>0</v>
      </c>
      <c r="L84" s="215">
        <f t="shared" si="9"/>
        <v>0</v>
      </c>
      <c r="M84" s="92"/>
      <c r="N84" s="92"/>
      <c r="O84" s="92"/>
      <c r="P84" s="218"/>
      <c r="Q84" s="218">
        <f t="shared" ref="Q84:W84" si="10">SUM(Q5:Q82)</f>
        <v>0</v>
      </c>
      <c r="R84" s="215">
        <f t="shared" si="10"/>
        <v>0</v>
      </c>
      <c r="S84" s="296">
        <f t="shared" si="10"/>
        <v>0</v>
      </c>
      <c r="T84" s="220">
        <f t="shared" si="10"/>
        <v>0</v>
      </c>
      <c r="U84" s="215">
        <f t="shared" si="10"/>
        <v>0</v>
      </c>
      <c r="V84" s="221">
        <f t="shared" si="10"/>
        <v>0</v>
      </c>
      <c r="W84" s="220">
        <f t="shared" si="10"/>
        <v>0</v>
      </c>
      <c r="X84" s="212"/>
      <c r="Y84" s="91">
        <f t="shared" ref="Y84:AA84" si="11">SUM(Y5:Y82)</f>
        <v>0</v>
      </c>
      <c r="Z84" s="91">
        <f t="shared" si="11"/>
        <v>0</v>
      </c>
      <c r="AA84" s="93">
        <f t="shared" si="11"/>
        <v>0</v>
      </c>
    </row>
  </sheetData>
  <mergeCells count="15">
    <mergeCell ref="B3:E3"/>
    <mergeCell ref="G3:H3"/>
    <mergeCell ref="K3:L3"/>
    <mergeCell ref="M3:N3"/>
    <mergeCell ref="O3:P3"/>
    <mergeCell ref="T3:U3"/>
    <mergeCell ref="V3:W3"/>
    <mergeCell ref="X3:AA3"/>
    <mergeCell ref="A1:J1"/>
    <mergeCell ref="K1:AA1"/>
    <mergeCell ref="A2:H2"/>
    <mergeCell ref="I2:J2"/>
    <mergeCell ref="K2:R2"/>
    <mergeCell ref="T2:W2"/>
    <mergeCell ref="X2:AA2"/>
  </mergeCells>
  <conditionalFormatting sqref="I5:I82">
    <cfRule type="cellIs" dxfId="4" priority="1" operator="notEqual">
      <formula>ROUND(Q5,3)</formula>
    </cfRule>
  </conditionalFormatting>
  <conditionalFormatting sqref="U5:U82">
    <cfRule type="cellIs" dxfId="5" priority="2" operator="notEqual">
      <formula>K5</formula>
    </cfRule>
  </conditionalFormatting>
  <conditionalFormatting sqref="T5:T82">
    <cfRule type="cellIs" dxfId="6" priority="3" operator="equal">
      <formula>0</formula>
    </cfRule>
  </conditionalFormatting>
  <conditionalFormatting sqref="F40">
    <cfRule type="notContainsBlanks" dxfId="3" priority="4">
      <formula>LEN(TRIM(F40))&gt;0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14.75"/>
    <col customWidth="1" min="4" max="4" width="15.0"/>
  </cols>
  <sheetData>
    <row r="1">
      <c r="A1" s="53" t="s">
        <v>167</v>
      </c>
      <c r="B1" s="53"/>
      <c r="C1" s="2"/>
      <c r="D1" s="2"/>
      <c r="E1" s="2"/>
      <c r="F1" s="2"/>
      <c r="G1" s="2"/>
      <c r="H1" s="2"/>
      <c r="I1" s="2"/>
      <c r="J1" s="2"/>
      <c r="K1" s="2"/>
    </row>
    <row r="2">
      <c r="A2" s="53"/>
      <c r="B2" s="53"/>
      <c r="C2" s="2"/>
      <c r="D2" s="2"/>
      <c r="E2" s="2"/>
      <c r="F2" s="2"/>
      <c r="G2" s="2"/>
      <c r="H2" s="2"/>
      <c r="I2" s="2"/>
      <c r="J2" s="2"/>
      <c r="K2" s="2"/>
    </row>
    <row r="3">
      <c r="A3" s="53" t="s">
        <v>168</v>
      </c>
      <c r="B3" s="297">
        <v>142.5</v>
      </c>
      <c r="C3" s="2"/>
      <c r="D3" s="53" t="s">
        <v>169</v>
      </c>
      <c r="E3" s="298">
        <f>B3*B4 + B18*B5*B6</f>
        <v>142.5</v>
      </c>
      <c r="F3" s="2"/>
      <c r="G3" s="2"/>
      <c r="H3" s="2"/>
      <c r="I3" s="2"/>
      <c r="J3" s="2"/>
      <c r="K3" s="2"/>
    </row>
    <row r="4">
      <c r="A4" s="53" t="s">
        <v>170</v>
      </c>
      <c r="B4" s="299">
        <f>iferror(Summary!B25/(Summary!B25+Summary!B26),1)</f>
        <v>1</v>
      </c>
      <c r="C4" s="36"/>
      <c r="D4" s="36"/>
      <c r="E4" s="36"/>
      <c r="F4" s="36"/>
      <c r="G4" s="36"/>
      <c r="H4" s="36"/>
      <c r="I4" s="2"/>
      <c r="J4" s="2"/>
      <c r="K4" s="2"/>
    </row>
    <row r="5">
      <c r="A5" s="53" t="s">
        <v>171</v>
      </c>
      <c r="B5" s="299">
        <f>iferror(Summary!B26/(Summary!B26+Summary!B25),0)</f>
        <v>0</v>
      </c>
      <c r="C5" s="53"/>
      <c r="D5" s="53"/>
      <c r="E5" s="53"/>
      <c r="F5" s="53"/>
      <c r="G5" s="53"/>
      <c r="H5" s="53"/>
      <c r="I5" s="2"/>
      <c r="J5" s="2"/>
      <c r="K5" s="2"/>
    </row>
    <row r="6">
      <c r="A6" s="53" t="s">
        <v>172</v>
      </c>
      <c r="B6" s="297">
        <v>0.252</v>
      </c>
      <c r="C6" s="53"/>
      <c r="D6" s="53"/>
      <c r="E6" s="53"/>
      <c r="F6" s="53"/>
      <c r="G6" s="53"/>
      <c r="H6" s="53"/>
      <c r="I6" s="2"/>
      <c r="J6" s="2"/>
      <c r="K6" s="2"/>
    </row>
    <row r="7">
      <c r="A7" s="53"/>
      <c r="B7" s="53"/>
      <c r="C7" s="53"/>
      <c r="D7" s="53"/>
      <c r="E7" s="53"/>
      <c r="F7" s="53"/>
      <c r="G7" s="53"/>
      <c r="H7" s="53"/>
      <c r="I7" s="2"/>
      <c r="J7" s="2"/>
      <c r="K7" s="2"/>
    </row>
    <row r="8">
      <c r="A8" s="53" t="s">
        <v>173</v>
      </c>
      <c r="B8" s="300">
        <v>0.2</v>
      </c>
      <c r="C8" s="53"/>
      <c r="D8" s="53"/>
      <c r="E8" s="53"/>
      <c r="F8" s="53"/>
      <c r="G8" s="53"/>
      <c r="H8" s="53"/>
      <c r="I8" s="2"/>
      <c r="J8" s="2"/>
      <c r="K8" s="2"/>
    </row>
    <row r="9">
      <c r="A9" s="2"/>
      <c r="B9" s="2"/>
      <c r="C9" s="2"/>
      <c r="D9" s="2"/>
      <c r="E9" s="2"/>
      <c r="F9" s="2"/>
      <c r="G9" s="2"/>
      <c r="H9" s="2"/>
      <c r="I9" s="2"/>
      <c r="J9" s="2"/>
      <c r="K9" s="2"/>
    </row>
    <row r="10">
      <c r="A10" s="3" t="s">
        <v>174</v>
      </c>
      <c r="B10" s="301">
        <f>IFERROR(__xludf.DUMMYFUNCTION("GOOGLEFINANCE(""AVGO"")"),1245.48)</f>
        <v>1245.48</v>
      </c>
      <c r="C10" s="2"/>
      <c r="D10" s="2"/>
      <c r="E10" s="2"/>
      <c r="F10" s="2"/>
      <c r="G10" s="2"/>
      <c r="H10" s="2"/>
      <c r="I10" s="2"/>
      <c r="J10" s="2"/>
      <c r="K10" s="2"/>
    </row>
    <row r="11">
      <c r="A11" s="2"/>
      <c r="B11" s="2"/>
      <c r="C11" s="2"/>
      <c r="D11" s="2"/>
      <c r="E11" s="2"/>
      <c r="F11" s="2"/>
      <c r="G11" s="2"/>
      <c r="H11" s="2"/>
      <c r="I11" s="2"/>
      <c r="J11" s="2"/>
      <c r="K11" s="2"/>
    </row>
    <row r="12">
      <c r="A12" s="302" t="s">
        <v>175</v>
      </c>
      <c r="B12" s="2"/>
      <c r="C12" s="2"/>
      <c r="D12" s="2"/>
      <c r="E12" s="2"/>
      <c r="F12" s="2"/>
      <c r="G12" s="2"/>
      <c r="H12" s="2"/>
      <c r="I12" s="2"/>
      <c r="J12" s="2"/>
      <c r="K12" s="2"/>
    </row>
    <row r="13">
      <c r="A13" s="302" t="s">
        <v>176</v>
      </c>
      <c r="B13" s="297">
        <v>981.2</v>
      </c>
      <c r="C13" s="2"/>
      <c r="D13" s="2"/>
      <c r="E13" s="2"/>
      <c r="F13" s="2"/>
      <c r="G13" s="2"/>
      <c r="H13" s="2"/>
      <c r="I13" s="2"/>
      <c r="J13" s="2"/>
      <c r="K13" s="2"/>
    </row>
    <row r="14">
      <c r="A14" s="302" t="s">
        <v>47</v>
      </c>
      <c r="B14" s="297">
        <v>979.5</v>
      </c>
      <c r="C14" s="2"/>
      <c r="D14" s="2"/>
      <c r="E14" s="2"/>
      <c r="F14" s="2"/>
      <c r="G14" s="2"/>
      <c r="H14" s="2"/>
      <c r="I14" s="2"/>
      <c r="J14" s="2"/>
      <c r="K14" s="2"/>
    </row>
    <row r="15">
      <c r="A15" s="2"/>
      <c r="B15" s="2"/>
      <c r="C15" s="2"/>
      <c r="D15" s="2"/>
      <c r="E15" s="2"/>
      <c r="F15" s="2"/>
      <c r="G15" s="2"/>
      <c r="H15" s="2"/>
      <c r="I15" s="2"/>
      <c r="J15" s="2"/>
      <c r="K15" s="2"/>
    </row>
    <row r="16">
      <c r="A16" s="302" t="s">
        <v>177</v>
      </c>
      <c r="B16" s="297">
        <v>987.99</v>
      </c>
      <c r="C16" s="2"/>
      <c r="D16" s="2"/>
      <c r="E16" s="2"/>
      <c r="F16" s="2"/>
      <c r="G16" s="2"/>
      <c r="H16" s="2"/>
      <c r="I16" s="2"/>
      <c r="J16" s="2"/>
      <c r="K16" s="2"/>
    </row>
    <row r="17">
      <c r="A17" s="302" t="s">
        <v>178</v>
      </c>
      <c r="B17" s="297">
        <v>971.0</v>
      </c>
      <c r="C17" s="2"/>
      <c r="D17" s="2"/>
      <c r="E17" s="2"/>
      <c r="F17" s="2"/>
      <c r="G17" s="2"/>
      <c r="H17" s="2"/>
      <c r="I17" s="2"/>
      <c r="J17" s="2"/>
      <c r="K17" s="2"/>
    </row>
    <row r="18">
      <c r="A18" s="303" t="s">
        <v>40</v>
      </c>
      <c r="B18" s="304">
        <f>SWITCH(Summary!K25,"Close",B13,"Mean",B14,"High",B16, "Low",B17, "Custom",Summary!M25)</f>
        <v>979.5</v>
      </c>
      <c r="C18" s="2"/>
      <c r="D18" s="2"/>
      <c r="E18" s="2"/>
      <c r="F18" s="2"/>
      <c r="G18" s="2"/>
      <c r="H18" s="2"/>
      <c r="I18" s="2"/>
      <c r="J18" s="2"/>
      <c r="K18" s="2"/>
    </row>
    <row r="19">
      <c r="A19" s="53"/>
      <c r="B19" s="2"/>
      <c r="C19" s="2"/>
      <c r="D19" s="2"/>
      <c r="E19" s="2"/>
      <c r="F19" s="2"/>
      <c r="G19" s="2"/>
      <c r="H19" s="2"/>
      <c r="I19" s="2"/>
      <c r="J19" s="2"/>
      <c r="K19" s="2"/>
    </row>
    <row r="20">
      <c r="A20" s="3" t="s">
        <v>179</v>
      </c>
      <c r="B20" s="53"/>
      <c r="C20" s="2"/>
      <c r="D20" s="2"/>
      <c r="E20" s="2"/>
      <c r="F20" s="2"/>
      <c r="G20" s="2"/>
      <c r="H20" s="2"/>
      <c r="I20" s="2"/>
      <c r="J20" s="2"/>
      <c r="K20" s="2"/>
    </row>
    <row r="21">
      <c r="A21" s="3" t="s">
        <v>60</v>
      </c>
      <c r="B21" s="305">
        <v>904.79</v>
      </c>
      <c r="C21" s="2"/>
      <c r="D21" s="2"/>
      <c r="E21" s="2"/>
      <c r="F21" s="2"/>
      <c r="G21" s="2"/>
      <c r="H21" s="2"/>
      <c r="I21" s="2"/>
      <c r="J21" s="2"/>
      <c r="K21" s="2"/>
    </row>
    <row r="22">
      <c r="A22" s="3" t="s">
        <v>180</v>
      </c>
      <c r="B22" s="297">
        <v>981.2</v>
      </c>
      <c r="C22" s="2"/>
      <c r="D22" s="2"/>
      <c r="E22" s="2"/>
      <c r="F22" s="2"/>
      <c r="G22" s="2"/>
      <c r="H22" s="2"/>
      <c r="I22" s="2"/>
      <c r="J22" s="2"/>
      <c r="K22" s="2"/>
    </row>
    <row r="23">
      <c r="A23" s="303" t="s">
        <v>40</v>
      </c>
      <c r="B23" s="306">
        <f>SWITCH(Summary!K28,"eTrade",B21,"Form 8937",B22,"Custom",Summary!M28)</f>
        <v>904.79</v>
      </c>
      <c r="C23" s="2"/>
      <c r="D23" s="2"/>
      <c r="E23" s="2"/>
      <c r="F23" s="2"/>
      <c r="G23" s="2"/>
      <c r="H23" s="2"/>
      <c r="I23" s="2"/>
      <c r="J23" s="2"/>
      <c r="K23" s="2"/>
    </row>
    <row r="24">
      <c r="A24" s="2"/>
      <c r="B24" s="2"/>
      <c r="C24" s="53"/>
      <c r="D24" s="2"/>
      <c r="E24" s="2"/>
      <c r="F24" s="2"/>
      <c r="G24" s="2"/>
      <c r="H24" s="2"/>
      <c r="I24" s="2"/>
      <c r="J24" s="2"/>
      <c r="K24" s="2"/>
    </row>
    <row r="25">
      <c r="A25" s="3" t="s">
        <v>181</v>
      </c>
      <c r="B25" s="307"/>
      <c r="C25" s="3" t="s">
        <v>182</v>
      </c>
      <c r="D25" s="2"/>
      <c r="E25" s="2"/>
      <c r="F25" s="2"/>
      <c r="G25" s="2"/>
      <c r="H25" s="2"/>
      <c r="I25" s="2"/>
      <c r="J25" s="2"/>
      <c r="K25" s="2"/>
    </row>
    <row r="26">
      <c r="A26" s="53" t="s">
        <v>183</v>
      </c>
      <c r="B26" s="308">
        <v>43461.0</v>
      </c>
      <c r="C26" s="297">
        <v>10.18</v>
      </c>
      <c r="D26" s="2"/>
      <c r="E26" s="2"/>
      <c r="F26" s="2"/>
      <c r="G26" s="2"/>
      <c r="H26" s="2"/>
      <c r="I26" s="2"/>
      <c r="J26" s="2"/>
      <c r="K26" s="2"/>
    </row>
    <row r="27">
      <c r="A27" s="53" t="s">
        <v>183</v>
      </c>
      <c r="B27" s="308">
        <v>44498.0</v>
      </c>
      <c r="C27" s="297">
        <v>16.87</v>
      </c>
      <c r="D27" s="2"/>
      <c r="E27" s="53"/>
      <c r="F27" s="53"/>
      <c r="G27" s="53"/>
      <c r="H27" s="2"/>
      <c r="I27" s="2"/>
      <c r="J27" s="2"/>
      <c r="K27" s="2"/>
    </row>
    <row r="28">
      <c r="A28" s="53" t="s">
        <v>184</v>
      </c>
      <c r="B28" s="308">
        <v>45252.0</v>
      </c>
      <c r="C28" s="2"/>
      <c r="D28" s="2"/>
      <c r="E28" s="2"/>
      <c r="F28" s="2"/>
      <c r="G28" s="2"/>
      <c r="H28" s="2"/>
      <c r="I28" s="2"/>
      <c r="J28" s="2"/>
      <c r="K28" s="2"/>
    </row>
    <row r="29">
      <c r="A29" s="53" t="s">
        <v>185</v>
      </c>
      <c r="B29" s="309">
        <f>TODAY()</f>
        <v>45340</v>
      </c>
      <c r="C29" s="3"/>
      <c r="D29" s="3"/>
      <c r="E29" s="3"/>
      <c r="F29" s="3"/>
      <c r="G29" s="3"/>
      <c r="H29" s="2"/>
      <c r="I29" s="2"/>
      <c r="J29" s="2"/>
      <c r="K29" s="2"/>
    </row>
    <row r="30">
      <c r="A30" s="3"/>
      <c r="B30" s="310"/>
      <c r="C30" s="2"/>
      <c r="D30" s="2"/>
      <c r="E30" s="2"/>
      <c r="F30" s="53"/>
      <c r="G30" s="53"/>
      <c r="H30" s="2"/>
      <c r="I30" s="2"/>
      <c r="J30" s="2"/>
      <c r="K30" s="2"/>
    </row>
    <row r="31">
      <c r="A31" s="3" t="s">
        <v>55</v>
      </c>
      <c r="B31" s="311">
        <f>SWITCH(Summary!K27,"Derived from calculated values",ESPP!O26+RSU!K84,"Derived from manual entries",ESPP!P26+RSU!L84)</f>
        <v>0</v>
      </c>
      <c r="C31" s="312"/>
      <c r="D31" s="312"/>
      <c r="E31" s="53"/>
      <c r="F31" s="53"/>
      <c r="G31" s="53"/>
      <c r="H31" s="2"/>
      <c r="I31" s="2"/>
      <c r="J31" s="2"/>
      <c r="K31" s="2"/>
    </row>
    <row r="32">
      <c r="A32" s="3" t="s">
        <v>186</v>
      </c>
      <c r="B32" s="313">
        <f>Summary!K34+Summary!K32+Summary!G26+ESPP!Y26+RSU!V84</f>
        <v>0</v>
      </c>
      <c r="C32" s="312"/>
      <c r="D32" s="312"/>
      <c r="E32" s="53"/>
      <c r="F32" s="53"/>
      <c r="G32" s="53"/>
      <c r="H32" s="2"/>
      <c r="I32" s="2"/>
      <c r="J32" s="2"/>
      <c r="K32" s="2"/>
    </row>
    <row r="33">
      <c r="A33" s="3" t="s">
        <v>187</v>
      </c>
      <c r="B33" s="313">
        <f>ESPP!Z26+RSU!W84</f>
        <v>0</v>
      </c>
      <c r="C33" s="312"/>
      <c r="D33" s="312"/>
      <c r="E33" s="53"/>
      <c r="F33" s="53"/>
      <c r="G33" s="53"/>
      <c r="H33" s="2"/>
      <c r="I33" s="2"/>
      <c r="J33" s="2"/>
      <c r="K33" s="2"/>
    </row>
    <row r="34">
      <c r="A34" s="53"/>
      <c r="B34" s="314"/>
      <c r="C34" s="312"/>
      <c r="D34" s="312"/>
      <c r="E34" s="53"/>
      <c r="F34" s="53"/>
      <c r="G34" s="53"/>
      <c r="H34" s="2"/>
      <c r="I34" s="2"/>
      <c r="J34" s="2"/>
      <c r="K34" s="2"/>
    </row>
    <row r="35">
      <c r="A35" s="53"/>
      <c r="B35" s="315" t="s">
        <v>71</v>
      </c>
      <c r="C35" s="67" t="s">
        <v>188</v>
      </c>
      <c r="D35" s="67" t="s">
        <v>189</v>
      </c>
      <c r="E35" s="53"/>
      <c r="F35" s="53"/>
      <c r="G35" s="53"/>
      <c r="H35" s="2"/>
      <c r="I35" s="2"/>
      <c r="J35" s="2"/>
      <c r="K35" s="2"/>
    </row>
    <row r="36">
      <c r="A36" s="3" t="s">
        <v>190</v>
      </c>
      <c r="B36" s="316">
        <v>13850.0</v>
      </c>
      <c r="C36" s="316">
        <v>27700.0</v>
      </c>
      <c r="D36" s="316">
        <v>20800.0</v>
      </c>
      <c r="E36" s="53"/>
      <c r="F36" s="53"/>
      <c r="G36" s="53"/>
      <c r="H36" s="2"/>
      <c r="I36" s="2"/>
      <c r="J36" s="2"/>
      <c r="K36" s="2"/>
    </row>
    <row r="37">
      <c r="A37" s="2"/>
      <c r="B37" s="2"/>
      <c r="C37" s="2"/>
      <c r="D37" s="2"/>
      <c r="E37" s="2"/>
      <c r="F37" s="2"/>
      <c r="G37" s="2"/>
      <c r="H37" s="2"/>
      <c r="I37" s="2"/>
      <c r="J37" s="2"/>
      <c r="K37" s="2"/>
    </row>
    <row r="38">
      <c r="A38" s="3" t="s">
        <v>191</v>
      </c>
      <c r="B38" s="317">
        <v>0.0</v>
      </c>
      <c r="C38" s="317">
        <v>0.15</v>
      </c>
      <c r="D38" s="317">
        <v>0.2</v>
      </c>
      <c r="E38" s="2"/>
      <c r="F38" s="2"/>
      <c r="G38" s="2"/>
      <c r="H38" s="2"/>
      <c r="I38" s="2"/>
      <c r="J38" s="2"/>
      <c r="K38" s="2"/>
    </row>
    <row r="39">
      <c r="A39" s="3" t="s">
        <v>71</v>
      </c>
      <c r="B39" s="301">
        <v>0.0</v>
      </c>
      <c r="C39" s="301">
        <v>44625.0</v>
      </c>
      <c r="D39" s="301">
        <v>492300.0</v>
      </c>
      <c r="E39" s="2"/>
      <c r="F39" s="2"/>
      <c r="G39" s="2"/>
      <c r="H39" s="2"/>
      <c r="I39" s="2"/>
      <c r="J39" s="2"/>
      <c r="K39" s="2"/>
    </row>
    <row r="40">
      <c r="A40" s="3" t="s">
        <v>188</v>
      </c>
      <c r="B40" s="301">
        <v>0.0</v>
      </c>
      <c r="C40" s="301">
        <v>89250.0</v>
      </c>
      <c r="D40" s="301">
        <v>553850.0</v>
      </c>
      <c r="E40" s="2"/>
      <c r="F40" s="2"/>
      <c r="G40" s="2"/>
      <c r="H40" s="2"/>
      <c r="I40" s="2"/>
      <c r="J40" s="2"/>
      <c r="K40" s="2"/>
    </row>
    <row r="41">
      <c r="A41" s="3" t="s">
        <v>189</v>
      </c>
      <c r="B41" s="301">
        <v>0.0</v>
      </c>
      <c r="C41" s="301">
        <v>59750.0</v>
      </c>
      <c r="D41" s="301">
        <v>523050.0</v>
      </c>
      <c r="E41" s="2"/>
      <c r="F41" s="2"/>
      <c r="G41" s="2"/>
      <c r="H41" s="2"/>
      <c r="I41" s="2"/>
      <c r="J41" s="2"/>
      <c r="K41" s="2"/>
    </row>
    <row r="42">
      <c r="A42" s="53" t="s">
        <v>40</v>
      </c>
      <c r="B42" s="318">
        <f>SWITCH(Summary!$K$35,"Single",B39,"Joint",B40,"Head of household",B41)</f>
        <v>0</v>
      </c>
      <c r="C42" s="318">
        <f>SWITCH(Summary!$K$35,"Single",C39,"Joint",C40,"Head of household",C41)</f>
        <v>44625</v>
      </c>
      <c r="D42" s="318">
        <f>SWITCH(Summary!$K$35,"Single",D39,"Joint",D40,"Head of household",D41)</f>
        <v>492300</v>
      </c>
      <c r="E42" s="2"/>
      <c r="F42" s="2"/>
      <c r="G42" s="2"/>
      <c r="H42" s="2"/>
      <c r="I42" s="2"/>
      <c r="J42" s="2"/>
      <c r="K42" s="2"/>
    </row>
    <row r="43">
      <c r="A43" s="2"/>
      <c r="B43" s="2"/>
      <c r="C43" s="2"/>
      <c r="D43" s="2"/>
      <c r="E43" s="2"/>
      <c r="F43" s="2"/>
      <c r="G43" s="2"/>
      <c r="H43" s="2"/>
      <c r="I43" s="2"/>
      <c r="J43" s="2"/>
      <c r="K43" s="2"/>
    </row>
    <row r="44">
      <c r="A44" s="3" t="s">
        <v>192</v>
      </c>
      <c r="B44" s="319">
        <f>LET(agi,B32+B33,if(agi&lt;C42,0%,if(agi&lt;D42,15%,20%)))</f>
        <v>0</v>
      </c>
      <c r="C44" s="2"/>
      <c r="D44" s="2"/>
      <c r="E44" s="2"/>
      <c r="F44" s="2"/>
      <c r="G44" s="2"/>
      <c r="H44" s="2"/>
      <c r="I44" s="2"/>
      <c r="J44" s="2"/>
      <c r="K44" s="2"/>
    </row>
    <row r="45">
      <c r="A45" s="2"/>
      <c r="B45" s="2"/>
      <c r="C45" s="2"/>
      <c r="D45" s="2"/>
      <c r="E45" s="2"/>
      <c r="F45" s="2"/>
      <c r="G45" s="2"/>
      <c r="H45" s="2"/>
      <c r="I45" s="2"/>
      <c r="J45" s="2"/>
      <c r="K45" s="2"/>
    </row>
    <row r="46">
      <c r="A46" s="3" t="s">
        <v>193</v>
      </c>
      <c r="B46" s="317">
        <v>0.1</v>
      </c>
      <c r="C46" s="317">
        <v>0.12</v>
      </c>
      <c r="D46" s="317">
        <v>0.22</v>
      </c>
      <c r="E46" s="317">
        <v>0.24</v>
      </c>
      <c r="F46" s="317">
        <v>0.32</v>
      </c>
      <c r="G46" s="317">
        <v>0.35</v>
      </c>
      <c r="H46" s="317">
        <v>0.37</v>
      </c>
      <c r="I46" s="2"/>
      <c r="J46" s="2"/>
      <c r="K46" s="2"/>
    </row>
    <row r="47">
      <c r="A47" s="3" t="s">
        <v>71</v>
      </c>
      <c r="B47" s="301">
        <v>0.0</v>
      </c>
      <c r="C47" s="301">
        <v>11000.0</v>
      </c>
      <c r="D47" s="301">
        <v>44725.0</v>
      </c>
      <c r="E47" s="301">
        <v>95375.0</v>
      </c>
      <c r="F47" s="301">
        <v>182100.0</v>
      </c>
      <c r="G47" s="301">
        <v>231250.0</v>
      </c>
      <c r="H47" s="301">
        <v>578125.0</v>
      </c>
      <c r="I47" s="2"/>
      <c r="J47" s="2"/>
      <c r="K47" s="2"/>
    </row>
    <row r="48">
      <c r="A48" s="3" t="s">
        <v>188</v>
      </c>
      <c r="B48" s="301">
        <v>0.0</v>
      </c>
      <c r="C48" s="301">
        <v>22000.0</v>
      </c>
      <c r="D48" s="301">
        <v>89450.0</v>
      </c>
      <c r="E48" s="301">
        <v>190750.0</v>
      </c>
      <c r="F48" s="301">
        <v>364200.0</v>
      </c>
      <c r="G48" s="301">
        <v>462500.0</v>
      </c>
      <c r="H48" s="301">
        <v>693750.0</v>
      </c>
      <c r="I48" s="2"/>
      <c r="J48" s="2"/>
      <c r="K48" s="2"/>
    </row>
    <row r="49">
      <c r="A49" s="53" t="s">
        <v>40</v>
      </c>
      <c r="B49" s="320">
        <f>SWITCH(Summary!$K$35,"Single",B47,"Head of household",B47,"Joint",B48)</f>
        <v>0</v>
      </c>
      <c r="C49" s="320">
        <f>SWITCH(Summary!$K$35,"Single",C47,"Head of household",C47,"Joint",C48)</f>
        <v>11000</v>
      </c>
      <c r="D49" s="320">
        <f>SWITCH(Summary!$K$35,"Single",D47,"Head of household",D47,"Joint",D48)</f>
        <v>44725</v>
      </c>
      <c r="E49" s="320">
        <f>SWITCH(Summary!$K$35,"Single",E47,"Head of household",E47,"Joint",E48)</f>
        <v>95375</v>
      </c>
      <c r="F49" s="320">
        <f>SWITCH(Summary!$K$35,"Single",F47,"Head of household",F47,"Joint",F48)</f>
        <v>182100</v>
      </c>
      <c r="G49" s="320">
        <f>SWITCH(Summary!$K$35,"Single",G47,"Head of household",G47,"Joint",G48)</f>
        <v>231250</v>
      </c>
      <c r="H49" s="320">
        <f>SWITCH(Summary!$K$35,"Single",H47,"Head of household",H47,"Joint",H48)</f>
        <v>578125</v>
      </c>
      <c r="I49" s="2"/>
      <c r="J49" s="2"/>
      <c r="K49" s="2"/>
    </row>
    <row r="50">
      <c r="A50" s="3"/>
      <c r="B50" s="36"/>
      <c r="C50" s="3"/>
      <c r="D50" s="3"/>
      <c r="E50" s="3"/>
      <c r="F50" s="53"/>
      <c r="G50" s="2"/>
      <c r="H50" s="2"/>
      <c r="I50" s="2"/>
      <c r="J50" s="2"/>
      <c r="K50" s="2"/>
    </row>
    <row r="51">
      <c r="A51" s="3" t="s">
        <v>194</v>
      </c>
      <c r="B51" s="321">
        <v>0.01</v>
      </c>
      <c r="C51" s="317">
        <v>0.02</v>
      </c>
      <c r="D51" s="317">
        <v>0.04</v>
      </c>
      <c r="E51" s="317">
        <v>0.06</v>
      </c>
      <c r="F51" s="322">
        <v>0.08</v>
      </c>
      <c r="G51" s="317">
        <v>0.093</v>
      </c>
      <c r="H51" s="317">
        <v>0.103</v>
      </c>
      <c r="I51" s="317">
        <v>0.113</v>
      </c>
      <c r="J51" s="317">
        <v>0.123</v>
      </c>
      <c r="K51" s="317">
        <v>0.133</v>
      </c>
    </row>
    <row r="52">
      <c r="A52" s="3" t="s">
        <v>71</v>
      </c>
      <c r="B52" s="320">
        <v>0.0</v>
      </c>
      <c r="C52" s="301">
        <v>10412.0</v>
      </c>
      <c r="D52" s="301">
        <v>24684.0</v>
      </c>
      <c r="E52" s="301">
        <v>38959.0</v>
      </c>
      <c r="F52" s="301">
        <v>54081.0</v>
      </c>
      <c r="G52" s="323">
        <v>68350.0</v>
      </c>
      <c r="H52" s="301">
        <v>349137.0</v>
      </c>
      <c r="I52" s="301">
        <v>418961.0</v>
      </c>
      <c r="J52" s="301">
        <v>698271.0</v>
      </c>
      <c r="K52" s="301">
        <v>1000000.0</v>
      </c>
    </row>
    <row r="53">
      <c r="A53" s="3" t="s">
        <v>188</v>
      </c>
      <c r="B53" s="320">
        <v>0.0</v>
      </c>
      <c r="C53" s="301">
        <v>20824.0</v>
      </c>
      <c r="D53" s="301">
        <v>49368.0</v>
      </c>
      <c r="E53" s="301">
        <v>77918.0</v>
      </c>
      <c r="F53" s="323">
        <v>108162.0</v>
      </c>
      <c r="G53" s="301">
        <v>136700.0</v>
      </c>
      <c r="H53" s="301">
        <v>698274.0</v>
      </c>
      <c r="I53" s="301">
        <v>837922.0</v>
      </c>
      <c r="J53" s="301">
        <v>1396542.0</v>
      </c>
      <c r="K53" s="301">
        <v>2000000.0</v>
      </c>
    </row>
    <row r="54">
      <c r="A54" s="3" t="s">
        <v>189</v>
      </c>
      <c r="B54" s="320">
        <v>0.0</v>
      </c>
      <c r="C54" s="301">
        <v>20839.0</v>
      </c>
      <c r="D54" s="301">
        <v>49371.0</v>
      </c>
      <c r="E54" s="301">
        <v>63644.0</v>
      </c>
      <c r="F54" s="323">
        <v>78765.0</v>
      </c>
      <c r="G54" s="301">
        <v>93037.0</v>
      </c>
      <c r="H54" s="301">
        <v>474824.0</v>
      </c>
      <c r="I54" s="301">
        <v>569790.0</v>
      </c>
      <c r="J54" s="301">
        <v>949649.0</v>
      </c>
      <c r="K54" s="301">
        <v>1000000.0</v>
      </c>
    </row>
    <row r="55">
      <c r="A55" s="53" t="s">
        <v>40</v>
      </c>
      <c r="B55" s="320">
        <f>SWITCH(Summary!$K$35,"Single",B52,"Head of household",B54,"Joint",B53)</f>
        <v>0</v>
      </c>
      <c r="C55" s="320">
        <f>SWITCH(Summary!$K$35,"Single",C52,"Head of household",C54,"Joint",C53)</f>
        <v>10412</v>
      </c>
      <c r="D55" s="320">
        <f>SWITCH(Summary!$K$35,"Single",D52,"Head of household",D54,"Joint",D53)</f>
        <v>24684</v>
      </c>
      <c r="E55" s="320">
        <f>SWITCH(Summary!$K$35,"Single",E52,"Head of household",E54,"Joint",E53)</f>
        <v>38959</v>
      </c>
      <c r="F55" s="320">
        <f>SWITCH(Summary!$K$35,"Single",F52,"Head of household",F54,"Joint",F53)</f>
        <v>54081</v>
      </c>
      <c r="G55" s="320">
        <f>SWITCH(Summary!$K$35,"Single",G52,"Head of household",G54,"Joint",G53)</f>
        <v>68350</v>
      </c>
      <c r="H55" s="320">
        <f>SWITCH(Summary!$K$35,"Single",H52,"Head of household",H54,"Joint",H53)</f>
        <v>349137</v>
      </c>
      <c r="I55" s="320">
        <f>SWITCH(Summary!$K$35,"Single",I52,"Head of household",I54,"Joint",I53)</f>
        <v>418961</v>
      </c>
      <c r="J55" s="320">
        <f>SWITCH(Summary!$K$35,"Single",J52,"Head of household",J54,"Joint",J53)</f>
        <v>698271</v>
      </c>
      <c r="K55" s="320">
        <f>SWITCH(Summary!$K$35,"Single",K52,"Head of household",K54,"Joint",K53)</f>
        <v>1000000</v>
      </c>
    </row>
    <row r="56">
      <c r="A56" s="3"/>
      <c r="B56" s="62"/>
      <c r="C56" s="53"/>
      <c r="D56" s="2"/>
      <c r="E56" s="53"/>
      <c r="F56" s="324"/>
      <c r="G56" s="2"/>
      <c r="H56" s="2"/>
      <c r="I56" s="2"/>
      <c r="J56" s="2"/>
      <c r="K56" s="2"/>
    </row>
    <row r="57">
      <c r="A57" s="3" t="s">
        <v>195</v>
      </c>
      <c r="B57" s="313">
        <f>LET(income, B32 - Summary!L36, 
(0.1*(MIN(MAX(income-B49,0), C49-B49))) +
(0.12*(MIN(MAX(income-C49,0),D49-C49))) +
(0.22*(MIN(MAX(income-D49,0),E49-D49))) +
(0.24*(MIN(MAX(income-E49,0),F49-E49))) +
(0.32*(MIN(MAX(income-F49,0),G49-F49))) +
(0.35*(MIN(MAX(income-G49,0),H49-G49))) +
(0.37*MAX(income-H49,0)))</f>
        <v>0</v>
      </c>
      <c r="C57" s="53"/>
      <c r="D57" s="2"/>
      <c r="E57" s="53"/>
      <c r="F57" s="324"/>
      <c r="G57" s="2"/>
      <c r="H57" s="2"/>
      <c r="I57" s="2"/>
      <c r="J57" s="2"/>
      <c r="K57" s="2"/>
    </row>
    <row r="58">
      <c r="A58" s="3" t="s">
        <v>196</v>
      </c>
      <c r="B58" s="109">
        <f>B33*B44</f>
        <v>0</v>
      </c>
      <c r="C58" s="53"/>
      <c r="D58" s="2"/>
      <c r="E58" s="2"/>
      <c r="F58" s="324"/>
      <c r="G58" s="2"/>
      <c r="H58" s="2"/>
      <c r="I58" s="2"/>
      <c r="J58" s="2"/>
      <c r="K58" s="2"/>
    </row>
    <row r="59">
      <c r="A59" s="3" t="s">
        <v>197</v>
      </c>
      <c r="B59" s="109">
        <f>LET(income,B32+B33,
(0.01*(MIN(MAX(income,B55),C55-B55)))+
(0.02*(MIN(MAX(income-C55,0),D55-C55)))+
(0.04*(MIN(MAX(income-D55,0),E55-D55)))+
(0.06*(MIN(MAX(income-E55,0),F55-E55)))+
(0.08*(MIN(MAX(income-F55,0),G55-F55)))+
(0.093*(MIN(MAX(income-G55,0),H55-G55)))+
(0.103*(MIN(MAX(income-H55,0),I55-H55)))+
(0.113*(MIN(MAX(income-I55,0),J55-I55)))+
(0.123*(MIN(MAX(income-J55,0),K55-J55)))+
(0.133*MAX(income-K55,0)))</f>
        <v>0</v>
      </c>
      <c r="C59" s="53"/>
      <c r="D59" s="2"/>
      <c r="E59" s="2"/>
      <c r="F59" s="324"/>
      <c r="G59" s="2"/>
      <c r="H59" s="2"/>
      <c r="I59" s="2"/>
      <c r="J59" s="2"/>
      <c r="K59" s="2"/>
    </row>
  </sheetData>
  <drawing r:id="rId2"/>
  <legacyDrawing r:id="rId3"/>
</worksheet>
</file>