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amp; Instructions" sheetId="1" r:id="rId4"/>
    <sheet state="visible" name="ESPP" sheetId="2" r:id="rId5"/>
    <sheet state="visible" name="RSU" sheetId="3" r:id="rId6"/>
    <sheet state="visible" name="Reference"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B53">
      <text>
        <t xml:space="preserve">Does NOT currently factor deductions as they're different values from federal.
	-George Hicken</t>
      </text>
    </comment>
    <comment authorId="0" ref="G40">
      <text>
        <t xml:space="preserve">The only reason there'd be ordinary income here is if an ESPP was sold for the fraction.
If that happens then it's rolled into the Short Term Gain as it's a pain to track it separately purely for surfacing in this cell.
	-George Hicken</t>
      </text>
    </comment>
    <comment authorId="0" ref="C40">
      <text>
        <t xml:space="preserve">This is the cash value received for the fractional share. The Gain associated with that sale in rolled into the appropriate Long or Short term gain bucket.
	-George Hicken</t>
      </text>
    </comment>
    <comment authorId="0" ref="B40">
      <text>
        <t xml:space="preserve">This is what would have been deposited in your individual brokerage account or similar.
The Gains and the Fractional sale are the amounts you need to pay tax on.
	-George Hicken</t>
      </text>
    </comment>
    <comment authorId="0" ref="A51">
      <text>
        <t xml:space="preserve">This is calculated progressively using the 2023 thresholds
	-George Hicken</t>
      </text>
    </comment>
    <comment authorId="0" ref="M24">
      <text>
        <t xml:space="preserve">Present if you want to experiment with different values for these inputs.
	-George Hicken</t>
      </text>
    </comment>
    <comment authorId="0" ref="A4">
      <text>
        <t xml:space="preserve">Missing necessary info is likely to occur when you have an ESPP from prior to 2012 or an RSU vest date that I did not.
In those cases you should be able to extra this info from the confirmation docs.
	-George Hicken</t>
      </text>
    </comment>
    <comment authorId="0" ref="G42">
      <text>
        <t xml:space="preserve">This is the pending tax on ESPP discount. It will reach minimum after 2024-03-01
	-George Hicken</t>
      </text>
    </comment>
    <comment authorId="0" ref="A31">
      <text>
        <t xml:space="preserve">should match the calculated value of cash portion calculated from individual lot values
	-George Hicken</t>
      </text>
    </comment>
    <comment authorId="0" ref="A30">
      <text>
        <t xml:space="preserve">cash for fraction should match the calculated value derived from the individual lot entries.
This can only be automatically validated when the value used for fractional share sale in Tweaks is the eTrade value.
	-George Hicken</t>
      </text>
    </comment>
    <comment authorId="0" ref="A29">
      <text>
        <t xml:space="preserve">VMW quantities for cash vs conversion should sum to the total holding.
This can also be checked against the sum of column D in the ESPP &amp; RSU sheets
	-George Hicken</t>
      </text>
    </comment>
    <comment authorId="0" ref="A1">
      <text>
        <t xml:space="preserve">Type of share. Primarily of import because different handling of ESPP vs RSU means they go into different sections.
	-George Hicken
----
This is NOT the value in eTrade for this lot - it is the value in eTrade + the fractional share that was sold from this lot.
This is done to keep the rest of the sheet sane so there isn't an exception that applies to a single row.
	-George Hicken
----
These are not directly referenced by the tax calc. Instead the STG and LTG totals are used.
	-George Hicken
----
This is the gain from the sale of the fractional share. The amount of fractional share attributed to a lot is evenly spread over the lots selected to use.
In practice eTrade (for me) have used a single lot to sell the fraction, so to reflect that reality we should select only the lot etrade pulled from.
(sale price - lot basis) / number of shares from lot
	-George Hicken
----
This should be the same for everyone with the same date, but it's an input regardless.
	-George Hicken
----
Whether to use calculated value or value from etrade entered in cross-check column can be toggled using check box in summary section.
	-George Hicken
----
Providing the exact numbers of AVGO per lot received as per eTrade allows for a comparison with the number expected from the official calc.
I've observed slight variance on a per lot basis, which suggests etrade is rounding in interesting ways or not using the same ratio for all lots. This might be done to offset their initial rounding of the VMW share split between cash and AVOG where they ROUND to whole VMW shares. Speculative.
Regardless, the totals from etrade and the totals from the pure calc result in the same precise value for the fraction, and there's trivial differences in tax implications.
If you want to use the etrade value as primary there's a checkbox down in the summary to use the calc or not.
Cells are coloured to indicate when etrade values differ from the calculated amounts.
It's likely there's a single lot that will differ in both cases as etrade probably took the entire fractional share from a single lot.
	-George Hicken
----
This is the gain we're forced to realize aka the "Get cash, pay tax" rule.
Form 8937 allows for reporting gain of the lesser of the cash portion or the more involved calc in V (cash + FMV AVGO - basis),  which will apply if your basis was higher than the AVGO FMV received.
This column is the lesser of those two options. Where the value used is the more involved calc, the cell is coloured differently. This alternate calc will only apply if the basis was higher than the FMV received, aka was a loss.
	-George Hicken
----
Pulled from release confirmation docs. Purely informational reference info.
Used as input into "Tax paid on transfer" but that's also a purely informational column.
	-George Hicken
----
LTCG portion for the tax on the cash portion.
This is calculated based off the date of the acquisition.
	-George Hicken
----
Absent gain/loss info from elsewhere
	-George Hicken
----
This is absent gain/loss adjustments from elsewhere
	-George Hicken
----
This is income "to be taxed" not the amount of that tax.
Ordinary income (ESPP) or STG (RSU).
This is based on live date.
For ESPP tax on discount:
Qualified: hold for min of 2y past grant AND 1y past purchase
Qualified: 15% discount is taxed as ordinary income
Disqualified: delta between purchase price and FMV is taxed as ordinary income
Difference MAY appear on W2, but MUST appear on 1040.
	-George Hicken
----
Pulled from form 8937 - this is the value used by MS when running their tool.
I've previously used 981.20 as that was the closing price.
	-George Hicken
----
Closing value on day prior to acquisition completing
	-George Hicken
----
From etrade transaction log. Used to double check calc.
	-George Hicken
----
amount to be credited - calculated
	-George Hicken
----
Shows up in etrade transaction log as
"11/27/23	Reorganization	4573 CONTRA VMWARE, INC EXCHANGE FOR CASH"
	-George Hicken
----
amount credited - from etrade transaction log.
Used for double check of calculated value
	-George Hicken
----
12.3% on income over 677,275.00+
I think the forced gain almost all falls into that bucket.
Special extra bump for income over 1M
Using effective annual rate from https://smartasset.com/taxes/california-tax-calculator#ctePpQ0WiT on total earnings of 1,315,752 with 22500 401k
	-George Hicken
----
Should be the close price, but etrade fucked up, so look up actual sale price.
Sythesized from etrade transaction log as it doesn't record the actual sale price
	-George Hicken
----
conceptually, but need to look at transaction log to figure out when this actually happened.
	-George Hicken
----
Per Form 8937
Basis in VMW shares, reduced by cash consideration received, increased by gain recognized.
	-George Hicken
----
Using per-share basis.
This follows the calc in the Form 8937.
	-George Hicken
----
This row needs custom handling because of the fractional share portioning being taken from it.
	-George Hicken
----
Completely uncertain about this one.
This is the cost basis for the specific block of VMW, divided by conversion ratio.
	-George Hicken
----
Calculated (manual value transcribed in W)
	-George Hicken
----
The delta between purchase price and FMV on purchase data is recognized as income... does that impact tax basis?
I'm pretty certain it should because I'll be paying tax on the entire delta, so the basis should reset to the purchase date FMV.
	-George Hicken
----
I believe that this delta (0.944 of  share) is the fractional portion of the share part of the conversion.
	-George Hicken
----
Assumes no partial sale of tranches
	-George Hicken
----
This is the STG portion of the forced gain that incurs tax now.
ESPP discount is taxed at time of sale and this isn't a sale.
See "Pending ordinary income" (column AC currently) for the live future tax calc.
	-George Hicken
----
The 15% discount needs to be taxed on disbursement.
	-George Hicken
----
AVGO ratio * held shares rounded down.
Need to handle the fractional somewhere
	-George Hicken
----
Cost-bases for future sale.
Taxes are paid at time of assignment.
This resets the cost-bases to FMV on assignment date.
Determine whether, for ESPP, taxes are paid at time of assignment, and it's only the additional income tax for sale within 2y of grant that is liable at time of sale.
	-George Hicken
----
Cost basis at time of vest/purchase.
For ESPP we pay tax on the difference between Total Value and Acquisition Price.
For RSUs I've captured the withheld shares in this column, but it's not technical a price but a tax paid.
	-George Hicken
----
Totals from special dividends - qualified + unqualified.
	-George Hicken
----
used to calculate live results if still holding
	-George Hicken
----
Combined value of RSUs and ESPP on vest/award.
	-George Hicken
----
Dell spin off return-to-shareholders/dividend
	-George Hicken
----
Dell special dividend
	-George Hicken
----
Potential return if sold immediately and dropped into SP500 (ignoring fees).
Purely because I wanted to know how badly I'd messed up by distracted HODL.
	-George Hicken</t>
      </text>
    </comment>
  </commentList>
</comments>
</file>

<file path=xl/comments2.xml><?xml version="1.0" encoding="utf-8"?>
<comments xmlns:r="http://schemas.openxmlformats.org/officeDocument/2006/relationships" xmlns="http://schemas.openxmlformats.org/spreadsheetml/2006/main">
  <authors>
    <author/>
  </authors>
  <commentList>
    <comment authorId="0" ref="Z4">
      <text>
        <t xml:space="preserve">Cost basis on sale for disqualified ESPP includes the reported ordinary income.
See https://github.com/hickeng/financial/issues/15#issuecomment-1947700730
	-George Hicken</t>
      </text>
    </comment>
    <comment authorId="0" ref="R4">
      <text>
        <t xml:space="preserve">The cost basis is the actual price paid per share times the number of shares, plus the ordinary income.
	-George Hicken</t>
      </text>
    </comment>
    <comment authorId="0" ref="L12">
      <text>
        <t xml:space="preserve">Rounding started at this offering period.
	-George Hicken</t>
      </text>
    </comment>
    <comment authorId="0" ref="X4">
      <text>
        <t xml:space="preserve">This pulls in the ordinary income portion for the fractional share if associated with the lot.
	-George Hicken</t>
      </text>
    </comment>
    <comment authorId="0" ref="N3">
      <text>
        <t xml:space="preserve">If the fractional share should come out of a specific lot, or set of lots, check those lots here. If multiple are selected the sheet will spread the fraction equally over those lots, accounting for differences in cost-basis.
You REALLY don't want it to come out of an ESPP lot as that's a sale and will incur the ordinary income portion of tax shown in column AB.
For me, eTrade took the entire fraction from a single lot and I expect that's what happened for most people.
	-George Hicken</t>
      </text>
    </comment>
    <comment authorId="0" ref="M4">
      <text>
        <t xml:space="preserve">The quantities of converted shares from eTrade lots.
The colour of the cell will alter slightly if the value here does not equal the value calculated via AVGO ratio.
You can toggle whether to use this manual value or the calculated value in the Tweaks on the first Sheet.
	-George Hicken</t>
      </text>
    </comment>
    <comment authorId="0" ref="I5">
      <text>
        <t xml:space="preserve">Put the Previous Carry Forward form your earliest ESPP confirmation for shares you still own into this cell and it'll propagate down.
It doesn't matter that it's on a different row as it's only when you start purchasing shares that it'll have an effect.
Alternatively you can 0 those rows for which you don't have a purchase and enter your earliest Carry Forward into the precise row.
	-George Hicken</t>
      </text>
    </comment>
    <comment authorId="0" ref="D4">
      <text>
        <t xml:space="preserve">This is the value from "Shares Purchased" and NOT from "Total shares Purchased for Offering"
	-George Hicken</t>
      </text>
    </comment>
    <comment authorId="0" ref="AD4">
      <text>
        <t xml:space="preserve">There are no ESPP lots that don't qualify for LTG at acquisition. It's only the qualified/non-qualified for the discount that's to be determined by sale date.
	-George Hicken</t>
      </text>
    </comment>
  </commentList>
</comments>
</file>

<file path=xl/comments3.xml><?xml version="1.0" encoding="utf-8"?>
<comments xmlns:r="http://schemas.openxmlformats.org/officeDocument/2006/relationships" xmlns="http://schemas.openxmlformats.org/spreadsheetml/2006/main">
  <authors>
    <author/>
  </authors>
  <commentList>
    <comment authorId="0" ref="J3">
      <text>
        <t xml:space="preserve">If the fractional share should come out of a specific lot, or set of lots, check those lots here. If multiple are selected the sheet will spread the fraction equally over those lots, accounting for differences in cost-basis.
You REALLY don't want it to come out of an ESPP lot as that's a sale and will incur the ordinary income portion of tax shown in column AB.
For me, eTrade took the entire fraction from a single lot and I expect that's what happened for most people.
	-George Hicken</t>
      </text>
    </comment>
    <comment authorId="0" ref="I4">
      <text>
        <t xml:space="preserve">The quantities of converted shares from eTrade lots.
The colour of the cell will alter slightly if the value here does not equal the value calculated via AVGO ratio.
You can toggle whether to use this manual value or the calculated value in the Tweaks on the first Sheet.
	-George Hicken</t>
      </text>
    </comment>
    <comment authorId="0" ref="Q4">
      <text>
        <t xml:space="preserve">Fraction attributed to the lot
	-George Hicken</t>
      </text>
    </comment>
  </commentList>
</comments>
</file>

<file path=xl/comments4.xml><?xml version="1.0" encoding="utf-8"?>
<comments xmlns:r="http://schemas.openxmlformats.org/officeDocument/2006/relationships" xmlns="http://schemas.openxmlformats.org/spreadsheetml/2006/main">
  <authors>
    <author/>
  </authors>
  <commentList>
    <comment authorId="0" ref="E3">
      <text>
        <t xml:space="preserve">"Fair market value generally is the price at which property would change hands between a willing buyer and a willing seller, neither being under any compulsion to buy or sell and both having reasonable knowledge of the facts."
Immediately prior to acquisition, the elections of existing holders were known, the VMW price consideration was fixed in the MA, and Broadcom FMV was known.
	-George Hicken</t>
      </text>
    </comment>
    <comment authorId="0" ref="K53">
      <text>
        <t xml:space="preserve">this is a guess - it's "over 1M individual taxable income" and I couldn't find an alternative value for joint or head of household
	-George Hicken</t>
      </text>
    </comment>
    <comment authorId="0" ref="B4">
      <text>
        <t xml:space="preserve">Use 100% cash calc for ratio while there's an error calculating it.
This is just to avoid cascade DIV0 errors.
	-George Hicken</t>
      </text>
    </comment>
  </commentList>
</comments>
</file>

<file path=xl/sharedStrings.xml><?xml version="1.0" encoding="utf-8"?>
<sst xmlns="http://schemas.openxmlformats.org/spreadsheetml/2006/main" count="239" uniqueCount="184">
  <si>
    <t>Colour Coding</t>
  </si>
  <si>
    <t>Instructions</t>
  </si>
  <si>
    <r>
      <rPr>
        <b/>
      </rPr>
      <t xml:space="preserve">Future Updates will be made in </t>
    </r>
    <r>
      <rPr>
        <b/>
        <color rgb="FF1155CC"/>
        <u/>
      </rPr>
      <t>https://github.com/hickeng/financial</t>
    </r>
  </si>
  <si>
    <t>Input</t>
  </si>
  <si>
    <t>0. Check the colour coding to the left - it should be useful particularly when adding info into the data grids on the other Sheets</t>
  </si>
  <si>
    <t>Input - optional</t>
  </si>
  <si>
    <r>
      <rPr>
        <rFont val="Arial"/>
      </rPr>
      <t>1. Collect eTrade confirmations for all shares held over the acquisition (</t>
    </r>
    <r>
      <rPr>
        <rFont val="Arial"/>
        <color rgb="FF1155CC"/>
        <u/>
      </rPr>
      <t>Stock Plan Account -&gt; My Account -&gt; Stock Plan Confirmations</t>
    </r>
    <r>
      <rPr>
        <rFont val="Arial"/>
      </rPr>
      <t>)</t>
    </r>
  </si>
  <si>
    <t>Input - necessary but prepopulated where available</t>
  </si>
  <si>
    <r>
      <rPr>
        <rFont val="Arial"/>
      </rPr>
      <t xml:space="preserve">2. Collect </t>
    </r>
    <r>
      <rPr>
        <rFont val="Arial"/>
        <color rgb="FF1155CC"/>
        <u/>
      </rPr>
      <t xml:space="preserve">eTrade transaction log entries </t>
    </r>
    <r>
      <rPr>
        <rFont val="Arial"/>
      </rPr>
      <t>relating to acquisition (propably between 2023-11-21 and 2023-12-09)</t>
    </r>
  </si>
  <si>
    <t>Input - reference only, not used for calc</t>
  </si>
  <si>
    <t>a. "VMW SHARES AZH26 TENDER PAYMENT PRORATED 52.09%" - prefix value goes into B26</t>
  </si>
  <si>
    <t>Output - relevent immediately</t>
  </si>
  <si>
    <t>b. "CONTRA VMWARE, INC EXCHANGE FOR CASH" - prefix value goes into B25</t>
  </si>
  <si>
    <t>Output - relevent on future sale</t>
  </si>
  <si>
    <t>c. "CONTRA VMWARE, INC EXCHANGE FOR CASH" - credited dollar value goes into B31</t>
  </si>
  <si>
    <t>Calculated - intermediate or informational</t>
  </si>
  <si>
    <t>d. "BROADCOM INC CASH IN LIEU OF FRACTIONS" - credited dollar value goes in B30</t>
  </si>
  <si>
    <t>Labels</t>
  </si>
  <si>
    <t>3. Collect number of AVGO in each lot - these should be entered into the "Share amounts from eTrade" columns in ESPP and RUS datagrids and are visible in OSPS if you still hold them in eTrade. If not, then you will have to either use the calculated values only or derived the info via other means.</t>
  </si>
  <si>
    <t>4. Add validation - total number of VMW shares held to acquisition goes into B29</t>
  </si>
  <si>
    <t>5. 2023 W2 values go into G26 to G29 as indicated at the cells</t>
  </si>
  <si>
    <t>6. 2022 total federal tax paid goes into G25 - used to calculate safe harbor amounts</t>
  </si>
  <si>
    <t>7. Enter values into the RSU and ESPP sheets - if you need to add a row, you can insert, select the entire row above or below without unhiding columns, fill into the new row, and replace the values with yours. Sanity check the SUM ranges in the totals row includes the full range.</t>
  </si>
  <si>
    <t>a. Enter values from ESPP purchase confirmation documents into the ESPP Sheet - the column heading exactly match the field names from the docs</t>
  </si>
  <si>
    <t>b. Enter values from RSU release confirmation documents into the RSU Sheet - the column headings exactly match the field names from the docs. I've left duplicate release date rows in the sheet where I had multiple vests, given it's easier to enter 0 for a row than insert a new one.</t>
  </si>
  <si>
    <t>c. It's expected you'll need to add rows for RSU grants where you had more than one vest on a given date - in that case it's easiest to insert a row below the entry for the corresponding date, copy the entire populated row down to get the release date and market value, then fill in the specific share quantity for the lot.</t>
  </si>
  <si>
    <t>8. For the fractional share - if you're providing the manual values for number of shares, add the fractional amount back into any lot it came from if deducted. This avoids needing a single row with different handling based on whether the manual value has a fraction removed or not.</t>
  </si>
  <si>
    <t>a. Check the Fraction box for any lot you want to the fraction to be attributed to. The fraction is evenly spread across the selected lots.</t>
  </si>
  <si>
    <t>9. Look for the little orange triangles in the top right corner of cells, including headers. This indicates a comment. Generally I've tried to add comments useful to explaining how the sheet and any given calculation works</t>
  </si>
  <si>
    <t>10. Look for the horizontal paired arrows between column labels in the RSU and ESPP sheets - these allow you to expand the hidden columns if you want to see the informational and intermediate calculations</t>
  </si>
  <si>
    <t>Inputs (eTrade transaction log)</t>
  </si>
  <si>
    <t>Inputs (W2 &amp; 1040)</t>
  </si>
  <si>
    <t>Inputs (Tweaks)</t>
  </si>
  <si>
    <t>Necessary</t>
  </si>
  <si>
    <t>Form</t>
  </si>
  <si>
    <t>Year</t>
  </si>
  <si>
    <t>Box</t>
  </si>
  <si>
    <t>Value</t>
  </si>
  <si>
    <t>Comment</t>
  </si>
  <si>
    <t>Active</t>
  </si>
  <si>
    <t>Custom</t>
  </si>
  <si>
    <t>Shares liquidated for cash (vmw)</t>
  </si>
  <si>
    <t>1040 (tax return)</t>
  </si>
  <si>
    <t>Federal tax (prior year)</t>
  </si>
  <si>
    <t>AVGO FMV</t>
  </si>
  <si>
    <t>Mean</t>
  </si>
  <si>
    <t>Shares for conversion (vmw)</t>
  </si>
  <si>
    <t>W2</t>
  </si>
  <si>
    <t>Federal income</t>
  </si>
  <si>
    <t>AVGO share quantities</t>
  </si>
  <si>
    <t>Calculated</t>
  </si>
  <si>
    <t>Federal tax paid</t>
  </si>
  <si>
    <t>Factional share value</t>
  </si>
  <si>
    <t>eTrade</t>
  </si>
  <si>
    <t>Validations</t>
  </si>
  <si>
    <t>State income</t>
  </si>
  <si>
    <t>VMW held at close</t>
  </si>
  <si>
    <t>State tax paid</t>
  </si>
  <si>
    <t>Other Captial Gain (Short)</t>
  </si>
  <si>
    <t>Cash for fraction</t>
  </si>
  <si>
    <t>Other Captial Gain (Long)</t>
  </si>
  <si>
    <t>Cash portion without fraction</t>
  </si>
  <si>
    <t>Other income</t>
  </si>
  <si>
    <t>Status</t>
  </si>
  <si>
    <t>Single</t>
  </si>
  <si>
    <t>Deduction</t>
  </si>
  <si>
    <t>By status</t>
  </si>
  <si>
    <t>Doesn't apply to State Estimate</t>
  </si>
  <si>
    <t>Outputs</t>
  </si>
  <si>
    <t>Merger</t>
  </si>
  <si>
    <t>Cash consideration</t>
  </si>
  <si>
    <t>Fractional Share</t>
  </si>
  <si>
    <t>Gain (Short)</t>
  </si>
  <si>
    <t>Gain (Long)</t>
  </si>
  <si>
    <t>Shares (FMV)</t>
  </si>
  <si>
    <t>Taxable income</t>
  </si>
  <si>
    <t>Shares</t>
  </si>
  <si>
    <t>Dollars</t>
  </si>
  <si>
    <t>Pending</t>
  </si>
  <si>
    <t>Tax Impact</t>
  </si>
  <si>
    <t>WARNING</t>
  </si>
  <si>
    <t>There WILL be errors in the tax estimation. It doesn't even attempt AMT. I'm uncertain about how LTG progressiveness works</t>
  </si>
  <si>
    <t>The numbers you want for tax planning are the Gains in the section above</t>
  </si>
  <si>
    <t>Liability</t>
  </si>
  <si>
    <t>Safe Harbor</t>
  </si>
  <si>
    <t>Estimated Taxes</t>
  </si>
  <si>
    <t>Threshold</t>
  </si>
  <si>
    <t>Outstanding</t>
  </si>
  <si>
    <t>Paid</t>
  </si>
  <si>
    <t>Owed</t>
  </si>
  <si>
    <t>Federal - STG/income</t>
  </si>
  <si>
    <t>Federal - LTG</t>
  </si>
  <si>
    <t>California</t>
  </si>
  <si>
    <t>Totals</t>
  </si>
  <si>
    <r>
      <rPr>
        <b/>
      </rPr>
      <t xml:space="preserve">Future Updates will be made in </t>
    </r>
    <r>
      <rPr>
        <b/>
        <color rgb="FF1155CC"/>
        <u/>
      </rPr>
      <t>https://github.com/hickeng/financial</t>
    </r>
  </si>
  <si>
    <t>Output</t>
  </si>
  <si>
    <t>From ESPP purchase confirmation docs</t>
  </si>
  <si>
    <t>From eTrade</t>
  </si>
  <si>
    <t>Now</t>
  </si>
  <si>
    <t>Future</t>
  </si>
  <si>
    <t xml:space="preserve">Input </t>
  </si>
  <si>
    <t>Derived - informational only</t>
  </si>
  <si>
    <t>Derived - should match vlaues from ESPP purchase confirmation</t>
  </si>
  <si>
    <t>Input - alternate for cross check</t>
  </si>
  <si>
    <t>Use for fraction</t>
  </si>
  <si>
    <t>Cash received</t>
  </si>
  <si>
    <t>Basis adjustment for Dell dividends</t>
  </si>
  <si>
    <t>Cost basis entering merger</t>
  </si>
  <si>
    <t>Shares received</t>
  </si>
  <si>
    <t>Alternate gain calculation</t>
  </si>
  <si>
    <t>Gain</t>
  </si>
  <si>
    <t>Treatment</t>
  </si>
  <si>
    <t>Reference for future sale</t>
  </si>
  <si>
    <t>Purchase Begin Date</t>
  </si>
  <si>
    <t>Grant Date</t>
  </si>
  <si>
    <t>Purchase Date</t>
  </si>
  <si>
    <t>Shares Purchased</t>
  </si>
  <si>
    <t>Grant Date Market Value</t>
  </si>
  <si>
    <t>Purchase Value per Share</t>
  </si>
  <si>
    <t>Current Contributions</t>
  </si>
  <si>
    <t>Total Price</t>
  </si>
  <si>
    <t>Previous Carry Forward</t>
  </si>
  <si>
    <t>Total Contributions</t>
  </si>
  <si>
    <t>Carry Forward</t>
  </si>
  <si>
    <t>Purchase Price per Share</t>
  </si>
  <si>
    <t>Share amounts from eTrade</t>
  </si>
  <si>
    <t>Pro-rata cash</t>
  </si>
  <si>
    <t>1st special divident basis adjustment</t>
  </si>
  <si>
    <t>2nd dividend basis adjustment</t>
  </si>
  <si>
    <t>VMW cost-basis per share</t>
  </si>
  <si>
    <t>AVGO converted shares</t>
  </si>
  <si>
    <t>Gain (cash+FMV AVGO-basis)</t>
  </si>
  <si>
    <t>Fractional share</t>
  </si>
  <si>
    <t>Fraction</t>
  </si>
  <si>
    <t>Income &amp; short term gain</t>
  </si>
  <si>
    <t>Long term gain</t>
  </si>
  <si>
    <t>New cost basis per share</t>
  </si>
  <si>
    <t>Potential Captial Gain (AVGO)</t>
  </si>
  <si>
    <t>Qualified</t>
  </si>
  <si>
    <t>Pending Ordinary Income</t>
  </si>
  <si>
    <t>Long term Captial Gain</t>
  </si>
  <si>
    <t>From RSU release confirmation docs</t>
  </si>
  <si>
    <t>Input for calculating tax withheld</t>
  </si>
  <si>
    <t>Award Number</t>
  </si>
  <si>
    <t>Award Date</t>
  </si>
  <si>
    <t>Release Date</t>
  </si>
  <si>
    <t>Shares Issued</t>
  </si>
  <si>
    <t>Market Value Per Share</t>
  </si>
  <si>
    <t>Shares Traded</t>
  </si>
  <si>
    <t>Tax basis on receipt</t>
  </si>
  <si>
    <t>Tax paid on receipt</t>
  </si>
  <si>
    <t>Short Term Capital Gain</t>
  </si>
  <si>
    <t>Long Term Capital Gain</t>
  </si>
  <si>
    <t>This Sheet is a collection of reference values used by the others. I do not expect anyone to need to make changes to these values.</t>
  </si>
  <si>
    <t>VMW final sale price</t>
  </si>
  <si>
    <t>VMW FMV</t>
  </si>
  <si>
    <t>Cash ratio (calculated)</t>
  </si>
  <si>
    <t>Avgo ratio (calculated)</t>
  </si>
  <si>
    <t>AVGO conversion ratio</t>
  </si>
  <si>
    <t>Long term Captial Gains</t>
  </si>
  <si>
    <t>AVGO live value</t>
  </si>
  <si>
    <t>AVGO FMV (close of merger)</t>
  </si>
  <si>
    <t>Close</t>
  </si>
  <si>
    <t>High</t>
  </si>
  <si>
    <t>Low</t>
  </si>
  <si>
    <t>Factional Share value</t>
  </si>
  <si>
    <t>Form 8937</t>
  </si>
  <si>
    <t>Cost-basis events</t>
  </si>
  <si>
    <t>Basis adjustment</t>
  </si>
  <si>
    <t>Dell special dividend</t>
  </si>
  <si>
    <t>Broadcom Merger</t>
  </si>
  <si>
    <t>Future sale of ESPP</t>
  </si>
  <si>
    <t>Short term captial gains &amp; income</t>
  </si>
  <si>
    <t>Long term captial gains</t>
  </si>
  <si>
    <t>Joint</t>
  </si>
  <si>
    <t>Head of household</t>
  </si>
  <si>
    <t>Standard deduction</t>
  </si>
  <si>
    <t>Long Term Capital Gains Thresholds</t>
  </si>
  <si>
    <t>Long Term Gains Active Rate</t>
  </si>
  <si>
    <t>Federal thresholds</t>
  </si>
  <si>
    <t>California thresholds</t>
  </si>
  <si>
    <t>Federal Income Tax</t>
  </si>
  <si>
    <t>Federal Long Term Gains Tax</t>
  </si>
  <si>
    <t>State Income Tax</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</si>
</sst>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00;(#,##0.00)"/>
    <numFmt numFmtId="165" formatCode="#,##0.0000"/>
    <numFmt numFmtId="166" formatCode="yyyy&quot;-&quot;mm&quot;-&quot;dd"/>
    <numFmt numFmtId="167" formatCode="#,##0.00000000000000"/>
    <numFmt numFmtId="168" formatCode="#,##0.000000"/>
    <numFmt numFmtId="169" formatCode="&quot;$&quot;#,##0.00"/>
    <numFmt numFmtId="170" formatCode="#,##0.000"/>
    <numFmt numFmtId="171" formatCode="yyyy-mm-dd"/>
    <numFmt numFmtId="172" formatCode="0.000"/>
  </numFmts>
  <fonts count="23">
    <font>
      <sz val="10.0"/>
      <color rgb="FF000000"/>
      <name val="Arial"/>
      <scheme val="minor"/>
    </font>
    <font>
      <b/>
      <color theme="1"/>
      <name val="Arial"/>
      <scheme val="minor"/>
    </font>
    <font>
      <b/>
      <u/>
      <color rgb="FF0000FF"/>
    </font>
    <font>
      <color theme="1"/>
      <name val="Arial"/>
      <scheme val="minor"/>
    </font>
    <font>
      <color theme="1"/>
      <name val="Arial"/>
    </font>
    <font>
      <u/>
      <color rgb="FF0000FF"/>
      <name val="Arial"/>
    </font>
    <font>
      <u/>
      <color rgb="FF0000FF"/>
      <name val="Arial"/>
    </font>
    <font>
      <sz val="11.0"/>
      <color theme="1"/>
      <name val="Arial"/>
    </font>
    <font>
      <i/>
      <color theme="1"/>
      <name val="Arial"/>
      <scheme val="minor"/>
    </font>
    <font>
      <sz val="10.0"/>
      <color theme="1"/>
      <name val="Arial"/>
      <scheme val="minor"/>
    </font>
    <font>
      <b/>
      <color rgb="FFFF0000"/>
      <name val="Arial"/>
      <scheme val="minor"/>
    </font>
    <font>
      <b/>
      <sz val="9.0"/>
      <color theme="1"/>
      <name val="Arial"/>
      <scheme val="minor"/>
    </font>
    <font/>
    <font>
      <sz val="11.0"/>
      <color rgb="FF1F1F1F"/>
      <name val="&quot;Google Sans&quot;"/>
    </font>
    <font>
      <sz val="10.0"/>
      <color rgb="FF1F1F1F"/>
      <name val="Arial"/>
      <scheme val="minor"/>
    </font>
    <font>
      <sz val="9.0"/>
      <color theme="1"/>
      <name val="&quot;Google Sans Mono&quot;"/>
    </font>
    <font>
      <b/>
      <color rgb="FF000000"/>
      <name val="Arial"/>
    </font>
    <font>
      <sz val="9.0"/>
      <color rgb="FF000000"/>
      <name val="&quot;Google Sans Mono&quot;"/>
    </font>
    <font>
      <b/>
      <sz val="10.0"/>
      <color theme="1"/>
      <name val="Arial"/>
      <scheme val="minor"/>
    </font>
    <font>
      <sz val="9.0"/>
      <color rgb="FF000000"/>
      <name val="Arial"/>
      <scheme val="minor"/>
    </font>
    <font>
      <b/>
      <sz val="11.0"/>
      <color theme="1"/>
      <name val="Arial"/>
    </font>
    <font>
      <sz val="10.0"/>
      <color rgb="FF1B1B1B"/>
      <name val="Arial"/>
      <scheme val="minor"/>
    </font>
    <font>
      <b/>
      <sz val="10.0"/>
      <color rgb="FF000000"/>
      <name val="Arial"/>
      <scheme val="minor"/>
    </font>
  </fonts>
  <fills count="11">
    <fill>
      <patternFill patternType="none"/>
    </fill>
    <fill>
      <patternFill patternType="lightGray"/>
    </fill>
    <fill>
      <patternFill patternType="solid">
        <fgColor rgb="FFF3F3F3"/>
        <bgColor rgb="FFF3F3F3"/>
      </patternFill>
    </fill>
    <fill>
      <patternFill patternType="solid">
        <fgColor rgb="FFFFF2CC"/>
        <bgColor rgb="FFFFF2CC"/>
      </patternFill>
    </fill>
    <fill>
      <patternFill patternType="solid">
        <fgColor rgb="FFDED5BA"/>
        <bgColor rgb="FFDED5BA"/>
      </patternFill>
    </fill>
    <fill>
      <patternFill patternType="solid">
        <fgColor rgb="FFEAD1DC"/>
        <bgColor rgb="FFEAD1DC"/>
      </patternFill>
    </fill>
    <fill>
      <patternFill patternType="solid">
        <fgColor rgb="FFEFEFEF"/>
        <bgColor rgb="FFEFEFEF"/>
      </patternFill>
    </fill>
    <fill>
      <patternFill patternType="solid">
        <fgColor rgb="FFD0E0E3"/>
        <bgColor rgb="FFD0E0E3"/>
      </patternFill>
    </fill>
    <fill>
      <patternFill patternType="solid">
        <fgColor rgb="FFD9EAD3"/>
        <bgColor rgb="FFD9EAD3"/>
      </patternFill>
    </fill>
    <fill>
      <patternFill patternType="solid">
        <fgColor rgb="FFFFFFFF"/>
        <bgColor rgb="FFFFFFFF"/>
      </patternFill>
    </fill>
    <fill>
      <patternFill patternType="solid">
        <fgColor rgb="FFD5A6BD"/>
        <bgColor rgb="FFD5A6BD"/>
      </patternFill>
    </fill>
  </fills>
  <borders count="16">
    <border/>
    <border>
      <left style="thin">
        <color rgb="FF000000"/>
      </left>
      <right style="thin">
        <color rgb="FF000000"/>
      </right>
      <top style="thin">
        <color rgb="FF000000"/>
      </top>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315">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0" fillId="0" fontId="1" numFmtId="0" xfId="0" applyAlignment="1" applyFont="1">
      <alignment readingOrder="0"/>
    </xf>
    <xf borderId="0" fillId="0" fontId="2" numFmtId="0" xfId="0" applyAlignment="1" applyFont="1">
      <alignment readingOrder="0"/>
    </xf>
    <xf borderId="2" fillId="3" fontId="3" numFmtId="0" xfId="0" applyAlignment="1" applyBorder="1" applyFill="1" applyFont="1">
      <alignment readingOrder="0"/>
    </xf>
    <xf borderId="0" fillId="0" fontId="4" numFmtId="0" xfId="0" applyAlignment="1" applyFont="1">
      <alignment shrinkToFit="0" vertical="bottom" wrapText="0"/>
    </xf>
    <xf borderId="0" fillId="0" fontId="4" numFmtId="0" xfId="0" applyAlignment="1" applyFont="1">
      <alignment vertical="bottom"/>
    </xf>
    <xf borderId="2" fillId="4" fontId="3" numFmtId="0" xfId="0" applyAlignment="1" applyBorder="1" applyFill="1" applyFont="1">
      <alignment readingOrder="0"/>
    </xf>
    <xf borderId="0" fillId="0" fontId="5" numFmtId="0" xfId="0" applyAlignment="1" applyFont="1">
      <alignment shrinkToFit="0" vertical="bottom" wrapText="0"/>
    </xf>
    <xf borderId="3" fillId="5" fontId="3" numFmtId="0" xfId="0" applyAlignment="1" applyBorder="1" applyFill="1" applyFont="1">
      <alignment readingOrder="0"/>
    </xf>
    <xf borderId="0" fillId="0" fontId="6" numFmtId="0" xfId="0" applyAlignment="1" applyFont="1">
      <alignment shrinkToFit="0" vertical="bottom" wrapText="0"/>
    </xf>
    <xf borderId="2" fillId="6" fontId="3" numFmtId="0" xfId="0" applyAlignment="1" applyBorder="1" applyFill="1" applyFont="1">
      <alignment readingOrder="0"/>
    </xf>
    <xf borderId="2" fillId="7" fontId="3" numFmtId="0" xfId="0" applyAlignment="1" applyBorder="1" applyFill="1" applyFont="1">
      <alignment readingOrder="0"/>
    </xf>
    <xf borderId="2" fillId="8" fontId="3" numFmtId="0" xfId="0" applyAlignment="1" applyBorder="1" applyFill="1" applyFont="1">
      <alignment readingOrder="0"/>
    </xf>
    <xf borderId="2" fillId="2" fontId="3" numFmtId="0" xfId="0" applyAlignment="1" applyBorder="1" applyFont="1">
      <alignment readingOrder="0"/>
    </xf>
    <xf borderId="4" fillId="0" fontId="3" numFmtId="0" xfId="0" applyAlignment="1" applyBorder="1" applyFont="1">
      <alignment readingOrder="0"/>
    </xf>
    <xf borderId="0" fillId="0" fontId="4" numFmtId="0" xfId="0" applyAlignment="1" applyFont="1">
      <alignment readingOrder="0" shrinkToFit="0" vertical="bottom" wrapText="0"/>
    </xf>
    <xf borderId="0" fillId="0" fontId="4" numFmtId="0" xfId="0" applyAlignment="1" applyFont="1">
      <alignment readingOrder="0" shrinkToFit="0" vertical="bottom" wrapText="0"/>
    </xf>
    <xf borderId="0" fillId="0" fontId="4" numFmtId="0" xfId="0" applyAlignment="1" applyFont="1">
      <alignment vertical="bottom"/>
    </xf>
    <xf borderId="5" fillId="0" fontId="1" numFmtId="0" xfId="0" applyAlignment="1" applyBorder="1" applyFont="1">
      <alignment readingOrder="0"/>
    </xf>
    <xf borderId="6" fillId="0" fontId="3" numFmtId="0" xfId="0" applyBorder="1" applyFont="1"/>
    <xf borderId="7" fillId="0" fontId="3" numFmtId="0" xfId="0" applyBorder="1" applyFont="1"/>
    <xf borderId="7" fillId="0" fontId="1" numFmtId="164" xfId="0" applyAlignment="1" applyBorder="1" applyFont="1" applyNumberFormat="1">
      <alignment horizontal="right" readingOrder="0"/>
    </xf>
    <xf borderId="7" fillId="0" fontId="1" numFmtId="0" xfId="0" applyAlignment="1" applyBorder="1" applyFont="1">
      <alignment horizontal="right" readingOrder="0"/>
    </xf>
    <xf borderId="6" fillId="0" fontId="1" numFmtId="0" xfId="0" applyAlignment="1" applyBorder="1" applyFont="1">
      <alignment horizontal="right" readingOrder="0"/>
    </xf>
    <xf borderId="8" fillId="0" fontId="3" numFmtId="0" xfId="0" applyAlignment="1" applyBorder="1" applyFont="1">
      <alignment readingOrder="0"/>
    </xf>
    <xf borderId="3" fillId="0" fontId="7" numFmtId="3" xfId="0" applyAlignment="1" applyBorder="1" applyFont="1" applyNumberFormat="1">
      <alignment horizontal="right" readingOrder="0"/>
    </xf>
    <xf borderId="8" fillId="0" fontId="3" numFmtId="0" xfId="0" applyBorder="1" applyFont="1"/>
    <xf borderId="3" fillId="0" fontId="3" numFmtId="0" xfId="0" applyBorder="1" applyFont="1"/>
    <xf borderId="5" fillId="0" fontId="8" numFmtId="0" xfId="0" applyAlignment="1" applyBorder="1" applyFont="1">
      <alignment readingOrder="0"/>
    </xf>
    <xf borderId="6" fillId="0" fontId="7" numFmtId="3" xfId="0" applyAlignment="1" applyBorder="1" applyFont="1" applyNumberFormat="1">
      <alignment horizontal="right" readingOrder="0"/>
    </xf>
    <xf borderId="9" fillId="0" fontId="8" numFmtId="0" xfId="0" applyAlignment="1" applyBorder="1" applyFont="1">
      <alignment readingOrder="0"/>
    </xf>
    <xf borderId="10" fillId="0" fontId="8" numFmtId="0" xfId="0" applyAlignment="1" applyBorder="1" applyFont="1">
      <alignment readingOrder="0"/>
    </xf>
    <xf borderId="11" fillId="4" fontId="8" numFmtId="0" xfId="0" applyAlignment="1" applyBorder="1" applyFont="1">
      <alignment readingOrder="0"/>
    </xf>
    <xf borderId="12" fillId="0" fontId="8" numFmtId="0" xfId="0" applyAlignment="1" applyBorder="1" applyFont="1">
      <alignment readingOrder="0"/>
    </xf>
    <xf borderId="0" fillId="0" fontId="1" numFmtId="0" xfId="0" applyAlignment="1" applyFont="1">
      <alignment horizontal="right" readingOrder="0"/>
    </xf>
    <xf borderId="3" fillId="3" fontId="7" numFmtId="3" xfId="0" applyAlignment="1" applyBorder="1" applyFont="1" applyNumberFormat="1">
      <alignment horizontal="right" readingOrder="0"/>
    </xf>
    <xf borderId="9" fillId="0" fontId="3" numFmtId="0" xfId="0" applyAlignment="1" applyBorder="1" applyFont="1">
      <alignment readingOrder="0"/>
    </xf>
    <xf borderId="10" fillId="0" fontId="3" numFmtId="0" xfId="0" applyAlignment="1" applyBorder="1" applyFont="1">
      <alignment horizontal="left" readingOrder="0"/>
    </xf>
    <xf borderId="4" fillId="4" fontId="9" numFmtId="164" xfId="0" applyAlignment="1" applyBorder="1" applyFont="1" applyNumberFormat="1">
      <alignment readingOrder="0"/>
    </xf>
    <xf borderId="12" fillId="0" fontId="3" numFmtId="0" xfId="0" applyAlignment="1" applyBorder="1" applyFont="1">
      <alignment readingOrder="0"/>
    </xf>
    <xf borderId="0" fillId="5" fontId="3" numFmtId="164" xfId="0" applyAlignment="1" applyFont="1" applyNumberFormat="1">
      <alignment readingOrder="0"/>
    </xf>
    <xf borderId="0" fillId="2" fontId="3" numFmtId="164" xfId="0" applyFont="1" applyNumberFormat="1"/>
    <xf borderId="0" fillId="4" fontId="3" numFmtId="164" xfId="0" applyAlignment="1" applyFont="1" applyNumberFormat="1">
      <alignment readingOrder="0"/>
    </xf>
    <xf borderId="13" fillId="0" fontId="3" numFmtId="0" xfId="0" applyAlignment="1" applyBorder="1" applyFont="1">
      <alignment readingOrder="0"/>
    </xf>
    <xf borderId="14" fillId="3" fontId="7" numFmtId="3" xfId="0" applyAlignment="1" applyBorder="1" applyFont="1" applyNumberFormat="1">
      <alignment horizontal="right" readingOrder="0"/>
    </xf>
    <xf borderId="8" fillId="0" fontId="3" numFmtId="0" xfId="0" applyAlignment="1" applyBorder="1" applyFont="1">
      <alignment horizontal="left" readingOrder="0"/>
    </xf>
    <xf borderId="0" fillId="0" fontId="3" numFmtId="0" xfId="0" applyAlignment="1" applyFont="1">
      <alignment horizontal="left" readingOrder="0"/>
    </xf>
    <xf borderId="2" fillId="4" fontId="3" numFmtId="164" xfId="0" applyAlignment="1" applyBorder="1" applyFont="1" applyNumberFormat="1">
      <alignment horizontal="right" readingOrder="0"/>
    </xf>
    <xf borderId="3" fillId="0" fontId="3" numFmtId="0" xfId="0" applyAlignment="1" applyBorder="1" applyFont="1">
      <alignment readingOrder="0"/>
    </xf>
    <xf borderId="0" fillId="5" fontId="3" numFmtId="0" xfId="0" applyAlignment="1" applyFont="1">
      <alignment readingOrder="0"/>
    </xf>
    <xf borderId="0" fillId="0" fontId="3" numFmtId="164" xfId="0" applyFont="1" applyNumberFormat="1"/>
    <xf borderId="3" fillId="0" fontId="3" numFmtId="3" xfId="0" applyAlignment="1" applyBorder="1" applyFont="1" applyNumberFormat="1">
      <alignment readingOrder="0"/>
    </xf>
    <xf borderId="0" fillId="0" fontId="1" numFmtId="164" xfId="0" applyAlignment="1" applyFont="1" applyNumberFormat="1">
      <alignment horizontal="right" readingOrder="0"/>
    </xf>
    <xf borderId="8" fillId="0" fontId="8" numFmtId="0" xfId="0" applyAlignment="1" applyBorder="1" applyFont="1">
      <alignment readingOrder="0"/>
    </xf>
    <xf borderId="0" fillId="0" fontId="3" numFmtId="164" xfId="0" applyAlignment="1" applyFont="1" applyNumberFormat="1">
      <alignment readingOrder="0"/>
    </xf>
    <xf borderId="3" fillId="4" fontId="3" numFmtId="3" xfId="0" applyAlignment="1" applyBorder="1" applyFont="1" applyNumberFormat="1">
      <alignment readingOrder="0"/>
    </xf>
    <xf borderId="3" fillId="4" fontId="3" numFmtId="164" xfId="0" applyAlignment="1" applyBorder="1" applyFont="1" applyNumberFormat="1">
      <alignment readingOrder="0"/>
    </xf>
    <xf borderId="8" fillId="0" fontId="3" numFmtId="164" xfId="0" applyAlignment="1" applyBorder="1" applyFont="1" applyNumberFormat="1">
      <alignment horizontal="left" readingOrder="0"/>
    </xf>
    <xf borderId="0" fillId="0" fontId="3" numFmtId="164" xfId="0" applyAlignment="1" applyFont="1" applyNumberFormat="1">
      <alignment horizontal="right" readingOrder="0"/>
    </xf>
    <xf borderId="14" fillId="4" fontId="3" numFmtId="164" xfId="0" applyAlignment="1" applyBorder="1" applyFont="1" applyNumberFormat="1">
      <alignment readingOrder="0"/>
    </xf>
    <xf borderId="13" fillId="0" fontId="1" numFmtId="164" xfId="0" applyAlignment="1" applyBorder="1" applyFont="1" applyNumberFormat="1">
      <alignment horizontal="right" readingOrder="0"/>
    </xf>
    <xf borderId="15" fillId="0" fontId="1" numFmtId="164" xfId="0" applyAlignment="1" applyBorder="1" applyFont="1" applyNumberFormat="1">
      <alignment horizontal="right" readingOrder="0"/>
    </xf>
    <xf borderId="15" fillId="0" fontId="1" numFmtId="0" xfId="0" applyAlignment="1" applyBorder="1" applyFont="1">
      <alignment horizontal="right" readingOrder="0"/>
    </xf>
    <xf borderId="14" fillId="0" fontId="3" numFmtId="0" xfId="0" applyBorder="1" applyFont="1"/>
    <xf borderId="0" fillId="4" fontId="3" numFmtId="0" xfId="0" applyAlignment="1" applyFont="1">
      <alignment readingOrder="0"/>
    </xf>
    <xf borderId="15" fillId="4" fontId="3" numFmtId="0" xfId="0" applyAlignment="1" applyBorder="1" applyFont="1">
      <alignment readingOrder="0"/>
    </xf>
    <xf borderId="15" fillId="0" fontId="3" numFmtId="0" xfId="0" applyBorder="1" applyFont="1"/>
    <xf borderId="15" fillId="0" fontId="3" numFmtId="0" xfId="0" applyAlignment="1" applyBorder="1" applyFont="1">
      <alignment readingOrder="0"/>
    </xf>
    <xf borderId="7" fillId="0" fontId="1" numFmtId="164" xfId="0" applyAlignment="1" applyBorder="1" applyFont="1" applyNumberFormat="1">
      <alignment horizontal="center" readingOrder="0"/>
    </xf>
    <xf borderId="0" fillId="0" fontId="1" numFmtId="164" xfId="0" applyAlignment="1" applyFont="1" applyNumberFormat="1">
      <alignment horizontal="center" readingOrder="0"/>
    </xf>
    <xf borderId="7" fillId="0" fontId="1" numFmtId="0" xfId="0" applyAlignment="1" applyBorder="1" applyFont="1">
      <alignment readingOrder="0"/>
    </xf>
    <xf borderId="0" fillId="0" fontId="1" numFmtId="0" xfId="0" applyAlignment="1" applyFont="1">
      <alignment horizontal="center" readingOrder="0"/>
    </xf>
    <xf borderId="5" fillId="0" fontId="3" numFmtId="0" xfId="0" applyBorder="1" applyFont="1"/>
    <xf borderId="7" fillId="2" fontId="3" numFmtId="165" xfId="0" applyBorder="1" applyFont="1" applyNumberFormat="1"/>
    <xf borderId="7" fillId="2" fontId="3" numFmtId="0" xfId="0" applyBorder="1" applyFont="1"/>
    <xf borderId="8" fillId="0" fontId="1" numFmtId="0" xfId="0" applyAlignment="1" applyBorder="1" applyFont="1">
      <alignment readingOrder="0"/>
    </xf>
    <xf borderId="13" fillId="2" fontId="3" numFmtId="164" xfId="0" applyAlignment="1" applyBorder="1" applyFont="1" applyNumberFormat="1">
      <alignment horizontal="right" readingOrder="0"/>
    </xf>
    <xf borderId="15" fillId="2" fontId="3" numFmtId="164" xfId="0" applyBorder="1" applyFont="1" applyNumberFormat="1"/>
    <xf borderId="15" fillId="7" fontId="3" numFmtId="164" xfId="0" applyBorder="1" applyFont="1" applyNumberFormat="1"/>
    <xf borderId="15" fillId="2" fontId="3" numFmtId="164" xfId="0" applyAlignment="1" applyBorder="1" applyFont="1" applyNumberFormat="1">
      <alignment horizontal="right" readingOrder="0"/>
    </xf>
    <xf borderId="0" fillId="0" fontId="3" numFmtId="164" xfId="0" applyAlignment="1" applyFont="1" applyNumberFormat="1">
      <alignment horizontal="center" readingOrder="0"/>
    </xf>
    <xf borderId="0" fillId="0" fontId="3" numFmtId="165" xfId="0" applyFont="1" applyNumberFormat="1"/>
    <xf borderId="13" fillId="0" fontId="1" numFmtId="0" xfId="0" applyAlignment="1" applyBorder="1" applyFont="1">
      <alignment readingOrder="0"/>
    </xf>
    <xf borderId="9" fillId="0" fontId="3" numFmtId="0" xfId="0" applyBorder="1" applyFont="1"/>
    <xf borderId="10" fillId="0" fontId="3" numFmtId="0" xfId="0" applyBorder="1" applyFont="1"/>
    <xf borderId="10" fillId="8" fontId="3" numFmtId="164" xfId="0" applyBorder="1" applyFont="1" applyNumberFormat="1"/>
    <xf borderId="12" fillId="8" fontId="3" numFmtId="164" xfId="0" applyBorder="1" applyFont="1" applyNumberFormat="1"/>
    <xf borderId="7" fillId="0" fontId="10" numFmtId="0" xfId="0" applyAlignment="1" applyBorder="1" applyFont="1">
      <alignment horizontal="right" readingOrder="0"/>
    </xf>
    <xf borderId="7" fillId="0" fontId="11" numFmtId="164" xfId="0" applyAlignment="1" applyBorder="1" applyFont="1" applyNumberFormat="1">
      <alignment horizontal="left" readingOrder="0"/>
    </xf>
    <xf borderId="7" fillId="0" fontId="12" numFmtId="0" xfId="0" applyBorder="1" applyFont="1"/>
    <xf borderId="6" fillId="0" fontId="12" numFmtId="0" xfId="0" applyBorder="1" applyFont="1"/>
    <xf borderId="0" fillId="0" fontId="11" numFmtId="164" xfId="0" applyAlignment="1" applyFont="1" applyNumberFormat="1">
      <alignment horizontal="left" readingOrder="0"/>
    </xf>
    <xf borderId="11" fillId="0" fontId="3" numFmtId="164" xfId="0" applyBorder="1" applyFont="1" applyNumberFormat="1"/>
    <xf borderId="5" fillId="0" fontId="8" numFmtId="164" xfId="0" applyAlignment="1" applyBorder="1" applyFont="1" applyNumberFormat="1">
      <alignment horizontal="center" readingOrder="0"/>
    </xf>
    <xf borderId="6" fillId="0" fontId="8" numFmtId="0" xfId="0" applyAlignment="1" applyBorder="1" applyFont="1">
      <alignment horizontal="center" readingOrder="0"/>
    </xf>
    <xf borderId="6" fillId="0" fontId="8" numFmtId="164" xfId="0" applyAlignment="1" applyBorder="1" applyFont="1" applyNumberFormat="1">
      <alignment horizontal="center" readingOrder="0"/>
    </xf>
    <xf borderId="1" fillId="7" fontId="4" numFmtId="164" xfId="0" applyAlignment="1" applyBorder="1" applyFont="1" applyNumberFormat="1">
      <alignment horizontal="right" vertical="bottom"/>
    </xf>
    <xf borderId="5" fillId="7" fontId="3" numFmtId="164" xfId="0" applyBorder="1" applyFont="1" applyNumberFormat="1"/>
    <xf borderId="6" fillId="7" fontId="3" numFmtId="164" xfId="0" applyBorder="1" applyFont="1" applyNumberFormat="1"/>
    <xf borderId="5" fillId="3" fontId="3" numFmtId="164" xfId="0" applyAlignment="1" applyBorder="1" applyFont="1" applyNumberFormat="1">
      <alignment readingOrder="0"/>
    </xf>
    <xf borderId="6" fillId="7" fontId="3" numFmtId="164" xfId="0" applyAlignment="1" applyBorder="1" applyFont="1" applyNumberFormat="1">
      <alignment readingOrder="0"/>
    </xf>
    <xf borderId="2" fillId="7" fontId="4" numFmtId="164" xfId="0" applyAlignment="1" applyBorder="1" applyFont="1" applyNumberFormat="1">
      <alignment horizontal="right" vertical="bottom"/>
    </xf>
    <xf borderId="8" fillId="0" fontId="3" numFmtId="164" xfId="0" applyBorder="1" applyFont="1" applyNumberFormat="1"/>
    <xf borderId="4" fillId="7" fontId="4" numFmtId="164" xfId="0" applyAlignment="1" applyBorder="1" applyFont="1" applyNumberFormat="1">
      <alignment horizontal="right" vertical="bottom"/>
    </xf>
    <xf borderId="8" fillId="7" fontId="3" numFmtId="164" xfId="0" applyBorder="1" applyFont="1" applyNumberFormat="1"/>
    <xf borderId="3" fillId="7" fontId="3" numFmtId="164" xfId="0" applyBorder="1" applyFont="1" applyNumberFormat="1"/>
    <xf borderId="8" fillId="3" fontId="3" numFmtId="164" xfId="0" applyAlignment="1" applyBorder="1" applyFont="1" applyNumberFormat="1">
      <alignment readingOrder="0"/>
    </xf>
    <xf borderId="3" fillId="7" fontId="3" numFmtId="164" xfId="0" applyAlignment="1" applyBorder="1" applyFont="1" applyNumberFormat="1">
      <alignment readingOrder="0"/>
    </xf>
    <xf borderId="9" fillId="0" fontId="1" numFmtId="0" xfId="0" applyAlignment="1" applyBorder="1" applyFont="1">
      <alignment readingOrder="0"/>
    </xf>
    <xf borderId="9" fillId="7" fontId="3" numFmtId="164" xfId="0" applyBorder="1" applyFont="1" applyNumberFormat="1"/>
    <xf borderId="9" fillId="2" fontId="3" numFmtId="164" xfId="0" applyBorder="1" applyFont="1" applyNumberFormat="1"/>
    <xf borderId="12" fillId="2" fontId="3" numFmtId="164" xfId="0" applyBorder="1" applyFont="1" applyNumberFormat="1"/>
    <xf borderId="9" fillId="2" fontId="1" numFmtId="164" xfId="0" applyBorder="1" applyFont="1" applyNumberFormat="1"/>
    <xf borderId="12" fillId="7" fontId="1" numFmtId="164" xfId="0" applyBorder="1" applyFont="1" applyNumberFormat="1"/>
    <xf borderId="0" fillId="0" fontId="3" numFmtId="166" xfId="0" applyFont="1" applyNumberFormat="1"/>
    <xf borderId="0" fillId="0" fontId="7" numFmtId="164" xfId="0" applyAlignment="1" applyFont="1" applyNumberFormat="1">
      <alignment horizontal="right" readingOrder="0"/>
    </xf>
    <xf borderId="0" fillId="0" fontId="13" numFmtId="167" xfId="0" applyAlignment="1" applyFont="1" applyNumberFormat="1">
      <alignment readingOrder="0"/>
    </xf>
    <xf borderId="0" fillId="9" fontId="13" numFmtId="167" xfId="0" applyAlignment="1" applyFill="1" applyFont="1" applyNumberFormat="1">
      <alignment readingOrder="0"/>
    </xf>
    <xf borderId="0" fillId="0" fontId="14" numFmtId="167" xfId="0" applyAlignment="1" applyFont="1" applyNumberFormat="1">
      <alignment readingOrder="0"/>
    </xf>
    <xf borderId="0" fillId="0" fontId="3" numFmtId="167" xfId="0" applyFont="1" applyNumberFormat="1"/>
    <xf borderId="0" fillId="0" fontId="3" numFmtId="168" xfId="0" applyAlignment="1" applyFont="1" applyNumberFormat="1">
      <alignment readingOrder="0"/>
    </xf>
    <xf borderId="0" fillId="0" fontId="3" numFmtId="0" xfId="0" applyAlignment="1" applyFont="1">
      <alignment readingOrder="0"/>
    </xf>
    <xf borderId="0" fillId="0" fontId="3" numFmtId="10" xfId="0" applyAlignment="1" applyFont="1" applyNumberFormat="1">
      <alignment readingOrder="0"/>
    </xf>
    <xf borderId="0" fillId="0" fontId="4" numFmtId="169" xfId="0" applyAlignment="1" applyFont="1" applyNumberFormat="1">
      <alignment horizontal="right" vertical="bottom"/>
    </xf>
    <xf borderId="0" fillId="0" fontId="15" numFmtId="164" xfId="0" applyFont="1" applyNumberFormat="1"/>
    <xf borderId="0" fillId="0" fontId="1" numFmtId="164" xfId="0" applyAlignment="1" applyFont="1" applyNumberFormat="1">
      <alignment horizontal="center"/>
    </xf>
    <xf borderId="0" fillId="9" fontId="15" numFmtId="164" xfId="0" applyFont="1" applyNumberFormat="1"/>
    <xf borderId="0" fillId="9" fontId="0" numFmtId="164" xfId="0" applyAlignment="1" applyFont="1" applyNumberFormat="1">
      <alignment readingOrder="0"/>
    </xf>
    <xf borderId="8" fillId="0" fontId="1" numFmtId="0" xfId="0" applyAlignment="1" applyBorder="1" applyFont="1">
      <alignment horizontal="center" readingOrder="0"/>
    </xf>
    <xf borderId="3" fillId="0" fontId="12" numFmtId="0" xfId="0" applyBorder="1" applyFont="1"/>
    <xf borderId="7" fillId="9" fontId="16" numFmtId="0" xfId="0" applyAlignment="1" applyBorder="1" applyFont="1">
      <alignment horizontal="center" readingOrder="0"/>
    </xf>
    <xf borderId="5" fillId="0" fontId="1" numFmtId="170" xfId="0" applyAlignment="1" applyBorder="1" applyFont="1" applyNumberFormat="1">
      <alignment horizontal="center" readingOrder="0"/>
    </xf>
    <xf borderId="5" fillId="0" fontId="1" numFmtId="164" xfId="0" applyAlignment="1" applyBorder="1" applyFont="1" applyNumberFormat="1">
      <alignment horizontal="center" readingOrder="0"/>
    </xf>
    <xf borderId="7" fillId="0" fontId="1" numFmtId="0" xfId="0" applyAlignment="1" applyBorder="1" applyFont="1">
      <alignment horizontal="center" readingOrder="0"/>
    </xf>
    <xf borderId="3" fillId="0" fontId="3" numFmtId="0" xfId="0" applyAlignment="1" applyBorder="1" applyFont="1">
      <alignment horizontal="center" readingOrder="0"/>
    </xf>
    <xf borderId="0" fillId="0" fontId="3" numFmtId="0" xfId="0" applyAlignment="1" applyFont="1">
      <alignment horizontal="center" readingOrder="0"/>
    </xf>
    <xf borderId="2" fillId="0" fontId="3" numFmtId="0" xfId="0" applyAlignment="1" applyBorder="1" applyFont="1">
      <alignment horizontal="center" readingOrder="0"/>
    </xf>
    <xf borderId="2" fillId="0" fontId="3" numFmtId="170" xfId="0" applyAlignment="1" applyBorder="1" applyFont="1" applyNumberFormat="1">
      <alignment readingOrder="0"/>
    </xf>
    <xf borderId="3" fillId="0" fontId="3" numFmtId="170" xfId="0" applyAlignment="1" applyBorder="1" applyFont="1" applyNumberFormat="1">
      <alignment readingOrder="0"/>
    </xf>
    <xf borderId="8" fillId="0" fontId="3" numFmtId="0" xfId="0" applyAlignment="1" applyBorder="1" applyFont="1">
      <alignment horizontal="center" readingOrder="0"/>
    </xf>
    <xf borderId="0" fillId="0" fontId="3" numFmtId="0" xfId="0" applyAlignment="1" applyFont="1">
      <alignment horizontal="center" readingOrder="0"/>
    </xf>
    <xf borderId="6" fillId="0" fontId="3" numFmtId="0" xfId="0" applyAlignment="1" applyBorder="1" applyFont="1">
      <alignment readingOrder="0"/>
    </xf>
    <xf borderId="7" fillId="0" fontId="3" numFmtId="166" xfId="0" applyAlignment="1" applyBorder="1" applyFont="1" applyNumberFormat="1">
      <alignment readingOrder="0"/>
    </xf>
    <xf borderId="7" fillId="0" fontId="3" numFmtId="0" xfId="0" applyAlignment="1" applyBorder="1" applyFont="1">
      <alignment readingOrder="0"/>
    </xf>
    <xf borderId="5" fillId="0" fontId="3" numFmtId="0" xfId="0" applyAlignment="1" applyBorder="1" applyFont="1">
      <alignment readingOrder="0"/>
    </xf>
    <xf borderId="7" fillId="0" fontId="3" numFmtId="164" xfId="0" applyAlignment="1" applyBorder="1" applyFont="1" applyNumberFormat="1">
      <alignment readingOrder="0"/>
    </xf>
    <xf borderId="7" fillId="0" fontId="3" numFmtId="0" xfId="0" applyAlignment="1" applyBorder="1" applyFont="1">
      <alignment horizontal="right" readingOrder="0"/>
    </xf>
    <xf borderId="5" fillId="0" fontId="3" numFmtId="170" xfId="0" applyAlignment="1" applyBorder="1" applyFont="1" applyNumberFormat="1">
      <alignment readingOrder="0"/>
    </xf>
    <xf borderId="6" fillId="0" fontId="3" numFmtId="170" xfId="0" applyAlignment="1" applyBorder="1" applyFont="1" applyNumberFormat="1">
      <alignment readingOrder="0"/>
    </xf>
    <xf borderId="5" fillId="0" fontId="3" numFmtId="0" xfId="0" applyAlignment="1" applyBorder="1" applyFont="1">
      <alignment horizontal="center" readingOrder="0"/>
    </xf>
    <xf borderId="7" fillId="0" fontId="3" numFmtId="0" xfId="0" applyAlignment="1" applyBorder="1" applyFont="1">
      <alignment horizontal="center" readingOrder="0"/>
    </xf>
    <xf borderId="6" fillId="0" fontId="3" numFmtId="164" xfId="0" applyAlignment="1" applyBorder="1" applyFont="1" applyNumberFormat="1">
      <alignment readingOrder="0"/>
    </xf>
    <xf borderId="6" fillId="0" fontId="3" numFmtId="0" xfId="0" applyAlignment="1" applyBorder="1" applyFont="1">
      <alignment readingOrder="0"/>
    </xf>
    <xf borderId="5" fillId="0" fontId="3" numFmtId="0" xfId="0" applyAlignment="1" applyBorder="1" applyFont="1">
      <alignment readingOrder="0"/>
    </xf>
    <xf borderId="7" fillId="0" fontId="3" numFmtId="0" xfId="0" applyAlignment="1" applyBorder="1" applyFont="1">
      <alignment readingOrder="0"/>
    </xf>
    <xf borderId="0" fillId="6" fontId="4" numFmtId="166" xfId="0" applyAlignment="1" applyFont="1" applyNumberFormat="1">
      <alignment horizontal="right" vertical="bottom"/>
    </xf>
    <xf borderId="8" fillId="5" fontId="4" numFmtId="171" xfId="0" applyAlignment="1" applyBorder="1" applyFont="1" applyNumberFormat="1">
      <alignment horizontal="right" vertical="bottom"/>
    </xf>
    <xf borderId="3" fillId="5" fontId="4" numFmtId="171" xfId="0" applyAlignment="1" applyBorder="1" applyFont="1" applyNumberFormat="1">
      <alignment horizontal="right" vertical="bottom"/>
    </xf>
    <xf borderId="8" fillId="3" fontId="3" numFmtId="0" xfId="0" applyAlignment="1" applyBorder="1" applyFont="1">
      <alignment readingOrder="0"/>
    </xf>
    <xf borderId="0" fillId="5" fontId="4" numFmtId="164" xfId="0" applyAlignment="1" applyFont="1" applyNumberFormat="1">
      <alignment horizontal="right" vertical="bottom"/>
    </xf>
    <xf borderId="0" fillId="3" fontId="3" numFmtId="164" xfId="0" applyAlignment="1" applyFont="1" applyNumberFormat="1">
      <alignment readingOrder="0"/>
    </xf>
    <xf borderId="3" fillId="2" fontId="3" numFmtId="0" xfId="0" applyBorder="1" applyFont="1"/>
    <xf borderId="8" fillId="4" fontId="9" numFmtId="170" xfId="0" applyAlignment="1" applyBorder="1" applyFont="1" applyNumberFormat="1">
      <alignment readingOrder="0"/>
    </xf>
    <xf borderId="3" fillId="3" fontId="15" numFmtId="170" xfId="0" applyAlignment="1" applyBorder="1" applyFont="1" applyNumberFormat="1">
      <alignment readingOrder="0"/>
    </xf>
    <xf borderId="0" fillId="2" fontId="3" numFmtId="172" xfId="0" applyFont="1" applyNumberFormat="1"/>
    <xf borderId="8" fillId="2" fontId="0" numFmtId="165" xfId="0" applyBorder="1" applyFont="1" applyNumberFormat="1"/>
    <xf borderId="0" fillId="7" fontId="3" numFmtId="165" xfId="0" applyFont="1" applyNumberFormat="1"/>
    <xf borderId="0" fillId="7" fontId="17" numFmtId="164" xfId="0" applyFont="1" applyNumberFormat="1"/>
    <xf borderId="3" fillId="7" fontId="15" numFmtId="164" xfId="0" applyAlignment="1" applyBorder="1" applyFont="1" applyNumberFormat="1">
      <alignment readingOrder="0"/>
    </xf>
    <xf borderId="0" fillId="8" fontId="17" numFmtId="164" xfId="0" applyFont="1" applyNumberFormat="1"/>
    <xf borderId="0" fillId="8" fontId="9" numFmtId="164" xfId="0" applyAlignment="1" applyFont="1" applyNumberFormat="1">
      <alignment readingOrder="0"/>
    </xf>
    <xf borderId="0" fillId="8" fontId="3" numFmtId="164" xfId="0" applyFont="1" applyNumberFormat="1"/>
    <xf borderId="3" fillId="8" fontId="3" numFmtId="164" xfId="0" applyBorder="1" applyFont="1" applyNumberFormat="1"/>
    <xf borderId="3" fillId="5" fontId="4" numFmtId="166" xfId="0" applyAlignment="1" applyBorder="1" applyFont="1" applyNumberFormat="1">
      <alignment horizontal="right" vertical="bottom"/>
    </xf>
    <xf borderId="0" fillId="5" fontId="3" numFmtId="164" xfId="0" applyFont="1" applyNumberFormat="1"/>
    <xf borderId="3" fillId="6" fontId="3" numFmtId="171" xfId="0" applyAlignment="1" applyBorder="1" applyFont="1" applyNumberFormat="1">
      <alignment readingOrder="0"/>
    </xf>
    <xf borderId="0" fillId="5" fontId="3" numFmtId="166" xfId="0" applyAlignment="1" applyFont="1" applyNumberFormat="1">
      <alignment readingOrder="0"/>
    </xf>
    <xf borderId="0" fillId="5" fontId="3" numFmtId="166" xfId="0" applyFont="1" applyNumberFormat="1"/>
    <xf borderId="3" fillId="3" fontId="3" numFmtId="170" xfId="0" applyAlignment="1" applyBorder="1" applyFont="1" applyNumberFormat="1">
      <alignment readingOrder="0"/>
    </xf>
    <xf borderId="14" fillId="6" fontId="3" numFmtId="171" xfId="0" applyAlignment="1" applyBorder="1" applyFont="1" applyNumberFormat="1">
      <alignment readingOrder="0"/>
    </xf>
    <xf borderId="15" fillId="5" fontId="3" numFmtId="166" xfId="0" applyAlignment="1" applyBorder="1" applyFont="1" applyNumberFormat="1">
      <alignment readingOrder="0"/>
    </xf>
    <xf borderId="13" fillId="3" fontId="3" numFmtId="0" xfId="0" applyAlignment="1" applyBorder="1" applyFont="1">
      <alignment readingOrder="0"/>
    </xf>
    <xf borderId="15" fillId="5" fontId="3" numFmtId="164" xfId="0" applyAlignment="1" applyBorder="1" applyFont="1" applyNumberFormat="1">
      <alignment readingOrder="0"/>
    </xf>
    <xf borderId="15" fillId="3" fontId="3" numFmtId="164" xfId="0" applyAlignment="1" applyBorder="1" applyFont="1" applyNumberFormat="1">
      <alignment readingOrder="0"/>
    </xf>
    <xf borderId="15" fillId="5" fontId="3" numFmtId="164" xfId="0" applyBorder="1" applyFont="1" applyNumberFormat="1"/>
    <xf borderId="14" fillId="2" fontId="3" numFmtId="0" xfId="0" applyBorder="1" applyFont="1"/>
    <xf borderId="13" fillId="4" fontId="9" numFmtId="170" xfId="0" applyAlignment="1" applyBorder="1" applyFont="1" applyNumberFormat="1">
      <alignment readingOrder="0"/>
    </xf>
    <xf borderId="14" fillId="3" fontId="3" numFmtId="170" xfId="0" applyAlignment="1" applyBorder="1" applyFont="1" applyNumberFormat="1">
      <alignment readingOrder="0"/>
    </xf>
    <xf borderId="15" fillId="2" fontId="3" numFmtId="172" xfId="0" applyBorder="1" applyFont="1" applyNumberFormat="1"/>
    <xf borderId="13" fillId="2" fontId="0" numFmtId="165" xfId="0" applyBorder="1" applyFont="1" applyNumberFormat="1"/>
    <xf borderId="15" fillId="7" fontId="3" numFmtId="165" xfId="0" applyBorder="1" applyFont="1" applyNumberFormat="1"/>
    <xf borderId="14" fillId="7" fontId="3" numFmtId="164" xfId="0" applyBorder="1" applyFont="1" applyNumberFormat="1"/>
    <xf borderId="15" fillId="7" fontId="17" numFmtId="164" xfId="0" applyBorder="1" applyFont="1" applyNumberFormat="1"/>
    <xf borderId="14" fillId="7" fontId="15" numFmtId="164" xfId="0" applyAlignment="1" applyBorder="1" applyFont="1" applyNumberFormat="1">
      <alignment readingOrder="0"/>
    </xf>
    <xf borderId="15" fillId="8" fontId="17" numFmtId="164" xfId="0" applyBorder="1" applyFont="1" applyNumberFormat="1"/>
    <xf borderId="15" fillId="8" fontId="9" numFmtId="164" xfId="0" applyAlignment="1" applyBorder="1" applyFont="1" applyNumberFormat="1">
      <alignment readingOrder="0"/>
    </xf>
    <xf borderId="15" fillId="8" fontId="3" numFmtId="164" xfId="0" applyBorder="1" applyFont="1" applyNumberFormat="1"/>
    <xf borderId="14" fillId="8" fontId="3" numFmtId="164" xfId="0" applyBorder="1" applyFont="1" applyNumberFormat="1"/>
    <xf borderId="9" fillId="2" fontId="3" numFmtId="0" xfId="0" applyBorder="1" applyFont="1"/>
    <xf borderId="12" fillId="0" fontId="3" numFmtId="0" xfId="0" applyBorder="1" applyFont="1"/>
    <xf borderId="10" fillId="2" fontId="3" numFmtId="164" xfId="0" applyBorder="1" applyFont="1" applyNumberFormat="1"/>
    <xf borderId="9" fillId="2" fontId="3" numFmtId="170" xfId="0" applyBorder="1" applyFont="1" applyNumberFormat="1"/>
    <xf borderId="10" fillId="2" fontId="3" numFmtId="165" xfId="0" applyBorder="1" applyFont="1" applyNumberFormat="1"/>
    <xf borderId="9" fillId="7" fontId="3" numFmtId="0" xfId="0" applyBorder="1" applyFont="1"/>
    <xf borderId="10" fillId="7" fontId="3" numFmtId="164" xfId="0" applyBorder="1" applyFont="1" applyNumberFormat="1"/>
    <xf borderId="12" fillId="7" fontId="3" numFmtId="164" xfId="0" applyBorder="1" applyFont="1" applyNumberFormat="1"/>
    <xf borderId="8" fillId="0" fontId="18" numFmtId="0" xfId="0" applyAlignment="1" applyBorder="1" applyFont="1">
      <alignment horizontal="center" readingOrder="0"/>
    </xf>
    <xf borderId="8" fillId="0" fontId="18" numFmtId="164" xfId="0" applyAlignment="1" applyBorder="1" applyFont="1" applyNumberFormat="1">
      <alignment horizontal="center" readingOrder="0"/>
    </xf>
    <xf borderId="7" fillId="0" fontId="18" numFmtId="0" xfId="0" applyAlignment="1" applyBorder="1" applyFont="1">
      <alignment horizontal="center" readingOrder="0"/>
    </xf>
    <xf borderId="5" fillId="0" fontId="18" numFmtId="170" xfId="0" applyAlignment="1" applyBorder="1" applyFont="1" applyNumberFormat="1">
      <alignment horizontal="center" readingOrder="0"/>
    </xf>
    <xf borderId="7" fillId="0" fontId="18" numFmtId="164" xfId="0" applyAlignment="1" applyBorder="1" applyFont="1" applyNumberFormat="1">
      <alignment horizontal="center" readingOrder="0"/>
    </xf>
    <xf borderId="5" fillId="0" fontId="18" numFmtId="164" xfId="0" applyAlignment="1" applyBorder="1" applyFont="1" applyNumberFormat="1">
      <alignment horizontal="center" readingOrder="0"/>
    </xf>
    <xf borderId="7" fillId="0" fontId="18" numFmtId="0" xfId="0" applyAlignment="1" applyBorder="1" applyFont="1">
      <alignment horizontal="center" readingOrder="0"/>
    </xf>
    <xf borderId="3" fillId="0" fontId="9" numFmtId="0" xfId="0" applyAlignment="1" applyBorder="1" applyFont="1">
      <alignment horizontal="center" readingOrder="0"/>
    </xf>
    <xf borderId="0" fillId="0" fontId="9" numFmtId="0" xfId="0" applyAlignment="1" applyFont="1">
      <alignment horizontal="center" readingOrder="0"/>
    </xf>
    <xf borderId="2" fillId="0" fontId="9" numFmtId="0" xfId="0" applyAlignment="1" applyBorder="1" applyFont="1">
      <alignment readingOrder="0"/>
    </xf>
    <xf borderId="8" fillId="0" fontId="9" numFmtId="0" xfId="0" applyAlignment="1" applyBorder="1" applyFont="1">
      <alignment horizontal="center" readingOrder="0"/>
    </xf>
    <xf borderId="2" fillId="0" fontId="9" numFmtId="170" xfId="0" applyAlignment="1" applyBorder="1" applyFont="1" applyNumberFormat="1">
      <alignment readingOrder="0"/>
    </xf>
    <xf borderId="3" fillId="0" fontId="9" numFmtId="170" xfId="0" applyAlignment="1" applyBorder="1" applyFont="1" applyNumberFormat="1">
      <alignment readingOrder="0"/>
    </xf>
    <xf borderId="0" fillId="0" fontId="9" numFmtId="164" xfId="0" applyAlignment="1" applyFont="1" applyNumberFormat="1">
      <alignment horizontal="center" readingOrder="0"/>
    </xf>
    <xf borderId="0" fillId="0" fontId="9" numFmtId="164" xfId="0" applyAlignment="1" applyFont="1" applyNumberFormat="1">
      <alignment readingOrder="0"/>
    </xf>
    <xf borderId="0" fillId="0" fontId="9" numFmtId="0" xfId="0" applyAlignment="1" applyFont="1">
      <alignment horizontal="center" readingOrder="0"/>
    </xf>
    <xf borderId="6" fillId="0" fontId="9" numFmtId="0" xfId="0" applyAlignment="1" applyBorder="1" applyFont="1">
      <alignment readingOrder="0"/>
    </xf>
    <xf borderId="10" fillId="0" fontId="9" numFmtId="0" xfId="0" applyAlignment="1" applyBorder="1" applyFont="1">
      <alignment readingOrder="0"/>
    </xf>
    <xf borderId="5" fillId="0" fontId="9" numFmtId="0" xfId="0" applyAlignment="1" applyBorder="1" applyFont="1">
      <alignment readingOrder="0"/>
    </xf>
    <xf borderId="7" fillId="0" fontId="9" numFmtId="164" xfId="0" applyAlignment="1" applyBorder="1" applyFont="1" applyNumberFormat="1">
      <alignment readingOrder="0"/>
    </xf>
    <xf borderId="11" fillId="0" fontId="9" numFmtId="0" xfId="0" applyAlignment="1" applyBorder="1" applyFont="1">
      <alignment readingOrder="0"/>
    </xf>
    <xf borderId="7" fillId="0" fontId="9" numFmtId="0" xfId="0" applyAlignment="1" applyBorder="1" applyFont="1">
      <alignment horizontal="center" readingOrder="0"/>
    </xf>
    <xf borderId="9" fillId="0" fontId="3" numFmtId="170" xfId="0" applyAlignment="1" applyBorder="1" applyFont="1" applyNumberFormat="1">
      <alignment readingOrder="0"/>
    </xf>
    <xf borderId="6" fillId="0" fontId="9" numFmtId="170" xfId="0" applyAlignment="1" applyBorder="1" applyFont="1" applyNumberFormat="1">
      <alignment readingOrder="0"/>
    </xf>
    <xf borderId="9" fillId="0" fontId="9" numFmtId="0" xfId="0" applyAlignment="1" applyBorder="1" applyFont="1">
      <alignment horizontal="center" readingOrder="0"/>
    </xf>
    <xf borderId="10" fillId="0" fontId="9" numFmtId="0" xfId="0" applyAlignment="1" applyBorder="1" applyFont="1">
      <alignment horizontal="center" readingOrder="0"/>
    </xf>
    <xf borderId="12" fillId="0" fontId="9" numFmtId="164" xfId="0" applyAlignment="1" applyBorder="1" applyFont="1" applyNumberFormat="1">
      <alignment readingOrder="0"/>
    </xf>
    <xf borderId="12" fillId="0" fontId="9" numFmtId="0" xfId="0" applyAlignment="1" applyBorder="1" applyFont="1">
      <alignment readingOrder="0"/>
    </xf>
    <xf borderId="9" fillId="0" fontId="9" numFmtId="0" xfId="0" applyAlignment="1" applyBorder="1" applyFont="1">
      <alignment readingOrder="0"/>
    </xf>
    <xf borderId="10" fillId="0" fontId="9" numFmtId="0" xfId="0" applyAlignment="1" applyBorder="1" applyFont="1">
      <alignment readingOrder="0"/>
    </xf>
    <xf borderId="6" fillId="0" fontId="9" numFmtId="0" xfId="0" applyAlignment="1" applyBorder="1" applyFont="1">
      <alignment readingOrder="0"/>
    </xf>
    <xf borderId="6" fillId="6" fontId="9" numFmtId="49" xfId="0" applyAlignment="1" applyBorder="1" applyFont="1" applyNumberFormat="1">
      <alignment readingOrder="0"/>
    </xf>
    <xf borderId="6" fillId="5" fontId="4" numFmtId="171" xfId="0" applyAlignment="1" applyBorder="1" applyFont="1" applyNumberFormat="1">
      <alignment horizontal="right" vertical="bottom"/>
    </xf>
    <xf borderId="5" fillId="3" fontId="9" numFmtId="0" xfId="0" applyAlignment="1" applyBorder="1" applyFont="1">
      <alignment readingOrder="0"/>
    </xf>
    <xf borderId="6" fillId="5" fontId="4" numFmtId="164" xfId="0" applyAlignment="1" applyBorder="1" applyFont="1" applyNumberFormat="1">
      <alignment horizontal="right" vertical="bottom"/>
    </xf>
    <xf borderId="3" fillId="4" fontId="9" numFmtId="0" xfId="0" applyAlignment="1" applyBorder="1" applyFont="1">
      <alignment readingOrder="0"/>
    </xf>
    <xf borderId="7" fillId="2" fontId="9" numFmtId="164" xfId="0" applyBorder="1" applyFont="1" applyNumberFormat="1"/>
    <xf borderId="6" fillId="2" fontId="9" numFmtId="164" xfId="0" applyAlignment="1" applyBorder="1" applyFont="1" applyNumberFormat="1">
      <alignment readingOrder="0"/>
    </xf>
    <xf borderId="6" fillId="3" fontId="9" numFmtId="170" xfId="0" applyAlignment="1" applyBorder="1" applyFont="1" applyNumberFormat="1">
      <alignment readingOrder="0"/>
    </xf>
    <xf borderId="7" fillId="2" fontId="9" numFmtId="172" xfId="0" applyBorder="1" applyFont="1" applyNumberFormat="1"/>
    <xf borderId="0" fillId="7" fontId="9" numFmtId="165" xfId="0" applyFont="1" applyNumberFormat="1"/>
    <xf borderId="3" fillId="7" fontId="9" numFmtId="164" xfId="0" applyBorder="1" applyFont="1" applyNumberFormat="1"/>
    <xf borderId="7" fillId="7" fontId="9" numFmtId="164" xfId="0" applyBorder="1" applyFont="1" applyNumberFormat="1"/>
    <xf borderId="3" fillId="7" fontId="9" numFmtId="164" xfId="0" applyAlignment="1" applyBorder="1" applyFont="1" applyNumberFormat="1">
      <alignment readingOrder="0"/>
    </xf>
    <xf borderId="8" fillId="8" fontId="9" numFmtId="164" xfId="0" applyAlignment="1" applyBorder="1" applyFont="1" applyNumberFormat="1">
      <alignment readingOrder="0"/>
    </xf>
    <xf borderId="6" fillId="8" fontId="9" numFmtId="164" xfId="0" applyAlignment="1" applyBorder="1" applyFont="1" applyNumberFormat="1">
      <alignment readingOrder="0"/>
    </xf>
    <xf borderId="3" fillId="6" fontId="9" numFmtId="49" xfId="0" applyAlignment="1" applyBorder="1" applyFont="1" applyNumberFormat="1">
      <alignment readingOrder="0"/>
    </xf>
    <xf borderId="8" fillId="3" fontId="9" numFmtId="0" xfId="0" applyAlignment="1" applyBorder="1" applyFont="1">
      <alignment readingOrder="0"/>
    </xf>
    <xf borderId="3" fillId="5" fontId="4" numFmtId="164" xfId="0" applyAlignment="1" applyBorder="1" applyFont="1" applyNumberFormat="1">
      <alignment horizontal="right" vertical="bottom"/>
    </xf>
    <xf borderId="0" fillId="4" fontId="9" numFmtId="0" xfId="0" applyAlignment="1" applyFont="1">
      <alignment readingOrder="0"/>
    </xf>
    <xf borderId="8" fillId="2" fontId="9" numFmtId="164" xfId="0" applyBorder="1" applyFont="1" applyNumberFormat="1"/>
    <xf borderId="3" fillId="2" fontId="9" numFmtId="164" xfId="0" applyAlignment="1" applyBorder="1" applyFont="1" applyNumberFormat="1">
      <alignment readingOrder="0"/>
    </xf>
    <xf borderId="0" fillId="3" fontId="9" numFmtId="170" xfId="0" applyAlignment="1" applyFont="1" applyNumberFormat="1">
      <alignment readingOrder="0"/>
    </xf>
    <xf borderId="0" fillId="2" fontId="9" numFmtId="164" xfId="0" applyFont="1" applyNumberFormat="1"/>
    <xf borderId="0" fillId="2" fontId="9" numFmtId="172" xfId="0" applyFont="1" applyNumberFormat="1"/>
    <xf borderId="3" fillId="2" fontId="9" numFmtId="164" xfId="0" applyBorder="1" applyFont="1" applyNumberFormat="1"/>
    <xf borderId="0" fillId="2" fontId="0" numFmtId="165" xfId="0" applyFont="1" applyNumberFormat="1"/>
    <xf borderId="0" fillId="7" fontId="9" numFmtId="164" xfId="0" applyFont="1" applyNumberFormat="1"/>
    <xf borderId="8" fillId="7" fontId="9" numFmtId="164" xfId="0" applyBorder="1" applyFont="1" applyNumberFormat="1"/>
    <xf borderId="3" fillId="8" fontId="9" numFmtId="164" xfId="0" applyAlignment="1" applyBorder="1" applyFont="1" applyNumberFormat="1">
      <alignment readingOrder="0"/>
    </xf>
    <xf borderId="0" fillId="6" fontId="9" numFmtId="166" xfId="0" applyAlignment="1" applyFont="1" applyNumberFormat="1">
      <alignment readingOrder="0"/>
    </xf>
    <xf borderId="3" fillId="5" fontId="9" numFmtId="164" xfId="0" applyAlignment="1" applyBorder="1" applyFont="1" applyNumberFormat="1">
      <alignment readingOrder="0"/>
    </xf>
    <xf borderId="2" fillId="4" fontId="9" numFmtId="0" xfId="0" applyAlignment="1" applyBorder="1" applyFont="1">
      <alignment readingOrder="0"/>
    </xf>
    <xf borderId="3" fillId="3" fontId="9" numFmtId="170" xfId="0" applyAlignment="1" applyBorder="1" applyFont="1" applyNumberFormat="1">
      <alignment readingOrder="0"/>
    </xf>
    <xf borderId="8" fillId="4" fontId="9" numFmtId="0" xfId="0" applyAlignment="1" applyBorder="1" applyFont="1">
      <alignment readingOrder="0"/>
    </xf>
    <xf borderId="0" fillId="7" fontId="9" numFmtId="164" xfId="0" applyAlignment="1" applyFont="1" applyNumberFormat="1">
      <alignment readingOrder="0"/>
    </xf>
    <xf borderId="3" fillId="6" fontId="9" numFmtId="0" xfId="0" applyAlignment="1" applyBorder="1" applyFont="1">
      <alignment readingOrder="0"/>
    </xf>
    <xf borderId="3" fillId="10" fontId="4" numFmtId="171" xfId="0" applyAlignment="1" applyBorder="1" applyFill="1" applyFont="1" applyNumberFormat="1">
      <alignment horizontal="right" vertical="bottom"/>
    </xf>
    <xf borderId="14" fillId="6" fontId="9" numFmtId="49" xfId="0" applyAlignment="1" applyBorder="1" applyFont="1" applyNumberFormat="1">
      <alignment readingOrder="0"/>
    </xf>
    <xf borderId="15" fillId="6" fontId="9" numFmtId="166" xfId="0" applyAlignment="1" applyBorder="1" applyFont="1" applyNumberFormat="1">
      <alignment readingOrder="0"/>
    </xf>
    <xf borderId="14" fillId="5" fontId="4" numFmtId="171" xfId="0" applyAlignment="1" applyBorder="1" applyFont="1" applyNumberFormat="1">
      <alignment horizontal="right" vertical="bottom"/>
    </xf>
    <xf borderId="13" fillId="3" fontId="9" numFmtId="0" xfId="0" applyAlignment="1" applyBorder="1" applyFont="1">
      <alignment readingOrder="0"/>
    </xf>
    <xf borderId="14" fillId="5" fontId="9" numFmtId="164" xfId="0" applyAlignment="1" applyBorder="1" applyFont="1" applyNumberFormat="1">
      <alignment readingOrder="0"/>
    </xf>
    <xf borderId="15" fillId="2" fontId="9" numFmtId="164" xfId="0" applyBorder="1" applyFont="1" applyNumberFormat="1"/>
    <xf borderId="14" fillId="2" fontId="9" numFmtId="164" xfId="0" applyAlignment="1" applyBorder="1" applyFont="1" applyNumberFormat="1">
      <alignment readingOrder="0"/>
    </xf>
    <xf borderId="14" fillId="3" fontId="9" numFmtId="170" xfId="0" applyAlignment="1" applyBorder="1" applyFont="1" applyNumberFormat="1">
      <alignment readingOrder="0"/>
    </xf>
    <xf borderId="13" fillId="2" fontId="9" numFmtId="164" xfId="0" applyBorder="1" applyFont="1" applyNumberFormat="1"/>
    <xf borderId="15" fillId="2" fontId="9" numFmtId="172" xfId="0" applyBorder="1" applyFont="1" applyNumberFormat="1"/>
    <xf borderId="14" fillId="2" fontId="9" numFmtId="164" xfId="0" applyBorder="1" applyFont="1" applyNumberFormat="1"/>
    <xf borderId="15" fillId="7" fontId="9" numFmtId="165" xfId="0" applyBorder="1" applyFont="1" applyNumberFormat="1"/>
    <xf borderId="14" fillId="7" fontId="9" numFmtId="164" xfId="0" applyBorder="1" applyFont="1" applyNumberFormat="1"/>
    <xf borderId="13" fillId="7" fontId="9" numFmtId="164" xfId="0" applyBorder="1" applyFont="1" applyNumberFormat="1"/>
    <xf borderId="14" fillId="7" fontId="9" numFmtId="164" xfId="0" applyAlignment="1" applyBorder="1" applyFont="1" applyNumberFormat="1">
      <alignment readingOrder="0"/>
    </xf>
    <xf borderId="14" fillId="8" fontId="9" numFmtId="164" xfId="0" applyAlignment="1" applyBorder="1" applyFont="1" applyNumberFormat="1">
      <alignment readingOrder="0"/>
    </xf>
    <xf borderId="13" fillId="2" fontId="3" numFmtId="164" xfId="0" applyBorder="1" applyFont="1" applyNumberFormat="1"/>
    <xf borderId="9" fillId="7" fontId="3" numFmtId="165" xfId="0" applyBorder="1" applyFont="1" applyNumberFormat="1"/>
    <xf borderId="0" fillId="0" fontId="3" numFmtId="168" xfId="0" applyFont="1" applyNumberFormat="1"/>
    <xf borderId="0" fillId="5" fontId="3" numFmtId="10" xfId="0" applyAlignment="1" applyFont="1" applyNumberFormat="1">
      <alignment readingOrder="0"/>
    </xf>
    <xf borderId="0" fillId="0" fontId="1" numFmtId="164" xfId="0" applyAlignment="1" applyFont="1" applyNumberFormat="1">
      <alignment horizontal="left" readingOrder="0"/>
    </xf>
    <xf borderId="0" fillId="0" fontId="1" numFmtId="0" xfId="0" applyAlignment="1" applyFont="1">
      <alignment horizontal="left" readingOrder="0"/>
    </xf>
    <xf borderId="0" fillId="0" fontId="8" numFmtId="0" xfId="0" applyAlignment="1" applyFont="1">
      <alignment readingOrder="0"/>
    </xf>
    <xf borderId="0" fillId="9" fontId="19" numFmtId="164" xfId="0" applyFont="1" applyNumberFormat="1"/>
    <xf borderId="0" fillId="0" fontId="4" numFmtId="164" xfId="0" applyAlignment="1" applyFont="1" applyNumberFormat="1">
      <alignment horizontal="right" vertical="bottom"/>
    </xf>
    <xf borderId="0" fillId="0" fontId="1" numFmtId="164" xfId="0" applyAlignment="1" applyFont="1" applyNumberFormat="1">
      <alignment readingOrder="0"/>
    </xf>
    <xf borderId="0" fillId="0" fontId="3" numFmtId="166" xfId="0" applyAlignment="1" applyFont="1" applyNumberFormat="1">
      <alignment readingOrder="0"/>
    </xf>
    <xf borderId="0" fillId="5" fontId="9" numFmtId="0" xfId="0" applyAlignment="1" applyFont="1">
      <alignment readingOrder="0"/>
    </xf>
    <xf borderId="0" fillId="0" fontId="3" numFmtId="171" xfId="0" applyAlignment="1" applyFont="1" applyNumberFormat="1">
      <alignment readingOrder="0"/>
    </xf>
    <xf borderId="0" fillId="9" fontId="9" numFmtId="164" xfId="0" applyFont="1" applyNumberFormat="1"/>
    <xf borderId="0" fillId="0" fontId="9" numFmtId="164" xfId="0" applyAlignment="1" applyFont="1" applyNumberFormat="1">
      <alignment horizontal="right" readingOrder="0"/>
    </xf>
    <xf borderId="0" fillId="0" fontId="7" numFmtId="164" xfId="0" applyAlignment="1" applyFont="1" applyNumberFormat="1">
      <alignment horizontal="center" readingOrder="0"/>
    </xf>
    <xf borderId="0" fillId="0" fontId="20" numFmtId="164" xfId="0" applyAlignment="1" applyFont="1" applyNumberFormat="1">
      <alignment horizontal="center" readingOrder="0"/>
    </xf>
    <xf borderId="0" fillId="9" fontId="21" numFmtId="164" xfId="0" applyAlignment="1" applyFont="1" applyNumberFormat="1">
      <alignment horizontal="right" readingOrder="0"/>
    </xf>
    <xf borderId="0" fillId="0" fontId="1" numFmtId="9" xfId="0" applyAlignment="1" applyFont="1" applyNumberFormat="1">
      <alignment readingOrder="0"/>
    </xf>
    <xf borderId="0" fillId="0" fontId="3" numFmtId="0" xfId="0" applyFont="1"/>
    <xf borderId="0" fillId="0" fontId="1" numFmtId="9" xfId="0" applyAlignment="1" applyFont="1" applyNumberFormat="1">
      <alignment horizontal="right" readingOrder="0"/>
    </xf>
    <xf borderId="0" fillId="0" fontId="22" numFmtId="9" xfId="0" applyAlignment="1" applyFont="1" applyNumberFormat="1">
      <alignment readingOrder="0"/>
    </xf>
    <xf borderId="0" fillId="0" fontId="1" numFmtId="10" xfId="0" applyAlignment="1" applyFont="1" applyNumberFormat="1">
      <alignment readingOrder="0"/>
    </xf>
    <xf borderId="0" fillId="0" fontId="0" numFmtId="164" xfId="0" applyAlignment="1" applyFont="1" applyNumberFormat="1">
      <alignment readingOrder="0"/>
    </xf>
  </cellXfs>
  <cellStyles count="1">
    <cellStyle xfId="0" name="Normal" builtinId="0"/>
  </cellStyles>
  <dxfs count="7">
    <dxf>
      <font/>
      <fill>
        <patternFill patternType="solid">
          <fgColor rgb="FFDED5BA"/>
          <bgColor rgb="FFDED5BA"/>
        </patternFill>
      </fill>
      <border/>
    </dxf>
    <dxf>
      <font>
        <color rgb="FFFF0000"/>
      </font>
      <fill>
        <patternFill patternType="none"/>
      </fill>
      <border/>
    </dxf>
    <dxf>
      <font>
        <color rgb="FFE69138"/>
      </font>
      <fill>
        <patternFill patternType="none"/>
      </fill>
      <border/>
    </dxf>
    <dxf>
      <font/>
      <fill>
        <patternFill patternType="solid">
          <fgColor rgb="FFFFFFFF"/>
          <bgColor rgb="FFFFFFFF"/>
        </patternFill>
      </fill>
      <border/>
    </dxf>
    <dxf>
      <font/>
      <fill>
        <patternFill patternType="solid">
          <fgColor rgb="FFFCE5CD"/>
          <bgColor rgb="FFFCE5CD"/>
        </patternFill>
      </fill>
      <border/>
    </dxf>
    <dxf>
      <font/>
      <fill>
        <patternFill patternType="solid">
          <fgColor rgb="FFA2C4C9"/>
          <bgColor rgb="FFA2C4C9"/>
        </patternFill>
      </fill>
      <border/>
    </dxf>
    <dxf>
      <font>
        <color rgb="FFD0E0E3"/>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hickeng/financial" TargetMode="External"/><Relationship Id="rId3" Type="http://schemas.openxmlformats.org/officeDocument/2006/relationships/hyperlink" Target="https://us.etrade.com/etx/sp/stockplan" TargetMode="External"/><Relationship Id="rId4" Type="http://schemas.openxmlformats.org/officeDocument/2006/relationships/hyperlink" Target="https://us.etrade.com/e/t/accounts/txnhistory" TargetMode="External"/><Relationship Id="rId5" Type="http://schemas.openxmlformats.org/officeDocument/2006/relationships/hyperlink" Target="https://github.com/hickeng/financial"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75"/>
    <col customWidth="1" min="2" max="2" width="16.5"/>
    <col customWidth="1" min="3" max="3" width="14.0"/>
    <col customWidth="1" min="4" max="4" width="21.25"/>
    <col customWidth="1" min="5" max="5" width="14.0"/>
    <col customWidth="1" min="6" max="6" width="11.63"/>
    <col customWidth="1" min="7" max="7" width="13.38"/>
    <col customWidth="1" min="8" max="8" width="18.0"/>
    <col customWidth="1" min="9" max="9" width="9.25"/>
    <col customWidth="1" min="10" max="10" width="20.38"/>
    <col customWidth="1" min="11" max="11" width="16.88"/>
  </cols>
  <sheetData>
    <row r="1">
      <c r="A1" s="1" t="s">
        <v>0</v>
      </c>
      <c r="C1" s="2" t="s">
        <v>1</v>
      </c>
      <c r="E1" s="3" t="s">
        <v>2</v>
      </c>
    </row>
    <row r="2">
      <c r="A2" s="4" t="s">
        <v>3</v>
      </c>
      <c r="C2" s="5" t="s">
        <v>4</v>
      </c>
      <c r="D2" s="6"/>
    </row>
    <row r="3">
      <c r="A3" s="7" t="s">
        <v>5</v>
      </c>
      <c r="C3" s="8" t="s">
        <v>6</v>
      </c>
      <c r="D3" s="6"/>
    </row>
    <row r="4">
      <c r="A4" s="9" t="s">
        <v>7</v>
      </c>
      <c r="C4" s="10" t="s">
        <v>8</v>
      </c>
      <c r="D4" s="6"/>
    </row>
    <row r="5">
      <c r="A5" s="11" t="s">
        <v>9</v>
      </c>
      <c r="C5" s="6"/>
      <c r="D5" s="5" t="s">
        <v>10</v>
      </c>
    </row>
    <row r="6">
      <c r="A6" s="12" t="s">
        <v>11</v>
      </c>
      <c r="C6" s="6"/>
      <c r="D6" s="5" t="s">
        <v>12</v>
      </c>
    </row>
    <row r="7">
      <c r="A7" s="13" t="s">
        <v>13</v>
      </c>
      <c r="C7" s="6"/>
      <c r="D7" s="5" t="s">
        <v>14</v>
      </c>
    </row>
    <row r="8">
      <c r="A8" s="14" t="s">
        <v>15</v>
      </c>
      <c r="C8" s="6"/>
      <c r="D8" s="5" t="s">
        <v>16</v>
      </c>
    </row>
    <row r="9">
      <c r="A9" s="15" t="s">
        <v>17</v>
      </c>
      <c r="C9" s="16" t="s">
        <v>18</v>
      </c>
      <c r="D9" s="6"/>
    </row>
    <row r="10">
      <c r="C10" s="17" t="s">
        <v>19</v>
      </c>
      <c r="D10" s="6"/>
    </row>
    <row r="11">
      <c r="C11" s="17" t="s">
        <v>20</v>
      </c>
      <c r="D11" s="6"/>
    </row>
    <row r="12">
      <c r="C12" s="17" t="s">
        <v>21</v>
      </c>
      <c r="D12" s="6"/>
    </row>
    <row r="13">
      <c r="C13" s="17" t="s">
        <v>22</v>
      </c>
      <c r="D13" s="6"/>
    </row>
    <row r="14">
      <c r="C14" s="6"/>
      <c r="D14" s="5" t="s">
        <v>23</v>
      </c>
    </row>
    <row r="15">
      <c r="C15" s="6"/>
      <c r="D15" s="5" t="s">
        <v>24</v>
      </c>
    </row>
    <row r="16">
      <c r="C16" s="6"/>
      <c r="D16" s="5" t="s">
        <v>25</v>
      </c>
    </row>
    <row r="17">
      <c r="C17" s="17" t="s">
        <v>26</v>
      </c>
      <c r="D17" s="18"/>
    </row>
    <row r="18">
      <c r="C18" s="18"/>
      <c r="D18" s="5" t="s">
        <v>27</v>
      </c>
    </row>
    <row r="19">
      <c r="C19" s="17" t="s">
        <v>28</v>
      </c>
      <c r="D19" s="6"/>
    </row>
    <row r="20">
      <c r="C20" s="17" t="s">
        <v>29</v>
      </c>
      <c r="D20" s="6"/>
    </row>
    <row r="22">
      <c r="A22" s="19" t="s">
        <v>30</v>
      </c>
      <c r="B22" s="20"/>
      <c r="D22" s="19" t="s">
        <v>31</v>
      </c>
      <c r="E22" s="21"/>
      <c r="F22" s="21"/>
      <c r="G22" s="21"/>
      <c r="H22" s="20"/>
      <c r="J22" s="19" t="s">
        <v>32</v>
      </c>
      <c r="K22" s="21"/>
      <c r="L22" s="22"/>
      <c r="M22" s="22"/>
      <c r="N22" s="22"/>
      <c r="O22" s="23"/>
      <c r="P22" s="24"/>
    </row>
    <row r="23">
      <c r="A23" s="25"/>
      <c r="B23" s="26"/>
      <c r="D23" s="27"/>
      <c r="H23" s="28"/>
      <c r="J23" s="27"/>
      <c r="P23" s="28"/>
    </row>
    <row r="24">
      <c r="A24" s="29" t="s">
        <v>33</v>
      </c>
      <c r="B24" s="30"/>
      <c r="D24" s="31" t="s">
        <v>34</v>
      </c>
      <c r="E24" s="32" t="s">
        <v>35</v>
      </c>
      <c r="F24" s="32" t="s">
        <v>36</v>
      </c>
      <c r="G24" s="33" t="s">
        <v>37</v>
      </c>
      <c r="H24" s="34" t="s">
        <v>38</v>
      </c>
      <c r="J24" s="27"/>
      <c r="L24" s="2" t="s">
        <v>39</v>
      </c>
      <c r="M24" s="35" t="s">
        <v>40</v>
      </c>
      <c r="P24" s="28"/>
    </row>
    <row r="25">
      <c r="A25" s="25" t="s">
        <v>41</v>
      </c>
      <c r="B25" s="36"/>
      <c r="D25" s="37" t="s">
        <v>42</v>
      </c>
      <c r="E25" s="38">
        <v>2022.0</v>
      </c>
      <c r="F25" s="38">
        <v>24.0</v>
      </c>
      <c r="G25" s="39"/>
      <c r="H25" s="40" t="s">
        <v>43</v>
      </c>
      <c r="J25" s="25" t="s">
        <v>44</v>
      </c>
      <c r="K25" s="41" t="s">
        <v>45</v>
      </c>
      <c r="L25" s="42">
        <f>Reference!B18</f>
        <v>979.5</v>
      </c>
      <c r="M25" s="43">
        <v>123.45</v>
      </c>
      <c r="P25" s="28"/>
    </row>
    <row r="26">
      <c r="A26" s="44" t="s">
        <v>46</v>
      </c>
      <c r="B26" s="45"/>
      <c r="D26" s="46" t="s">
        <v>47</v>
      </c>
      <c r="E26" s="47">
        <v>2023.0</v>
      </c>
      <c r="F26" s="47">
        <v>1.0</v>
      </c>
      <c r="G26" s="48"/>
      <c r="H26" s="49" t="s">
        <v>48</v>
      </c>
      <c r="J26" s="25" t="s">
        <v>49</v>
      </c>
      <c r="K26" s="50" t="s">
        <v>50</v>
      </c>
      <c r="L26" s="51"/>
      <c r="M26" s="51"/>
      <c r="P26" s="28"/>
    </row>
    <row r="27">
      <c r="A27" s="25"/>
      <c r="B27" s="52"/>
      <c r="C27" s="53"/>
      <c r="D27" s="46" t="s">
        <v>47</v>
      </c>
      <c r="E27" s="47">
        <v>2023.0</v>
      </c>
      <c r="F27" s="47">
        <v>2.0</v>
      </c>
      <c r="G27" s="48"/>
      <c r="H27" s="49" t="s">
        <v>51</v>
      </c>
      <c r="J27" s="25" t="s">
        <v>52</v>
      </c>
      <c r="K27" s="50" t="s">
        <v>53</v>
      </c>
      <c r="L27" s="42">
        <f>Reference!B23</f>
        <v>904.79</v>
      </c>
      <c r="M27" s="43">
        <v>123.45</v>
      </c>
      <c r="P27" s="28"/>
    </row>
    <row r="28">
      <c r="A28" s="54" t="s">
        <v>54</v>
      </c>
      <c r="B28" s="52"/>
      <c r="C28" s="53"/>
      <c r="D28" s="46" t="s">
        <v>47</v>
      </c>
      <c r="E28" s="47">
        <v>2023.0</v>
      </c>
      <c r="F28" s="47">
        <v>16.0</v>
      </c>
      <c r="G28" s="48"/>
      <c r="H28" s="49" t="s">
        <v>55</v>
      </c>
      <c r="J28" s="25"/>
      <c r="K28" s="55"/>
      <c r="P28" s="28"/>
    </row>
    <row r="29">
      <c r="A29" s="25" t="s">
        <v>56</v>
      </c>
      <c r="B29" s="56"/>
      <c r="C29" s="53"/>
      <c r="D29" s="46" t="s">
        <v>47</v>
      </c>
      <c r="E29" s="47">
        <v>2023.0</v>
      </c>
      <c r="F29" s="47">
        <v>17.0</v>
      </c>
      <c r="G29" s="48"/>
      <c r="H29" s="49" t="s">
        <v>57</v>
      </c>
      <c r="J29" s="25" t="s">
        <v>58</v>
      </c>
      <c r="K29" s="43">
        <v>0.0</v>
      </c>
      <c r="P29" s="28"/>
    </row>
    <row r="30">
      <c r="A30" s="25" t="s">
        <v>59</v>
      </c>
      <c r="B30" s="57"/>
      <c r="C30" s="53"/>
      <c r="D30" s="58"/>
      <c r="E30" s="47"/>
      <c r="F30" s="47"/>
      <c r="G30" s="59"/>
      <c r="H30" s="49"/>
      <c r="J30" s="25" t="s">
        <v>60</v>
      </c>
      <c r="K30" s="43">
        <v>0.0</v>
      </c>
      <c r="P30" s="28"/>
    </row>
    <row r="31">
      <c r="A31" s="44" t="s">
        <v>61</v>
      </c>
      <c r="B31" s="60"/>
      <c r="C31" s="53"/>
      <c r="D31" s="61"/>
      <c r="E31" s="62"/>
      <c r="F31" s="63"/>
      <c r="G31" s="63"/>
      <c r="H31" s="64"/>
      <c r="J31" s="25" t="s">
        <v>62</v>
      </c>
      <c r="K31" s="43">
        <v>0.0</v>
      </c>
      <c r="P31" s="28"/>
    </row>
    <row r="32">
      <c r="C32" s="53"/>
      <c r="D32" s="53"/>
      <c r="E32" s="53"/>
      <c r="F32" s="35"/>
      <c r="G32" s="35"/>
      <c r="J32" s="25" t="s">
        <v>63</v>
      </c>
      <c r="K32" s="65" t="s">
        <v>64</v>
      </c>
      <c r="L32" s="2"/>
      <c r="P32" s="28"/>
    </row>
    <row r="33">
      <c r="C33" s="53"/>
      <c r="D33" s="53"/>
      <c r="E33" s="53"/>
      <c r="F33" s="35"/>
      <c r="G33" s="35"/>
      <c r="J33" s="44" t="s">
        <v>65</v>
      </c>
      <c r="K33" s="66" t="s">
        <v>66</v>
      </c>
      <c r="L33" s="67">
        <f>SWITCH(K33, "By status", SWITCH(K32,"Single",Reference!B35,"Joint",Reference!C35,"Head of household",Reference!D35), "Custom",M33)</f>
        <v>13850</v>
      </c>
      <c r="M33" s="66"/>
      <c r="N33" s="68" t="s">
        <v>67</v>
      </c>
      <c r="O33" s="67"/>
      <c r="P33" s="64"/>
    </row>
    <row r="34">
      <c r="A34" s="19" t="s">
        <v>68</v>
      </c>
      <c r="B34" s="69"/>
      <c r="C34" s="69"/>
      <c r="D34" s="69"/>
      <c r="E34" s="69"/>
      <c r="F34" s="69"/>
      <c r="G34" s="21"/>
      <c r="H34" s="20"/>
    </row>
    <row r="35">
      <c r="A35" s="27"/>
      <c r="B35" s="2"/>
      <c r="C35" s="70"/>
      <c r="D35" s="70"/>
      <c r="E35" s="70"/>
      <c r="F35" s="70"/>
      <c r="H35" s="64"/>
    </row>
    <row r="36">
      <c r="A36" s="19" t="s">
        <v>69</v>
      </c>
      <c r="B36" s="71"/>
      <c r="C36" s="69"/>
      <c r="D36" s="69"/>
      <c r="E36" s="69"/>
      <c r="F36" s="69"/>
      <c r="G36" s="21"/>
      <c r="H36" s="28"/>
    </row>
    <row r="37">
      <c r="H37" s="28"/>
      <c r="O37" s="2"/>
      <c r="P37" s="2"/>
      <c r="Q37" s="70"/>
      <c r="R37" s="70"/>
      <c r="T37" s="2"/>
    </row>
    <row r="38">
      <c r="B38" s="72" t="s">
        <v>70</v>
      </c>
      <c r="C38" s="72" t="s">
        <v>71</v>
      </c>
      <c r="D38" s="72" t="s">
        <v>72</v>
      </c>
      <c r="E38" s="72" t="s">
        <v>73</v>
      </c>
      <c r="F38" s="72" t="s">
        <v>74</v>
      </c>
      <c r="G38" s="2" t="s">
        <v>75</v>
      </c>
      <c r="H38" s="28"/>
      <c r="O38" s="2"/>
      <c r="R38" s="70"/>
    </row>
    <row r="39">
      <c r="A39" s="19" t="s">
        <v>76</v>
      </c>
      <c r="B39" s="73"/>
      <c r="C39" s="74">
        <f>MOD(SWITCH(K26, "Calculated",ESPP!S26+RSU!O84, "Manual entries", ESPP!M26+RSU!I84),1)</f>
        <v>0</v>
      </c>
      <c r="D39" s="21"/>
      <c r="E39" s="21"/>
      <c r="F39" s="75">
        <f>ROUNDDOWN(SWITCH(K26, "Calculated",ESPP!S26+RSU!O84, "Manual entries", ESPP!M26+RSU!I84))</f>
        <v>0</v>
      </c>
      <c r="G39" s="20"/>
      <c r="H39" s="28"/>
      <c r="O39" s="2"/>
      <c r="T39" s="51"/>
    </row>
    <row r="40">
      <c r="A40" s="76" t="s">
        <v>77</v>
      </c>
      <c r="B40" s="77">
        <f>ESPP!O26+RSU!K84</f>
        <v>0</v>
      </c>
      <c r="C40" s="78">
        <f>ROUND(C39*Reference!B23,2)</f>
        <v>0</v>
      </c>
      <c r="D40" s="79">
        <f>ESPP!X26+RSU!T84</f>
        <v>0</v>
      </c>
      <c r="E40" s="79">
        <f>ESPP!Y26+RSU!U84</f>
        <v>0</v>
      </c>
      <c r="F40" s="80">
        <f>F39*Reference!B18</f>
        <v>0</v>
      </c>
      <c r="G40" s="64"/>
      <c r="H40" s="28"/>
      <c r="O40" s="2"/>
      <c r="R40" s="81"/>
      <c r="T40" s="51"/>
    </row>
    <row r="41">
      <c r="A41" s="27"/>
      <c r="B41" s="27"/>
      <c r="G41" s="28"/>
      <c r="H41" s="28"/>
      <c r="O41" s="2"/>
      <c r="Q41" s="82"/>
      <c r="R41" s="81"/>
      <c r="S41" s="51"/>
    </row>
    <row r="42">
      <c r="A42" s="83" t="s">
        <v>78</v>
      </c>
      <c r="B42" s="84"/>
      <c r="C42" s="85"/>
      <c r="D42" s="86">
        <f>RSU!X84</f>
        <v>0</v>
      </c>
      <c r="E42" s="86">
        <f>RSU!Y84+ESPP!AD26</f>
        <v>0</v>
      </c>
      <c r="F42" s="85"/>
      <c r="G42" s="87">
        <f>ESPP!AC26</f>
        <v>0</v>
      </c>
      <c r="H42" s="28"/>
      <c r="R42" s="81"/>
      <c r="S42" s="51"/>
    </row>
    <row r="43">
      <c r="H43" s="28"/>
    </row>
    <row r="44">
      <c r="H44" s="28"/>
    </row>
    <row r="45">
      <c r="H45" s="28"/>
    </row>
    <row r="46">
      <c r="A46" s="71" t="s">
        <v>79</v>
      </c>
      <c r="B46" s="88" t="s">
        <v>80</v>
      </c>
      <c r="C46" s="89" t="s">
        <v>81</v>
      </c>
      <c r="D46" s="90"/>
      <c r="E46" s="90"/>
      <c r="F46" s="90"/>
      <c r="G46" s="90"/>
      <c r="H46" s="91"/>
    </row>
    <row r="47">
      <c r="B47" s="70"/>
      <c r="C47" s="92" t="s">
        <v>82</v>
      </c>
      <c r="D47" s="70"/>
      <c r="E47" s="70"/>
      <c r="F47" s="70"/>
      <c r="H47" s="28"/>
    </row>
    <row r="48">
      <c r="B48" s="70"/>
      <c r="C48" s="70"/>
      <c r="D48" s="70"/>
      <c r="E48" s="70"/>
      <c r="F48" s="70"/>
      <c r="H48" s="28"/>
    </row>
    <row r="49">
      <c r="A49" s="27"/>
      <c r="B49" s="70" t="s">
        <v>83</v>
      </c>
      <c r="C49" s="70" t="s">
        <v>84</v>
      </c>
      <c r="E49" s="70" t="s">
        <v>85</v>
      </c>
      <c r="H49" s="28"/>
    </row>
    <row r="50">
      <c r="A50" s="76"/>
      <c r="B50" s="93"/>
      <c r="C50" s="94" t="s">
        <v>86</v>
      </c>
      <c r="D50" s="95" t="s">
        <v>87</v>
      </c>
      <c r="E50" s="94" t="s">
        <v>88</v>
      </c>
      <c r="F50" s="96" t="s">
        <v>89</v>
      </c>
      <c r="H50" s="28"/>
    </row>
    <row r="51">
      <c r="A51" s="76" t="s">
        <v>90</v>
      </c>
      <c r="B51" s="97">
        <f>Reference!B56</f>
        <v>0</v>
      </c>
      <c r="C51" s="98">
        <f>1.1*G25</f>
        <v>0</v>
      </c>
      <c r="D51" s="99">
        <f>C51-G27</f>
        <v>0</v>
      </c>
      <c r="E51" s="100">
        <v>0.0</v>
      </c>
      <c r="F51" s="101">
        <f>B51+B52-G27-E51</f>
        <v>0</v>
      </c>
      <c r="H51" s="28"/>
    </row>
    <row r="52">
      <c r="A52" s="76" t="s">
        <v>91</v>
      </c>
      <c r="B52" s="102">
        <f>Reference!B57</f>
        <v>0</v>
      </c>
      <c r="C52" s="103"/>
      <c r="D52" s="28"/>
      <c r="E52" s="27"/>
      <c r="F52" s="28"/>
      <c r="H52" s="28"/>
    </row>
    <row r="53">
      <c r="A53" s="76" t="s">
        <v>92</v>
      </c>
      <c r="B53" s="104">
        <f>Reference!B58</f>
        <v>0</v>
      </c>
      <c r="C53" s="105">
        <f>0.9 * B53</f>
        <v>0</v>
      </c>
      <c r="D53" s="106">
        <f>C53-G29</f>
        <v>0</v>
      </c>
      <c r="E53" s="107">
        <v>0.0</v>
      </c>
      <c r="F53" s="108">
        <f>B53-G29-E53</f>
        <v>0</v>
      </c>
      <c r="H53" s="28"/>
    </row>
    <row r="54">
      <c r="A54" s="109" t="s">
        <v>93</v>
      </c>
      <c r="B54" s="110">
        <f>B51+B53</f>
        <v>0</v>
      </c>
      <c r="C54" s="111">
        <f t="shared" ref="C54:F54" si="1">SUM(C51:C53)</f>
        <v>0</v>
      </c>
      <c r="D54" s="112">
        <f t="shared" si="1"/>
        <v>0</v>
      </c>
      <c r="E54" s="113">
        <f t="shared" si="1"/>
        <v>0</v>
      </c>
      <c r="F54" s="114">
        <f t="shared" si="1"/>
        <v>0</v>
      </c>
      <c r="G54" s="67"/>
      <c r="H54" s="64"/>
    </row>
    <row r="57">
      <c r="E57" s="3" t="s">
        <v>94</v>
      </c>
    </row>
    <row r="62">
      <c r="B62" s="51"/>
      <c r="C62" s="51"/>
      <c r="D62" s="51"/>
    </row>
    <row r="66">
      <c r="C66" s="115"/>
      <c r="D66" s="115"/>
    </row>
    <row r="67">
      <c r="B67" s="55"/>
      <c r="C67" s="51"/>
      <c r="D67" s="51"/>
      <c r="E67" s="51"/>
      <c r="F67" s="51"/>
    </row>
    <row r="68">
      <c r="B68" s="51"/>
      <c r="C68" s="53"/>
    </row>
    <row r="69">
      <c r="B69" s="116"/>
      <c r="C69" s="55"/>
    </row>
    <row r="70">
      <c r="C70" s="51"/>
      <c r="D70" s="51"/>
      <c r="E70" s="55"/>
      <c r="F70" s="55"/>
    </row>
    <row r="71">
      <c r="C71" s="51"/>
      <c r="D71" s="51"/>
      <c r="E71" s="55"/>
      <c r="F71" s="55"/>
    </row>
    <row r="72">
      <c r="C72" s="117"/>
      <c r="D72" s="118"/>
      <c r="E72" s="119"/>
      <c r="F72" s="120"/>
    </row>
    <row r="73">
      <c r="B73" s="121"/>
      <c r="C73" s="51"/>
      <c r="D73" s="51"/>
      <c r="E73" s="51"/>
      <c r="F73" s="51"/>
    </row>
    <row r="74">
      <c r="B74" s="122"/>
      <c r="C74" s="51"/>
      <c r="D74" s="51"/>
      <c r="E74" s="51"/>
      <c r="F74" s="51"/>
    </row>
    <row r="75">
      <c r="B75" s="51"/>
      <c r="C75" s="51"/>
      <c r="D75" s="51"/>
      <c r="E75" s="51"/>
      <c r="F75" s="51"/>
    </row>
    <row r="76">
      <c r="B76" s="51"/>
      <c r="C76" s="51"/>
      <c r="D76" s="51"/>
      <c r="E76" s="51"/>
      <c r="F76" s="51"/>
    </row>
    <row r="77">
      <c r="B77" s="123"/>
      <c r="C77" s="51"/>
      <c r="D77" s="51"/>
      <c r="E77" s="51"/>
      <c r="F77" s="51"/>
    </row>
    <row r="78">
      <c r="B78" s="51"/>
      <c r="C78" s="51"/>
      <c r="D78" s="51"/>
      <c r="E78" s="51"/>
      <c r="F78" s="51"/>
    </row>
    <row r="79">
      <c r="C79" s="51"/>
      <c r="D79" s="51"/>
      <c r="E79" s="51"/>
      <c r="F79" s="51"/>
    </row>
    <row r="80">
      <c r="C80" s="51"/>
      <c r="D80" s="51"/>
      <c r="E80" s="51"/>
      <c r="F80" s="51"/>
    </row>
    <row r="81">
      <c r="B81" s="82"/>
      <c r="C81" s="51"/>
      <c r="D81" s="51"/>
      <c r="E81" s="51"/>
      <c r="F81" s="51"/>
    </row>
    <row r="82">
      <c r="B82" s="124"/>
      <c r="C82" s="51"/>
      <c r="D82" s="51"/>
      <c r="E82" s="51"/>
      <c r="F82" s="51"/>
    </row>
    <row r="83">
      <c r="C83" s="55"/>
      <c r="E83" s="51"/>
      <c r="F83" s="51"/>
    </row>
    <row r="84">
      <c r="B84" s="125"/>
      <c r="C84" s="55"/>
    </row>
    <row r="87">
      <c r="C87" s="55"/>
      <c r="D87" s="55"/>
      <c r="E87" s="55"/>
      <c r="F87" s="122"/>
      <c r="G87" s="122"/>
    </row>
    <row r="88">
      <c r="B88" s="51"/>
    </row>
    <row r="95">
      <c r="C95" s="70"/>
      <c r="D95" s="70"/>
      <c r="E95" s="126"/>
      <c r="F95" s="70"/>
    </row>
    <row r="96">
      <c r="C96" s="70"/>
      <c r="D96" s="70"/>
      <c r="E96" s="126"/>
      <c r="F96" s="70"/>
    </row>
    <row r="97">
      <c r="C97" s="127"/>
      <c r="D97" s="127"/>
      <c r="E97" s="51"/>
      <c r="F97" s="51"/>
    </row>
    <row r="98">
      <c r="C98" s="51"/>
      <c r="D98" s="51"/>
      <c r="E98" s="51"/>
      <c r="F98" s="55"/>
    </row>
    <row r="99">
      <c r="C99" s="51"/>
      <c r="D99" s="51"/>
      <c r="E99" s="51"/>
      <c r="F99" s="128"/>
    </row>
    <row r="100">
      <c r="C100" s="51"/>
      <c r="D100" s="51"/>
      <c r="E100" s="51"/>
      <c r="F100" s="128"/>
    </row>
  </sheetData>
  <mergeCells count="3">
    <mergeCell ref="C46:H46"/>
    <mergeCell ref="C49:D49"/>
    <mergeCell ref="E49:F49"/>
  </mergeCells>
  <conditionalFormatting sqref="B29">
    <cfRule type="containsBlanks" dxfId="0" priority="1">
      <formula>LEN(TRIM(B29))=0</formula>
    </cfRule>
  </conditionalFormatting>
  <conditionalFormatting sqref="B29">
    <cfRule type="cellIs" dxfId="1" priority="2" operator="notEqual">
      <formula>B25+B26</formula>
    </cfRule>
  </conditionalFormatting>
  <conditionalFormatting sqref="B30">
    <cfRule type="containsBlanks" dxfId="0" priority="3">
      <formula>LEN(TRIM(B30))=0</formula>
    </cfRule>
  </conditionalFormatting>
  <conditionalFormatting sqref="B30">
    <cfRule type="expression" dxfId="1" priority="4">
      <formula>AND(EQ(K27, "eTrade"), NE(B30,C40))</formula>
    </cfRule>
  </conditionalFormatting>
  <conditionalFormatting sqref="B30">
    <cfRule type="expression" dxfId="2" priority="5">
      <formula>NE(K27,"eTrade")</formula>
    </cfRule>
  </conditionalFormatting>
  <conditionalFormatting sqref="B31">
    <cfRule type="cellIs" dxfId="1" priority="6" operator="notEqual">
      <formula>B40</formula>
    </cfRule>
  </conditionalFormatting>
  <dataValidations>
    <dataValidation type="list" allowBlank="1" showErrorMessage="1" sqref="K27">
      <formula1>"eTrade,Form 8937,Custom"</formula1>
    </dataValidation>
    <dataValidation type="decimal" operator="equal" allowBlank="1" showDropDown="1" sqref="B28:B29">
      <formula1>B24+B25</formula1>
    </dataValidation>
    <dataValidation type="list" allowBlank="1" showErrorMessage="1" sqref="K33">
      <formula1>"By status,Custom"</formula1>
    </dataValidation>
    <dataValidation type="decimal" operator="equal" allowBlank="1" showDropDown="1" sqref="B27">
      <formula1>B22+B25</formula1>
    </dataValidation>
    <dataValidation type="list" allowBlank="1" showErrorMessage="1" sqref="K26">
      <formula1>"Calculated,Manual entries"</formula1>
    </dataValidation>
    <dataValidation type="list" allowBlank="1" showErrorMessage="1" sqref="K25">
      <formula1>"Mean,Close,High,Low,Custom"</formula1>
    </dataValidation>
    <dataValidation type="list" allowBlank="1" showErrorMessage="1" sqref="K32">
      <formula1>"Single,Joint,Head of household"</formula1>
    </dataValidation>
    <dataValidation type="decimal" operator="equal" allowBlank="1" showDropDown="1" showInputMessage="1" prompt="Check at least one box to select a lot for the fraction to associate with" sqref="C39">
      <formula1>ESPP!U26+RSU!Q84</formula1>
    </dataValidation>
  </dataValidations>
  <hyperlinks>
    <hyperlink r:id="rId2" ref="E1"/>
    <hyperlink r:id="rId3" location="/myAccount/stockPlanConfirmations" ref="C3"/>
    <hyperlink r:id="rId4" ref="C4"/>
    <hyperlink r:id="rId5" ref="E57"/>
  </hyperlinks>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8.13"/>
    <col customWidth="1" min="4" max="4" width="14.75"/>
    <col customWidth="1" min="5" max="5" width="19.25"/>
    <col customWidth="1" min="6" max="6" width="20.38"/>
    <col customWidth="1" min="7" max="7" width="16.88"/>
    <col customWidth="1" hidden="1" min="8" max="8" width="23.25"/>
    <col customWidth="1" min="9" max="9" width="20.0"/>
    <col customWidth="1" min="10" max="10" width="14.75"/>
    <col customWidth="1" min="11" max="11" width="11.63"/>
    <col customWidth="1" min="12" max="12" width="20.13"/>
    <col customWidth="1" min="13" max="13" width="24.38"/>
    <col customWidth="1" min="15" max="15" width="11.63"/>
    <col customWidth="1" min="16" max="16" width="28.0"/>
    <col customWidth="1" min="17" max="17" width="23.38"/>
    <col customWidth="1" min="18" max="18" width="21.0"/>
    <col customWidth="1" min="19" max="19" width="18.88"/>
    <col customWidth="1" min="20" max="20" width="23.75"/>
    <col customWidth="1" min="26" max="26" width="19.75"/>
    <col customWidth="1" min="27" max="27" width="23.38"/>
    <col customWidth="1" min="28" max="28" width="7.63"/>
    <col customWidth="1" min="29" max="29" width="19.88"/>
    <col customWidth="1" min="30" max="30" width="18.13"/>
  </cols>
  <sheetData>
    <row r="1">
      <c r="A1" s="129" t="s">
        <v>3</v>
      </c>
      <c r="N1" s="130"/>
      <c r="O1" s="70" t="s">
        <v>95</v>
      </c>
      <c r="AD1" s="130"/>
    </row>
    <row r="2">
      <c r="A2" s="131" t="s">
        <v>96</v>
      </c>
      <c r="B2" s="90"/>
      <c r="C2" s="90"/>
      <c r="D2" s="90"/>
      <c r="E2" s="90"/>
      <c r="F2" s="90"/>
      <c r="G2" s="90"/>
      <c r="H2" s="90"/>
      <c r="I2" s="90"/>
      <c r="J2" s="90"/>
      <c r="K2" s="90"/>
      <c r="L2" s="91"/>
      <c r="M2" s="132" t="s">
        <v>97</v>
      </c>
      <c r="N2" s="91"/>
      <c r="O2" s="69" t="s">
        <v>50</v>
      </c>
      <c r="P2" s="90"/>
      <c r="Q2" s="90"/>
      <c r="R2" s="90"/>
      <c r="S2" s="90"/>
      <c r="T2" s="90"/>
      <c r="U2" s="133"/>
      <c r="V2" s="69" t="s">
        <v>98</v>
      </c>
      <c r="W2" s="90"/>
      <c r="X2" s="90"/>
      <c r="Y2" s="91"/>
      <c r="Z2" s="134" t="s">
        <v>99</v>
      </c>
      <c r="AA2" s="90"/>
      <c r="AB2" s="90"/>
      <c r="AC2" s="90"/>
      <c r="AD2" s="91"/>
    </row>
    <row r="3">
      <c r="A3" s="135"/>
      <c r="B3" s="136" t="s">
        <v>100</v>
      </c>
      <c r="H3" s="137" t="s">
        <v>101</v>
      </c>
      <c r="I3" s="136" t="s">
        <v>102</v>
      </c>
      <c r="L3" s="130"/>
      <c r="M3" s="138" t="s">
        <v>103</v>
      </c>
      <c r="N3" s="139" t="s">
        <v>104</v>
      </c>
      <c r="O3" s="81" t="s">
        <v>105</v>
      </c>
      <c r="P3" s="81" t="s">
        <v>106</v>
      </c>
      <c r="R3" s="55" t="s">
        <v>107</v>
      </c>
      <c r="S3" s="81" t="s">
        <v>108</v>
      </c>
      <c r="T3" s="81" t="s">
        <v>109</v>
      </c>
      <c r="U3" s="140"/>
      <c r="V3" s="136" t="s">
        <v>110</v>
      </c>
      <c r="W3" s="130"/>
      <c r="X3" s="136" t="s">
        <v>111</v>
      </c>
      <c r="Y3" s="130"/>
      <c r="Z3" s="141" t="s">
        <v>112</v>
      </c>
      <c r="AD3" s="130"/>
    </row>
    <row r="4">
      <c r="A4" s="142" t="s">
        <v>113</v>
      </c>
      <c r="B4" s="143" t="s">
        <v>114</v>
      </c>
      <c r="C4" s="144" t="s">
        <v>115</v>
      </c>
      <c r="D4" s="145" t="s">
        <v>116</v>
      </c>
      <c r="E4" s="146" t="s">
        <v>117</v>
      </c>
      <c r="F4" s="144" t="s">
        <v>118</v>
      </c>
      <c r="G4" s="144" t="s">
        <v>119</v>
      </c>
      <c r="H4" s="147" t="s">
        <v>120</v>
      </c>
      <c r="I4" s="144" t="s">
        <v>121</v>
      </c>
      <c r="J4" s="144" t="s">
        <v>122</v>
      </c>
      <c r="K4" s="144" t="s">
        <v>123</v>
      </c>
      <c r="L4" s="142" t="s">
        <v>124</v>
      </c>
      <c r="M4" s="148" t="s">
        <v>125</v>
      </c>
      <c r="N4" s="149"/>
      <c r="O4" s="146" t="s">
        <v>126</v>
      </c>
      <c r="P4" s="146" t="s">
        <v>127</v>
      </c>
      <c r="Q4" s="146" t="s">
        <v>128</v>
      </c>
      <c r="R4" s="146" t="s">
        <v>129</v>
      </c>
      <c r="S4" s="146" t="s">
        <v>130</v>
      </c>
      <c r="T4" s="146" t="s">
        <v>131</v>
      </c>
      <c r="U4" s="150" t="s">
        <v>132</v>
      </c>
      <c r="V4" s="151" t="s">
        <v>133</v>
      </c>
      <c r="W4" s="152" t="s">
        <v>69</v>
      </c>
      <c r="X4" s="146" t="s">
        <v>134</v>
      </c>
      <c r="Y4" s="153" t="s">
        <v>135</v>
      </c>
      <c r="Z4" s="154" t="s">
        <v>136</v>
      </c>
      <c r="AA4" s="155" t="s">
        <v>137</v>
      </c>
      <c r="AB4" s="155" t="s">
        <v>138</v>
      </c>
      <c r="AC4" s="155" t="s">
        <v>139</v>
      </c>
      <c r="AD4" s="153" t="s">
        <v>140</v>
      </c>
    </row>
    <row r="5">
      <c r="A5" s="156">
        <v>41122.0</v>
      </c>
      <c r="B5" s="157">
        <f t="shared" ref="B5:B8" si="1">A5</f>
        <v>41122</v>
      </c>
      <c r="C5" s="158">
        <v>41305.0</v>
      </c>
      <c r="D5" s="159">
        <v>0.0</v>
      </c>
      <c r="E5" s="160">
        <v>89.0</v>
      </c>
      <c r="F5" s="160">
        <v>76.48</v>
      </c>
      <c r="G5" s="161">
        <v>0.0</v>
      </c>
      <c r="H5" s="42">
        <f t="shared" ref="H5:H24" si="2">D5*L5</f>
        <v>0</v>
      </c>
      <c r="I5" s="161">
        <v>0.0</v>
      </c>
      <c r="J5" s="42">
        <f t="shared" ref="J5:J24" si="3">I5+G5</f>
        <v>0</v>
      </c>
      <c r="K5" s="42">
        <f t="shared" ref="K5:K24" si="4">J5-H5</f>
        <v>0</v>
      </c>
      <c r="L5" s="162">
        <f t="shared" ref="L5:L11" si="5">0.85*MIN(E5,F5)</f>
        <v>65.008</v>
      </c>
      <c r="M5" s="163">
        <v>0.0</v>
      </c>
      <c r="N5" s="164" t="b">
        <v>0</v>
      </c>
      <c r="O5" s="42">
        <f>Reference!$B$4*Reference!$B$3*D5</f>
        <v>0</v>
      </c>
      <c r="P5" s="42">
        <f>IF(C5&lt;Reference!$B$26,Reference!$C$26,0)</f>
        <v>10.18</v>
      </c>
      <c r="Q5" s="42">
        <f>IF(C5&lt;Reference!$B$27,Reference!$C$27,0)</f>
        <v>16.87</v>
      </c>
      <c r="R5" s="42">
        <f t="shared" ref="R5:R24" si="6">(L5 /0.85)-P5-Q5</f>
        <v>49.43</v>
      </c>
      <c r="S5" s="165">
        <f>SWITCH('Summary &amp; Instructions'!$K$26,"Calculated", D5*Reference!$B$5*Reference!$B$6, "Manual entries",M5)</f>
        <v>0</v>
      </c>
      <c r="T5" s="42">
        <f>MAX(O5+(S5*Reference!$B$18)-(D5*R5),0)</f>
        <v>0</v>
      </c>
      <c r="U5" s="166">
        <f>IF(N5,'Summary &amp; Instructions'!$C$39/ ($N$26+RSU!J$84), 0)</f>
        <v>0</v>
      </c>
      <c r="V5" s="167">
        <f>IF(N5,(Reference!$B$23 - Z5) * U5, 0)</f>
        <v>0</v>
      </c>
      <c r="W5" s="106">
        <f t="shared" ref="W5:W24" si="7">MIN(O5,T5)</f>
        <v>0</v>
      </c>
      <c r="X5" s="168">
        <f>IF(DATEDIF(C5,Reference!$B$28,"Y")&gt;=1,0,V5+W5)+iferror(((AC5/D5)*U5),0)</f>
        <v>0</v>
      </c>
      <c r="Y5" s="169">
        <f>IF(DATEDIF(C5,Reference!$B$28,"Y")&gt;=1,V5+W5,0)</f>
        <v>0</v>
      </c>
      <c r="Z5" s="170">
        <f>IFERROR(((R5*D5) - O5 + W5 + IF(AB5, 0, AC5))/SWITCH('Summary &amp; Instructions'!$K$26, "Calculated", S5, "Manual entries", M5), 0)</f>
        <v>0</v>
      </c>
      <c r="AA5" s="171">
        <f>(Reference!$B$10-Z5)*((SWITCH('Summary &amp; Instructions'!$K$26, "Calculated", S5, "Manual entries", M5)) - U5)</f>
        <v>0</v>
      </c>
      <c r="AB5" s="42" t="b">
        <f>AND(DATEDIF(B5,Reference!$B$29,"Y")&gt;=1, DATEDIF(A5, Reference!$B$29, "Y")&gt;=2)</f>
        <v>1</v>
      </c>
      <c r="AC5" s="172">
        <f t="shared" ref="AC5:AC24" si="8">IF(AB5,D5*0.15*MIN(E5,F5),D5*(F5-L5))</f>
        <v>0</v>
      </c>
      <c r="AD5" s="173">
        <f t="shared" ref="AD5:AD24" si="9">AA5</f>
        <v>0</v>
      </c>
    </row>
    <row r="6">
      <c r="A6" s="156">
        <f t="shared" ref="A6:A8" si="10">DATE(YEAR(A5),MONTH(A5)+6,DAY(A5))</f>
        <v>41306</v>
      </c>
      <c r="B6" s="157">
        <f t="shared" si="1"/>
        <v>41306</v>
      </c>
      <c r="C6" s="174">
        <f t="shared" ref="C6:C8" si="11">DATE(YEAR(C5),MONTH(C5)+6,DAY(C5))</f>
        <v>41486</v>
      </c>
      <c r="D6" s="159">
        <v>0.0</v>
      </c>
      <c r="E6" s="160">
        <v>78.79</v>
      </c>
      <c r="F6" s="160">
        <v>82.19</v>
      </c>
      <c r="G6" s="161">
        <v>0.0</v>
      </c>
      <c r="H6" s="42">
        <f t="shared" si="2"/>
        <v>0</v>
      </c>
      <c r="I6" s="175">
        <f t="shared" ref="I6:I24" si="12">K5</f>
        <v>0</v>
      </c>
      <c r="J6" s="42">
        <f t="shared" si="3"/>
        <v>0</v>
      </c>
      <c r="K6" s="42">
        <f t="shared" si="4"/>
        <v>0</v>
      </c>
      <c r="L6" s="162">
        <f t="shared" si="5"/>
        <v>66.9715</v>
      </c>
      <c r="M6" s="163">
        <v>0.0</v>
      </c>
      <c r="N6" s="164" t="b">
        <v>0</v>
      </c>
      <c r="O6" s="42">
        <f>Reference!$B$4*Reference!$B$3*D6</f>
        <v>0</v>
      </c>
      <c r="P6" s="42">
        <f>IF(C6&lt;Reference!$B$26,Reference!$C$26,0)</f>
        <v>10.18</v>
      </c>
      <c r="Q6" s="42">
        <f>IF(C6&lt;Reference!$B$27,Reference!$C$27,0)</f>
        <v>16.87</v>
      </c>
      <c r="R6" s="42">
        <f t="shared" si="6"/>
        <v>51.74</v>
      </c>
      <c r="S6" s="165">
        <f>SWITCH('Summary &amp; Instructions'!$K$26,"Calculated", D6*Reference!$B$5*Reference!$B$6, "Manual entries",M6)</f>
        <v>0</v>
      </c>
      <c r="T6" s="42">
        <f>MAX(O6+(S6*Reference!$B$18)-(D6*R6),0)</f>
        <v>0</v>
      </c>
      <c r="U6" s="166">
        <f>IF(N6,'Summary &amp; Instructions'!$C$39/ ($N$26+RSU!J$84), 0)</f>
        <v>0</v>
      </c>
      <c r="V6" s="167">
        <f>IF(N6,(Reference!$B$23 - Z6) * U6, 0)</f>
        <v>0</v>
      </c>
      <c r="W6" s="106">
        <f t="shared" si="7"/>
        <v>0</v>
      </c>
      <c r="X6" s="168">
        <f>IF(DATEDIF(C6,Reference!$B$28,"Y")&gt;=1,0,V6+W6)+iferror(((AC6/D6)*U6),0)</f>
        <v>0</v>
      </c>
      <c r="Y6" s="169">
        <f>IF(DATEDIF(C6,Reference!$B$28,"Y")&gt;=1,V6+W6,0)</f>
        <v>0</v>
      </c>
      <c r="Z6" s="170">
        <f>IFERROR(((R6*D6) - O6 + W6 + IF(AB6, 0, AC6))/SWITCH('Summary &amp; Instructions'!$K$26, "Calculated", S6, "Manual entries", M6), 0)</f>
        <v>0</v>
      </c>
      <c r="AA6" s="171">
        <f>(Reference!$B$10-Z6)*((SWITCH('Summary &amp; Instructions'!$K$26, "Calculated", S6, "Manual entries", M6)) - U6)</f>
        <v>0</v>
      </c>
      <c r="AB6" s="42" t="b">
        <f>AND(DATEDIF(B6,Reference!$B$29,"Y")&gt;=1, DATEDIF(A6, Reference!$B$29, "Y")&gt;=2)</f>
        <v>1</v>
      </c>
      <c r="AC6" s="172">
        <f t="shared" si="8"/>
        <v>0</v>
      </c>
      <c r="AD6" s="173">
        <f t="shared" si="9"/>
        <v>0</v>
      </c>
    </row>
    <row r="7">
      <c r="A7" s="156">
        <f t="shared" si="10"/>
        <v>41487</v>
      </c>
      <c r="B7" s="157">
        <f t="shared" si="1"/>
        <v>41487</v>
      </c>
      <c r="C7" s="174">
        <f t="shared" si="11"/>
        <v>41670</v>
      </c>
      <c r="D7" s="159">
        <v>0.0</v>
      </c>
      <c r="E7" s="160">
        <v>82.1</v>
      </c>
      <c r="F7" s="160">
        <v>90.14</v>
      </c>
      <c r="G7" s="161">
        <v>0.0</v>
      </c>
      <c r="H7" s="42">
        <f t="shared" si="2"/>
        <v>0</v>
      </c>
      <c r="I7" s="175">
        <f t="shared" si="12"/>
        <v>0</v>
      </c>
      <c r="J7" s="42">
        <f t="shared" si="3"/>
        <v>0</v>
      </c>
      <c r="K7" s="42">
        <f t="shared" si="4"/>
        <v>0</v>
      </c>
      <c r="L7" s="162">
        <f t="shared" si="5"/>
        <v>69.785</v>
      </c>
      <c r="M7" s="163">
        <v>0.0</v>
      </c>
      <c r="N7" s="164" t="b">
        <v>0</v>
      </c>
      <c r="O7" s="42">
        <f>Reference!$B$4*Reference!$B$3*D7</f>
        <v>0</v>
      </c>
      <c r="P7" s="42">
        <f>IF(C7&lt;Reference!$B$26,Reference!$C$26,0)</f>
        <v>10.18</v>
      </c>
      <c r="Q7" s="42">
        <f>IF(C7&lt;Reference!$B$27,Reference!$C$27,0)</f>
        <v>16.87</v>
      </c>
      <c r="R7" s="42">
        <f t="shared" si="6"/>
        <v>55.05</v>
      </c>
      <c r="S7" s="165">
        <f>SWITCH('Summary &amp; Instructions'!$K$26,"Calculated", D7*Reference!$B$5*Reference!$B$6, "Manual entries",M7)</f>
        <v>0</v>
      </c>
      <c r="T7" s="42">
        <f>MAX(O7+(S7*Reference!$B$18)-(D7*R7),0)</f>
        <v>0</v>
      </c>
      <c r="U7" s="166">
        <f>IF(N7,'Summary &amp; Instructions'!$C$39/ ($N$26+RSU!J$84), 0)</f>
        <v>0</v>
      </c>
      <c r="V7" s="167">
        <f>IF(N7,(Reference!$B$23 - Z7) * U7, 0)</f>
        <v>0</v>
      </c>
      <c r="W7" s="106">
        <f t="shared" si="7"/>
        <v>0</v>
      </c>
      <c r="X7" s="168">
        <f>IF(DATEDIF(C7,Reference!$B$28,"Y")&gt;=1,0,V7+W7)+iferror(((AC7/D7)*U7),0)</f>
        <v>0</v>
      </c>
      <c r="Y7" s="169">
        <f>IF(DATEDIF(C7,Reference!$B$28,"Y")&gt;=1,V7+W7,0)</f>
        <v>0</v>
      </c>
      <c r="Z7" s="170">
        <f>IFERROR(((R7*D7) - O7 + W7 + IF(AB7, 0, AC7))/SWITCH('Summary &amp; Instructions'!$K$26, "Calculated", S7, "Manual entries", M7), 0)</f>
        <v>0</v>
      </c>
      <c r="AA7" s="171">
        <f>(Reference!$B$10-Z7)*((SWITCH('Summary &amp; Instructions'!$K$26, "Calculated", S7, "Manual entries", M7)) - U7)</f>
        <v>0</v>
      </c>
      <c r="AB7" s="42" t="b">
        <f>AND(DATEDIF(B7,Reference!$B$29,"Y")&gt;=1, DATEDIF(A7, Reference!$B$29, "Y")&gt;=2)</f>
        <v>1</v>
      </c>
      <c r="AC7" s="172">
        <f t="shared" si="8"/>
        <v>0</v>
      </c>
      <c r="AD7" s="173">
        <f t="shared" si="9"/>
        <v>0</v>
      </c>
    </row>
    <row r="8">
      <c r="A8" s="156">
        <f t="shared" si="10"/>
        <v>41671</v>
      </c>
      <c r="B8" s="157">
        <f t="shared" si="1"/>
        <v>41671</v>
      </c>
      <c r="C8" s="174">
        <f t="shared" si="11"/>
        <v>41851</v>
      </c>
      <c r="D8" s="159">
        <v>0.0</v>
      </c>
      <c r="E8" s="160">
        <v>90.14</v>
      </c>
      <c r="F8" s="160">
        <v>99.36</v>
      </c>
      <c r="G8" s="161">
        <v>0.0</v>
      </c>
      <c r="H8" s="42">
        <f t="shared" si="2"/>
        <v>0</v>
      </c>
      <c r="I8" s="175">
        <f t="shared" si="12"/>
        <v>0</v>
      </c>
      <c r="J8" s="42">
        <f t="shared" si="3"/>
        <v>0</v>
      </c>
      <c r="K8" s="42">
        <f t="shared" si="4"/>
        <v>0</v>
      </c>
      <c r="L8" s="162">
        <f t="shared" si="5"/>
        <v>76.619</v>
      </c>
      <c r="M8" s="163">
        <v>0.0</v>
      </c>
      <c r="N8" s="164" t="b">
        <v>0</v>
      </c>
      <c r="O8" s="42">
        <f>Reference!$B$4*Reference!$B$3*D8</f>
        <v>0</v>
      </c>
      <c r="P8" s="42">
        <f>IF(C8&lt;Reference!$B$26,Reference!$C$26,0)</f>
        <v>10.18</v>
      </c>
      <c r="Q8" s="42">
        <f>IF(C8&lt;Reference!$B$27,Reference!$C$27,0)</f>
        <v>16.87</v>
      </c>
      <c r="R8" s="42">
        <f t="shared" si="6"/>
        <v>63.09</v>
      </c>
      <c r="S8" s="165">
        <f>SWITCH('Summary &amp; Instructions'!$K$26,"Calculated", D8*Reference!$B$5*Reference!$B$6, "Manual entries",M8)</f>
        <v>0</v>
      </c>
      <c r="T8" s="42">
        <f>MAX(O8+(S8*Reference!$B$18)-(D8*R8),0)</f>
        <v>0</v>
      </c>
      <c r="U8" s="166">
        <f>IF(N8,'Summary &amp; Instructions'!$C$39/ ($N$26+RSU!J$84), 0)</f>
        <v>0</v>
      </c>
      <c r="V8" s="167">
        <f>IF(N8,(Reference!$B$23 - Z8) * U8, 0)</f>
        <v>0</v>
      </c>
      <c r="W8" s="106">
        <f t="shared" si="7"/>
        <v>0</v>
      </c>
      <c r="X8" s="168">
        <f>IF(DATEDIF(C8,Reference!$B$28,"Y")&gt;=1,0,V8+W8)+iferror(((AC8/D8)*U8),0)</f>
        <v>0</v>
      </c>
      <c r="Y8" s="169">
        <f>IF(DATEDIF(C8,Reference!$B$28,"Y")&gt;=1,V8+W8,0)</f>
        <v>0</v>
      </c>
      <c r="Z8" s="170">
        <f>IFERROR(((R8*D8) - O8 + W8 + IF(AB8, 0, AC8))/SWITCH('Summary &amp; Instructions'!$K$26, "Calculated", S8, "Manual entries", M8), 0)</f>
        <v>0</v>
      </c>
      <c r="AA8" s="171">
        <f>(Reference!$B$10-Z8)*((SWITCH('Summary &amp; Instructions'!$K$26, "Calculated", S8, "Manual entries", M8)) - U8)</f>
        <v>0</v>
      </c>
      <c r="AB8" s="42" t="b">
        <f>AND(DATEDIF(B8,Reference!$B$29,"Y")&gt;=1, DATEDIF(A8, Reference!$B$29, "Y")&gt;=2)</f>
        <v>1</v>
      </c>
      <c r="AC8" s="172">
        <f t="shared" si="8"/>
        <v>0</v>
      </c>
      <c r="AD8" s="173">
        <f t="shared" si="9"/>
        <v>0</v>
      </c>
    </row>
    <row r="9">
      <c r="A9" s="176">
        <f t="shared" ref="A9:A12" si="13">B9</f>
        <v>41852</v>
      </c>
      <c r="B9" s="177">
        <v>41852.0</v>
      </c>
      <c r="C9" s="177">
        <v>42035.0</v>
      </c>
      <c r="D9" s="159">
        <v>0.0</v>
      </c>
      <c r="E9" s="41">
        <v>98.33</v>
      </c>
      <c r="F9" s="41">
        <v>77.1</v>
      </c>
      <c r="G9" s="161">
        <v>0.0</v>
      </c>
      <c r="H9" s="42">
        <f t="shared" si="2"/>
        <v>0</v>
      </c>
      <c r="I9" s="175">
        <f t="shared" si="12"/>
        <v>0</v>
      </c>
      <c r="J9" s="42">
        <f t="shared" si="3"/>
        <v>0</v>
      </c>
      <c r="K9" s="42">
        <f t="shared" si="4"/>
        <v>0</v>
      </c>
      <c r="L9" s="162">
        <f t="shared" si="5"/>
        <v>65.535</v>
      </c>
      <c r="M9" s="163">
        <v>0.0</v>
      </c>
      <c r="N9" s="164" t="b">
        <v>0</v>
      </c>
      <c r="O9" s="42">
        <f>Reference!$B$4*Reference!$B$3*D9</f>
        <v>0</v>
      </c>
      <c r="P9" s="42">
        <f>IF(C9&lt;Reference!$B$26,Reference!$C$26,0)</f>
        <v>10.18</v>
      </c>
      <c r="Q9" s="42">
        <f>IF(C9&lt;Reference!$B$27,Reference!$C$27,0)</f>
        <v>16.87</v>
      </c>
      <c r="R9" s="42">
        <f t="shared" si="6"/>
        <v>50.05</v>
      </c>
      <c r="S9" s="165">
        <f>SWITCH('Summary &amp; Instructions'!$K$26,"Calculated", D9*Reference!$B$5*Reference!$B$6, "Manual entries",M9)</f>
        <v>0</v>
      </c>
      <c r="T9" s="42">
        <f>MAX(O9+(S9*Reference!$B$18)-(D9*R9),0)</f>
        <v>0</v>
      </c>
      <c r="U9" s="166">
        <f>IF(N9,'Summary &amp; Instructions'!$C$39/ ($N$26+RSU!J$84), 0)</f>
        <v>0</v>
      </c>
      <c r="V9" s="167">
        <f>IF(N9,(Reference!$B$23 - Z9) * U9, 0)</f>
        <v>0</v>
      </c>
      <c r="W9" s="106">
        <f t="shared" si="7"/>
        <v>0</v>
      </c>
      <c r="X9" s="168">
        <f>IF(DATEDIF(C9,Reference!$B$28,"Y")&gt;=1,0,V9+W9)+iferror(((AC9/D9)*U9),0)</f>
        <v>0</v>
      </c>
      <c r="Y9" s="169">
        <f>IF(DATEDIF(C9,Reference!$B$28,"Y")&gt;=1,V9+W9,0)</f>
        <v>0</v>
      </c>
      <c r="Z9" s="170">
        <f>IFERROR(((R9*D9) - O9 + W9 + IF(AB9, 0, AC9))/SWITCH('Summary &amp; Instructions'!$K$26, "Calculated", S9, "Manual entries", M9), 0)</f>
        <v>0</v>
      </c>
      <c r="AA9" s="171">
        <f>(Reference!$B$10-Z9)*((SWITCH('Summary &amp; Instructions'!$K$26, "Calculated", S9, "Manual entries", M9)) - U9)</f>
        <v>0</v>
      </c>
      <c r="AB9" s="42" t="b">
        <f>AND(DATEDIF(B9,Reference!$B$29,"Y")&gt;=1, DATEDIF(A9, Reference!$B$29, "Y")&gt;=2)</f>
        <v>1</v>
      </c>
      <c r="AC9" s="172">
        <f t="shared" si="8"/>
        <v>0</v>
      </c>
      <c r="AD9" s="173">
        <f t="shared" si="9"/>
        <v>0</v>
      </c>
    </row>
    <row r="10">
      <c r="A10" s="176">
        <f t="shared" si="13"/>
        <v>42036</v>
      </c>
      <c r="B10" s="178">
        <f t="shared" ref="B10:C10" si="14">DATE(YEAR(B9),MONTH(B9)+6,DAY(B9))</f>
        <v>42036</v>
      </c>
      <c r="C10" s="178">
        <f t="shared" si="14"/>
        <v>42216</v>
      </c>
      <c r="D10" s="159">
        <v>0.0</v>
      </c>
      <c r="E10" s="41">
        <v>77.1</v>
      </c>
      <c r="F10" s="41">
        <v>89.13</v>
      </c>
      <c r="G10" s="161">
        <v>0.0</v>
      </c>
      <c r="H10" s="42">
        <f t="shared" si="2"/>
        <v>0</v>
      </c>
      <c r="I10" s="175">
        <f t="shared" si="12"/>
        <v>0</v>
      </c>
      <c r="J10" s="42">
        <f t="shared" si="3"/>
        <v>0</v>
      </c>
      <c r="K10" s="42">
        <f t="shared" si="4"/>
        <v>0</v>
      </c>
      <c r="L10" s="162">
        <f t="shared" si="5"/>
        <v>65.535</v>
      </c>
      <c r="M10" s="163">
        <v>0.0</v>
      </c>
      <c r="N10" s="164" t="b">
        <v>0</v>
      </c>
      <c r="O10" s="42">
        <f>Reference!$B$4*Reference!$B$3*D10</f>
        <v>0</v>
      </c>
      <c r="P10" s="42">
        <f>IF(C10&lt;Reference!$B$26,Reference!$C$26,0)</f>
        <v>10.18</v>
      </c>
      <c r="Q10" s="42">
        <f>IF(C10&lt;Reference!$B$27,Reference!$C$27,0)</f>
        <v>16.87</v>
      </c>
      <c r="R10" s="42">
        <f t="shared" si="6"/>
        <v>50.05</v>
      </c>
      <c r="S10" s="165">
        <f>SWITCH('Summary &amp; Instructions'!$K$26,"Calculated", D10*Reference!$B$5*Reference!$B$6, "Manual entries",M10)</f>
        <v>0</v>
      </c>
      <c r="T10" s="42">
        <f>MAX(O10+(S10*Reference!$B$18)-(D10*R10),0)</f>
        <v>0</v>
      </c>
      <c r="U10" s="166">
        <f>IF(N10,'Summary &amp; Instructions'!$C$39/ ($N$26+RSU!J$84), 0)</f>
        <v>0</v>
      </c>
      <c r="V10" s="167">
        <f>IF(N10,(Reference!$B$23 - Z10) * U10, 0)</f>
        <v>0</v>
      </c>
      <c r="W10" s="106">
        <f t="shared" si="7"/>
        <v>0</v>
      </c>
      <c r="X10" s="168">
        <f>IF(DATEDIF(C10,Reference!$B$28,"Y")&gt;=1,0,V10+W10)+iferror(((AC10/D10)*U10),0)</f>
        <v>0</v>
      </c>
      <c r="Y10" s="169">
        <f>IF(DATEDIF(C10,Reference!$B$28,"Y")&gt;=1,V10+W10,0)</f>
        <v>0</v>
      </c>
      <c r="Z10" s="170">
        <f>IFERROR(((R10*D10) - O10 + W10 + IF(AB10, 0, AC10))/SWITCH('Summary &amp; Instructions'!$K$26, "Calculated", S10, "Manual entries", M10), 0)</f>
        <v>0</v>
      </c>
      <c r="AA10" s="171">
        <f>(Reference!$B$10-Z10)*((SWITCH('Summary &amp; Instructions'!$K$26, "Calculated", S10, "Manual entries", M10)) - U10)</f>
        <v>0</v>
      </c>
      <c r="AB10" s="42" t="b">
        <f>AND(DATEDIF(B10,Reference!$B$29,"Y")&gt;=1, DATEDIF(A10, Reference!$B$29, "Y")&gt;=2)</f>
        <v>1</v>
      </c>
      <c r="AC10" s="172">
        <f t="shared" si="8"/>
        <v>0</v>
      </c>
      <c r="AD10" s="173">
        <f t="shared" si="9"/>
        <v>0</v>
      </c>
    </row>
    <row r="11">
      <c r="A11" s="176">
        <f t="shared" si="13"/>
        <v>42217</v>
      </c>
      <c r="B11" s="178">
        <f t="shared" ref="B11:C11" si="15">DATE(YEAR(B10),MONTH(B10)+6,DAY(B10))</f>
        <v>42217</v>
      </c>
      <c r="C11" s="178">
        <f t="shared" si="15"/>
        <v>42400</v>
      </c>
      <c r="D11" s="159">
        <v>0.0</v>
      </c>
      <c r="E11" s="41">
        <v>89.13</v>
      </c>
      <c r="F11" s="41">
        <v>45.75</v>
      </c>
      <c r="G11" s="161">
        <v>0.0</v>
      </c>
      <c r="H11" s="42">
        <f t="shared" si="2"/>
        <v>0</v>
      </c>
      <c r="I11" s="175">
        <f t="shared" si="12"/>
        <v>0</v>
      </c>
      <c r="J11" s="42">
        <f t="shared" si="3"/>
        <v>0</v>
      </c>
      <c r="K11" s="42">
        <f t="shared" si="4"/>
        <v>0</v>
      </c>
      <c r="L11" s="162">
        <f t="shared" si="5"/>
        <v>38.8875</v>
      </c>
      <c r="M11" s="163">
        <v>0.0</v>
      </c>
      <c r="N11" s="179" t="b">
        <v>0</v>
      </c>
      <c r="O11" s="42">
        <f>Reference!$B$4*Reference!$B$3*D11</f>
        <v>0</v>
      </c>
      <c r="P11" s="42">
        <f>IF(C11&lt;Reference!$B$26,Reference!$C$26,0)</f>
        <v>10.18</v>
      </c>
      <c r="Q11" s="42">
        <f>IF(C11&lt;Reference!$B$27,Reference!$C$27,0)</f>
        <v>16.87</v>
      </c>
      <c r="R11" s="42">
        <f t="shared" si="6"/>
        <v>18.7</v>
      </c>
      <c r="S11" s="165">
        <f>SWITCH('Summary &amp; Instructions'!$K$26,"Calculated", D11*Reference!$B$5*Reference!$B$6, "Manual entries",M11)</f>
        <v>0</v>
      </c>
      <c r="T11" s="42">
        <f>MAX(O11+(S11*Reference!$B$18)-(D11*R11),0)</f>
        <v>0</v>
      </c>
      <c r="U11" s="166">
        <f>IF(N11,'Summary &amp; Instructions'!$C$39/ ($N$26+RSU!J$84), 0)</f>
        <v>0</v>
      </c>
      <c r="V11" s="167">
        <f>IF(N11,(Reference!$B$23 - Z11) * U11, 0)</f>
        <v>0</v>
      </c>
      <c r="W11" s="106">
        <f t="shared" si="7"/>
        <v>0</v>
      </c>
      <c r="X11" s="168">
        <f>IF(DATEDIF(C11,Reference!$B$28,"Y")&gt;=1,0,V11+W11)+iferror(((AC11/D11)*U11),0)</f>
        <v>0</v>
      </c>
      <c r="Y11" s="169">
        <f>IF(DATEDIF(C11,Reference!$B$28,"Y")&gt;=1,V11+W11,0)</f>
        <v>0</v>
      </c>
      <c r="Z11" s="170">
        <f>IFERROR(((R11*D11) - O11 + W11 + IF(AB11, 0, AC11))/SWITCH('Summary &amp; Instructions'!$K$26, "Calculated", S11, "Manual entries", M11), 0)</f>
        <v>0</v>
      </c>
      <c r="AA11" s="171">
        <f>(Reference!$B$10-Z11)*((SWITCH('Summary &amp; Instructions'!$K$26, "Calculated", S11, "Manual entries", M11)) - U11)</f>
        <v>0</v>
      </c>
      <c r="AB11" s="42" t="b">
        <f>AND(DATEDIF(B11,Reference!$B$29,"Y")&gt;=1, DATEDIF(A11, Reference!$B$29, "Y")&gt;=2)</f>
        <v>1</v>
      </c>
      <c r="AC11" s="172">
        <f t="shared" si="8"/>
        <v>0</v>
      </c>
      <c r="AD11" s="173">
        <f t="shared" si="9"/>
        <v>0</v>
      </c>
    </row>
    <row r="12">
      <c r="A12" s="176">
        <f t="shared" si="13"/>
        <v>42401</v>
      </c>
      <c r="B12" s="178">
        <f t="shared" ref="B12:C12" si="16">DATE(YEAR(B11),MONTH(B11)+6,DAY(B11))</f>
        <v>42401</v>
      </c>
      <c r="C12" s="178">
        <f t="shared" si="16"/>
        <v>42582</v>
      </c>
      <c r="D12" s="159">
        <v>0.0</v>
      </c>
      <c r="E12" s="41">
        <v>45.49</v>
      </c>
      <c r="F12" s="41">
        <v>72.98</v>
      </c>
      <c r="G12" s="161">
        <v>0.0</v>
      </c>
      <c r="H12" s="42">
        <f t="shared" si="2"/>
        <v>0</v>
      </c>
      <c r="I12" s="175">
        <f t="shared" si="12"/>
        <v>0</v>
      </c>
      <c r="J12" s="42">
        <f t="shared" si="3"/>
        <v>0</v>
      </c>
      <c r="K12" s="42">
        <f t="shared" si="4"/>
        <v>0</v>
      </c>
      <c r="L12" s="162">
        <f t="shared" ref="L12:L24" si="17">ROUND(0.85*MIN(E12,F12),2)</f>
        <v>38.67</v>
      </c>
      <c r="M12" s="163">
        <v>0.0</v>
      </c>
      <c r="N12" s="179" t="b">
        <v>0</v>
      </c>
      <c r="O12" s="42">
        <f>Reference!$B$4*Reference!$B$3*D12</f>
        <v>0</v>
      </c>
      <c r="P12" s="42">
        <f>IF(C12&lt;Reference!$B$26,Reference!$C$26,0)</f>
        <v>10.18</v>
      </c>
      <c r="Q12" s="42">
        <f>IF(C12&lt;Reference!$B$27,Reference!$C$27,0)</f>
        <v>16.87</v>
      </c>
      <c r="R12" s="42">
        <f t="shared" si="6"/>
        <v>18.44411765</v>
      </c>
      <c r="S12" s="165">
        <f>SWITCH('Summary &amp; Instructions'!$K$26,"Calculated", D12*Reference!$B$5*Reference!$B$6, "Manual entries",M12)</f>
        <v>0</v>
      </c>
      <c r="T12" s="42">
        <f>MAX(O12+(S12*Reference!$B$18)-(D12*R12),0)</f>
        <v>0</v>
      </c>
      <c r="U12" s="166">
        <f>IF(N12,'Summary &amp; Instructions'!$C$39/ ($N$26+RSU!J$84), 0)</f>
        <v>0</v>
      </c>
      <c r="V12" s="167">
        <f>IF(N12,(Reference!$B$23 - Z12) * U12, 0)</f>
        <v>0</v>
      </c>
      <c r="W12" s="106">
        <f t="shared" si="7"/>
        <v>0</v>
      </c>
      <c r="X12" s="168">
        <f>IF(DATEDIF(C12,Reference!$B$28,"Y")&gt;=1,0,V12+W12)+iferror(((AC12/D12)*U12),0)</f>
        <v>0</v>
      </c>
      <c r="Y12" s="169">
        <f>IF(DATEDIF(C12,Reference!$B$28,"Y")&gt;=1,V12+W12,0)</f>
        <v>0</v>
      </c>
      <c r="Z12" s="170">
        <f>IFERROR(((R12*D12) - O12 + W12 + IF(AB12, 0, AC12))/SWITCH('Summary &amp; Instructions'!$K$26, "Calculated", S12, "Manual entries", M12), 0)</f>
        <v>0</v>
      </c>
      <c r="AA12" s="171">
        <f>(Reference!$B$10-Z12)*((SWITCH('Summary &amp; Instructions'!$K$26, "Calculated", S12, "Manual entries", M12)) - U12)</f>
        <v>0</v>
      </c>
      <c r="AB12" s="42" t="b">
        <f>AND(DATEDIF(B12,Reference!$B$29,"Y")&gt;=1, DATEDIF(A12, Reference!$B$29, "Y")&gt;=2)</f>
        <v>1</v>
      </c>
      <c r="AC12" s="172">
        <f t="shared" si="8"/>
        <v>0</v>
      </c>
      <c r="AD12" s="173">
        <f t="shared" si="9"/>
        <v>0</v>
      </c>
    </row>
    <row r="13">
      <c r="A13" s="176">
        <v>42583.0</v>
      </c>
      <c r="B13" s="177">
        <v>42401.0</v>
      </c>
      <c r="C13" s="177">
        <v>42766.0</v>
      </c>
      <c r="D13" s="159">
        <v>0.0</v>
      </c>
      <c r="E13" s="41">
        <v>45.49</v>
      </c>
      <c r="F13" s="41">
        <v>87.54</v>
      </c>
      <c r="G13" s="161">
        <v>0.0</v>
      </c>
      <c r="H13" s="42">
        <f t="shared" si="2"/>
        <v>0</v>
      </c>
      <c r="I13" s="175">
        <f t="shared" si="12"/>
        <v>0</v>
      </c>
      <c r="J13" s="42">
        <f t="shared" si="3"/>
        <v>0</v>
      </c>
      <c r="K13" s="42">
        <f t="shared" si="4"/>
        <v>0</v>
      </c>
      <c r="L13" s="162">
        <f t="shared" si="17"/>
        <v>38.67</v>
      </c>
      <c r="M13" s="163">
        <v>0.0</v>
      </c>
      <c r="N13" s="179" t="b">
        <v>0</v>
      </c>
      <c r="O13" s="42">
        <f>Reference!$B$4*Reference!$B$3*D13</f>
        <v>0</v>
      </c>
      <c r="P13" s="42">
        <f>IF(C13&lt;Reference!$B$26,Reference!$C$26,0)</f>
        <v>10.18</v>
      </c>
      <c r="Q13" s="42">
        <f>IF(C13&lt;Reference!$B$27,Reference!$C$27,0)</f>
        <v>16.87</v>
      </c>
      <c r="R13" s="42">
        <f t="shared" si="6"/>
        <v>18.44411765</v>
      </c>
      <c r="S13" s="165">
        <f>SWITCH('Summary &amp; Instructions'!$K$26,"Calculated", D13*Reference!$B$5*Reference!$B$6, "Manual entries",M13)</f>
        <v>0</v>
      </c>
      <c r="T13" s="42">
        <f>MAX(O13+(S13*Reference!$B$18)-(D13*R13),0)</f>
        <v>0</v>
      </c>
      <c r="U13" s="166">
        <f>IF(N13,'Summary &amp; Instructions'!$C$39/ ($N$26+RSU!J$84), 0)</f>
        <v>0</v>
      </c>
      <c r="V13" s="167">
        <f>IF(N13,(Reference!$B$23 - Z13) * U13, 0)</f>
        <v>0</v>
      </c>
      <c r="W13" s="106">
        <f t="shared" si="7"/>
        <v>0</v>
      </c>
      <c r="X13" s="168">
        <f>IF(DATEDIF(C13,Reference!$B$28,"Y")&gt;=1,0,V13+W13)+iferror(((AC13/D13)*U13),0)</f>
        <v>0</v>
      </c>
      <c r="Y13" s="169">
        <f>IF(DATEDIF(C13,Reference!$B$28,"Y")&gt;=1,V13+W13,0)</f>
        <v>0</v>
      </c>
      <c r="Z13" s="170">
        <f>IFERROR(((R13*D13) - O13 + W13 + IF(AB13, 0, AC13))/SWITCH('Summary &amp; Instructions'!$K$26, "Calculated", S13, "Manual entries", M13), 0)</f>
        <v>0</v>
      </c>
      <c r="AA13" s="171">
        <f>(Reference!$B$10-Z13)*((SWITCH('Summary &amp; Instructions'!$K$26, "Calculated", S13, "Manual entries", M13)) - U13)</f>
        <v>0</v>
      </c>
      <c r="AB13" s="42" t="b">
        <f>AND(DATEDIF(B13,Reference!$B$29,"Y")&gt;=1, DATEDIF(A13, Reference!$B$29, "Y")&gt;=2)</f>
        <v>1</v>
      </c>
      <c r="AC13" s="172">
        <f t="shared" si="8"/>
        <v>0</v>
      </c>
      <c r="AD13" s="173">
        <f t="shared" si="9"/>
        <v>0</v>
      </c>
    </row>
    <row r="14">
      <c r="A14" s="176">
        <f t="shared" ref="A14:A15" si="18">B14</f>
        <v>42767</v>
      </c>
      <c r="B14" s="177">
        <v>42767.0</v>
      </c>
      <c r="C14" s="177">
        <v>42947.0</v>
      </c>
      <c r="D14" s="159">
        <v>0.0</v>
      </c>
      <c r="E14" s="41">
        <v>87.19</v>
      </c>
      <c r="F14" s="41">
        <v>92.71</v>
      </c>
      <c r="G14" s="161">
        <v>0.0</v>
      </c>
      <c r="H14" s="42">
        <f t="shared" si="2"/>
        <v>0</v>
      </c>
      <c r="I14" s="175">
        <f t="shared" si="12"/>
        <v>0</v>
      </c>
      <c r="J14" s="42">
        <f t="shared" si="3"/>
        <v>0</v>
      </c>
      <c r="K14" s="42">
        <f t="shared" si="4"/>
        <v>0</v>
      </c>
      <c r="L14" s="162">
        <f t="shared" si="17"/>
        <v>74.11</v>
      </c>
      <c r="M14" s="163">
        <v>0.0</v>
      </c>
      <c r="N14" s="179" t="b">
        <v>0</v>
      </c>
      <c r="O14" s="42">
        <f>Reference!$B$4*Reference!$B$3*D14</f>
        <v>0</v>
      </c>
      <c r="P14" s="42">
        <f>IF(C14&lt;Reference!$B$26,Reference!$C$26,0)</f>
        <v>10.18</v>
      </c>
      <c r="Q14" s="42">
        <f>IF(C14&lt;Reference!$B$27,Reference!$C$27,0)</f>
        <v>16.87</v>
      </c>
      <c r="R14" s="42">
        <f t="shared" si="6"/>
        <v>60.13823529</v>
      </c>
      <c r="S14" s="165">
        <f>SWITCH('Summary &amp; Instructions'!$K$26,"Calculated", D14*Reference!$B$5*Reference!$B$6, "Manual entries",M14)</f>
        <v>0</v>
      </c>
      <c r="T14" s="42">
        <f>MAX(O14+(S14*Reference!$B$18)-(D14*R14),0)</f>
        <v>0</v>
      </c>
      <c r="U14" s="166">
        <f>IF(N14,'Summary &amp; Instructions'!$C$39/ ($N$26+RSU!J$84), 0)</f>
        <v>0</v>
      </c>
      <c r="V14" s="167">
        <f>IF(N14,(Reference!$B$23 - Z14) * U14, 0)</f>
        <v>0</v>
      </c>
      <c r="W14" s="106">
        <f t="shared" si="7"/>
        <v>0</v>
      </c>
      <c r="X14" s="168">
        <f>IF(DATEDIF(C14,Reference!$B$28,"Y")&gt;=1,0,V14+W14)+iferror(((AC14/D14)*U14),0)</f>
        <v>0</v>
      </c>
      <c r="Y14" s="169">
        <f>IF(DATEDIF(C14,Reference!$B$28,"Y")&gt;=1,V14+W14,0)</f>
        <v>0</v>
      </c>
      <c r="Z14" s="170">
        <f>IFERROR(((R14*D14) - O14 + W14 + IF(AB14, 0, AC14))/SWITCH('Summary &amp; Instructions'!$K$26, "Calculated", S14, "Manual entries", M14), 0)</f>
        <v>0</v>
      </c>
      <c r="AA14" s="171">
        <f>(Reference!$B$10-Z14)*((SWITCH('Summary &amp; Instructions'!$K$26, "Calculated", S14, "Manual entries", M14)) - U14)</f>
        <v>0</v>
      </c>
      <c r="AB14" s="42" t="b">
        <f>AND(DATEDIF(B14,Reference!$B$29,"Y")&gt;=1, DATEDIF(A14, Reference!$B$29, "Y")&gt;=2)</f>
        <v>1</v>
      </c>
      <c r="AC14" s="172">
        <f t="shared" si="8"/>
        <v>0</v>
      </c>
      <c r="AD14" s="173">
        <f t="shared" si="9"/>
        <v>0</v>
      </c>
    </row>
    <row r="15">
      <c r="A15" s="176">
        <f t="shared" si="18"/>
        <v>42767</v>
      </c>
      <c r="B15" s="177">
        <v>42767.0</v>
      </c>
      <c r="C15" s="177">
        <v>43159.0</v>
      </c>
      <c r="D15" s="159">
        <v>0.0</v>
      </c>
      <c r="E15" s="41">
        <v>87.19</v>
      </c>
      <c r="F15" s="41">
        <v>131.75</v>
      </c>
      <c r="G15" s="161">
        <v>0.0</v>
      </c>
      <c r="H15" s="42">
        <f t="shared" si="2"/>
        <v>0</v>
      </c>
      <c r="I15" s="175">
        <f t="shared" si="12"/>
        <v>0</v>
      </c>
      <c r="J15" s="42">
        <f t="shared" si="3"/>
        <v>0</v>
      </c>
      <c r="K15" s="42">
        <f t="shared" si="4"/>
        <v>0</v>
      </c>
      <c r="L15" s="162">
        <f t="shared" si="17"/>
        <v>74.11</v>
      </c>
      <c r="M15" s="163">
        <v>0.0</v>
      </c>
      <c r="N15" s="179" t="b">
        <v>0</v>
      </c>
      <c r="O15" s="42">
        <f>Reference!$B$4*Reference!$B$3*D15</f>
        <v>0</v>
      </c>
      <c r="P15" s="42">
        <f>IF(C15&lt;Reference!$B$26,Reference!$C$26,0)</f>
        <v>10.18</v>
      </c>
      <c r="Q15" s="42">
        <f>IF(C15&lt;Reference!$B$27,Reference!$C$27,0)</f>
        <v>16.87</v>
      </c>
      <c r="R15" s="42">
        <f t="shared" si="6"/>
        <v>60.13823529</v>
      </c>
      <c r="S15" s="165">
        <f>SWITCH('Summary &amp; Instructions'!$K$26,"Calculated", D15*Reference!$B$5*Reference!$B$6, "Manual entries",M15)</f>
        <v>0</v>
      </c>
      <c r="T15" s="42">
        <f>MAX(O15+(S15*Reference!$B$18)-(D15*R15),0)</f>
        <v>0</v>
      </c>
      <c r="U15" s="166">
        <f>IF(N15,'Summary &amp; Instructions'!$C$39/ ($N$26+RSU!J$84), 0)</f>
        <v>0</v>
      </c>
      <c r="V15" s="167">
        <f>IF(N15,(Reference!$B$23 - Z15) * U15, 0)</f>
        <v>0</v>
      </c>
      <c r="W15" s="106">
        <f t="shared" si="7"/>
        <v>0</v>
      </c>
      <c r="X15" s="168">
        <f>IF(DATEDIF(C15,Reference!$B$28,"Y")&gt;=1,0,V15+W15)+iferror(((AC15/D15)*U15),0)</f>
        <v>0</v>
      </c>
      <c r="Y15" s="169">
        <f>IF(DATEDIF(C15,Reference!$B$28,"Y")&gt;=1,V15+W15,0)</f>
        <v>0</v>
      </c>
      <c r="Z15" s="170">
        <f>IFERROR(((R15*D15) - O15 + W15 + IF(AB15, 0, AC15))/SWITCH('Summary &amp; Instructions'!$K$26, "Calculated", S15, "Manual entries", M15), 0)</f>
        <v>0</v>
      </c>
      <c r="AA15" s="171">
        <f>(Reference!$B$10-Z15)*((SWITCH('Summary &amp; Instructions'!$K$26, "Calculated", S15, "Manual entries", M15)) - U15)</f>
        <v>0</v>
      </c>
      <c r="AB15" s="42" t="b">
        <f>AND(DATEDIF(B15,Reference!$B$29,"Y")&gt;=1, DATEDIF(A15, Reference!$B$29, "Y")&gt;=2)</f>
        <v>1</v>
      </c>
      <c r="AC15" s="172">
        <f t="shared" si="8"/>
        <v>0</v>
      </c>
      <c r="AD15" s="173">
        <f t="shared" si="9"/>
        <v>0</v>
      </c>
    </row>
    <row r="16">
      <c r="A16" s="176">
        <v>42948.0</v>
      </c>
      <c r="B16" s="177">
        <v>43160.0</v>
      </c>
      <c r="C16" s="177">
        <v>43343.0</v>
      </c>
      <c r="D16" s="159">
        <v>0.0</v>
      </c>
      <c r="E16" s="41">
        <v>123.66</v>
      </c>
      <c r="F16" s="41">
        <v>153.26</v>
      </c>
      <c r="G16" s="161">
        <v>0.0</v>
      </c>
      <c r="H16" s="42">
        <f t="shared" si="2"/>
        <v>0</v>
      </c>
      <c r="I16" s="175">
        <f t="shared" si="12"/>
        <v>0</v>
      </c>
      <c r="J16" s="42">
        <f t="shared" si="3"/>
        <v>0</v>
      </c>
      <c r="K16" s="42">
        <f t="shared" si="4"/>
        <v>0</v>
      </c>
      <c r="L16" s="162">
        <f t="shared" si="17"/>
        <v>105.11</v>
      </c>
      <c r="M16" s="163">
        <v>0.0</v>
      </c>
      <c r="N16" s="179" t="b">
        <v>0</v>
      </c>
      <c r="O16" s="42">
        <f>Reference!$B$4*Reference!$B$3*D16</f>
        <v>0</v>
      </c>
      <c r="P16" s="42">
        <f>IF(C16&lt;Reference!$B$26,Reference!$C$26,0)</f>
        <v>10.18</v>
      </c>
      <c r="Q16" s="42">
        <f>IF(C16&lt;Reference!$B$27,Reference!$C$27,0)</f>
        <v>16.87</v>
      </c>
      <c r="R16" s="42">
        <f t="shared" si="6"/>
        <v>96.60882353</v>
      </c>
      <c r="S16" s="165">
        <f>SWITCH('Summary &amp; Instructions'!$K$26,"Calculated", D16*Reference!$B$5*Reference!$B$6, "Manual entries",M16)</f>
        <v>0</v>
      </c>
      <c r="T16" s="42">
        <f>MAX(O16+(S16*Reference!$B$18)-(D16*R16),0)</f>
        <v>0</v>
      </c>
      <c r="U16" s="166">
        <f>IF(N16,'Summary &amp; Instructions'!$C$39/ ($N$26+RSU!J$84), 0)</f>
        <v>0</v>
      </c>
      <c r="V16" s="167">
        <f>IF(N16,(Reference!$B$23 - Z16) * U16, 0)</f>
        <v>0</v>
      </c>
      <c r="W16" s="106">
        <f t="shared" si="7"/>
        <v>0</v>
      </c>
      <c r="X16" s="168">
        <f>IF(DATEDIF(C16,Reference!$B$28,"Y")&gt;=1,0,V16+W16)+iferror(((AC16/D16)*U16),0)</f>
        <v>0</v>
      </c>
      <c r="Y16" s="169">
        <f>IF(DATEDIF(C16,Reference!$B$28,"Y")&gt;=1,V16+W16,0)</f>
        <v>0</v>
      </c>
      <c r="Z16" s="170">
        <f>IFERROR(((R16*D16) - O16 + W16 + IF(AB16, 0, AC16))/SWITCH('Summary &amp; Instructions'!$K$26, "Calculated", S16, "Manual entries", M16), 0)</f>
        <v>0</v>
      </c>
      <c r="AA16" s="171">
        <f>(Reference!$B$10-Z16)*((SWITCH('Summary &amp; Instructions'!$K$26, "Calculated", S16, "Manual entries", M16)) - U16)</f>
        <v>0</v>
      </c>
      <c r="AB16" s="42" t="b">
        <f>AND(DATEDIF(B16,Reference!$B$29,"Y")&gt;=1, DATEDIF(A16, Reference!$B$29, "Y")&gt;=2)</f>
        <v>1</v>
      </c>
      <c r="AC16" s="172">
        <f t="shared" si="8"/>
        <v>0</v>
      </c>
      <c r="AD16" s="173">
        <f t="shared" si="9"/>
        <v>0</v>
      </c>
    </row>
    <row r="17">
      <c r="A17" s="176">
        <f>B17</f>
        <v>43160</v>
      </c>
      <c r="B17" s="177">
        <v>43160.0</v>
      </c>
      <c r="C17" s="177">
        <v>43524.0</v>
      </c>
      <c r="D17" s="159">
        <v>0.0</v>
      </c>
      <c r="E17" s="41">
        <v>123.66</v>
      </c>
      <c r="F17" s="41">
        <v>171.81</v>
      </c>
      <c r="G17" s="161">
        <v>0.0</v>
      </c>
      <c r="H17" s="42">
        <f t="shared" si="2"/>
        <v>0</v>
      </c>
      <c r="I17" s="175">
        <f t="shared" si="12"/>
        <v>0</v>
      </c>
      <c r="J17" s="42">
        <f t="shared" si="3"/>
        <v>0</v>
      </c>
      <c r="K17" s="42">
        <f t="shared" si="4"/>
        <v>0</v>
      </c>
      <c r="L17" s="162">
        <f t="shared" si="17"/>
        <v>105.11</v>
      </c>
      <c r="M17" s="163">
        <v>0.0</v>
      </c>
      <c r="N17" s="179" t="b">
        <v>0</v>
      </c>
      <c r="O17" s="42">
        <f>Reference!$B$4*Reference!$B$3*D17</f>
        <v>0</v>
      </c>
      <c r="P17" s="42">
        <f>IF(C17&lt;Reference!$B$26,Reference!$C$26,0)</f>
        <v>0</v>
      </c>
      <c r="Q17" s="42">
        <f>IF(C17&lt;Reference!$B$27,Reference!$C$27,0)</f>
        <v>16.87</v>
      </c>
      <c r="R17" s="42">
        <f t="shared" si="6"/>
        <v>106.7888235</v>
      </c>
      <c r="S17" s="165">
        <f>SWITCH('Summary &amp; Instructions'!$K$26,"Calculated", D17*Reference!$B$5*Reference!$B$6, "Manual entries",M17)</f>
        <v>0</v>
      </c>
      <c r="T17" s="42">
        <f>MAX(O17+(S17*Reference!$B$18)-(D17*R17),0)</f>
        <v>0</v>
      </c>
      <c r="U17" s="166">
        <f>IF(N17,'Summary &amp; Instructions'!$C$39/ ($N$26+RSU!J$84), 0)</f>
        <v>0</v>
      </c>
      <c r="V17" s="167">
        <f>IF(N17,(Reference!$B$23 - Z17) * U17, 0)</f>
        <v>0</v>
      </c>
      <c r="W17" s="106">
        <f t="shared" si="7"/>
        <v>0</v>
      </c>
      <c r="X17" s="168">
        <f>IF(DATEDIF(C17,Reference!$B$28,"Y")&gt;=1,0,V17+W17)+iferror(((AC17/D17)*U17),0)</f>
        <v>0</v>
      </c>
      <c r="Y17" s="169">
        <f>IF(DATEDIF(C17,Reference!$B$28,"Y")&gt;=1,V17+W17,0)</f>
        <v>0</v>
      </c>
      <c r="Z17" s="170">
        <f>IFERROR(((R17*D17) - O17 + W17 + IF(AB17, 0, AC17))/SWITCH('Summary &amp; Instructions'!$K$26, "Calculated", S17, "Manual entries", M17), 0)</f>
        <v>0</v>
      </c>
      <c r="AA17" s="171">
        <f>(Reference!$B$10-Z17)*((SWITCH('Summary &amp; Instructions'!$K$26, "Calculated", S17, "Manual entries", M17)) - U17)</f>
        <v>0</v>
      </c>
      <c r="AB17" s="42" t="b">
        <f>AND(DATEDIF(B17,Reference!$B$29,"Y")&gt;=1, DATEDIF(A17, Reference!$B$29, "Y")&gt;=2)</f>
        <v>1</v>
      </c>
      <c r="AC17" s="172">
        <f t="shared" si="8"/>
        <v>0</v>
      </c>
      <c r="AD17" s="173">
        <f t="shared" si="9"/>
        <v>0</v>
      </c>
    </row>
    <row r="18">
      <c r="A18" s="176">
        <v>43344.0</v>
      </c>
      <c r="B18" s="177">
        <v>43525.0</v>
      </c>
      <c r="C18" s="177">
        <v>43708.0</v>
      </c>
      <c r="D18" s="159">
        <v>0.0</v>
      </c>
      <c r="E18" s="41">
        <v>178.2</v>
      </c>
      <c r="F18" s="41">
        <v>141.44</v>
      </c>
      <c r="G18" s="161">
        <v>0.0</v>
      </c>
      <c r="H18" s="42">
        <f t="shared" si="2"/>
        <v>0</v>
      </c>
      <c r="I18" s="175">
        <f t="shared" si="12"/>
        <v>0</v>
      </c>
      <c r="J18" s="42">
        <f t="shared" si="3"/>
        <v>0</v>
      </c>
      <c r="K18" s="42">
        <f t="shared" si="4"/>
        <v>0</v>
      </c>
      <c r="L18" s="162">
        <f t="shared" si="17"/>
        <v>120.22</v>
      </c>
      <c r="M18" s="163">
        <v>0.0</v>
      </c>
      <c r="N18" s="179" t="b">
        <v>0</v>
      </c>
      <c r="O18" s="42">
        <f>Reference!$B$4*Reference!$B$3*D18</f>
        <v>0</v>
      </c>
      <c r="P18" s="42">
        <f>IF(C18&lt;Reference!$B$26,Reference!$C$26,0)</f>
        <v>0</v>
      </c>
      <c r="Q18" s="42">
        <f>IF(C18&lt;Reference!$B$27,Reference!$C$27,0)</f>
        <v>16.87</v>
      </c>
      <c r="R18" s="42">
        <f t="shared" si="6"/>
        <v>124.5652941</v>
      </c>
      <c r="S18" s="165">
        <f>SWITCH('Summary &amp; Instructions'!$K$26,"Calculated", D18*Reference!$B$5*Reference!$B$6, "Manual entries",M18)</f>
        <v>0</v>
      </c>
      <c r="T18" s="42">
        <f>MAX(O18+(S18*Reference!$B$18)-(D18*R18),0)</f>
        <v>0</v>
      </c>
      <c r="U18" s="166">
        <f>IF(N18,'Summary &amp; Instructions'!$C$39/ ($N$26+RSU!J$84), 0)</f>
        <v>0</v>
      </c>
      <c r="V18" s="167">
        <f>IF(N18,(Reference!$B$23 - Z18) * U18, 0)</f>
        <v>0</v>
      </c>
      <c r="W18" s="106">
        <f t="shared" si="7"/>
        <v>0</v>
      </c>
      <c r="X18" s="168">
        <f>IF(DATEDIF(C18,Reference!$B$28,"Y")&gt;=1,0,V18+W18)+iferror(((AC18/D18)*U18),0)</f>
        <v>0</v>
      </c>
      <c r="Y18" s="169">
        <f>IF(DATEDIF(C18,Reference!$B$28,"Y")&gt;=1,V18+W18,0)</f>
        <v>0</v>
      </c>
      <c r="Z18" s="170">
        <f>IFERROR(((R18*D18) - O18 + W18 + IF(AB18, 0, AC18))/SWITCH('Summary &amp; Instructions'!$K$26, "Calculated", S18, "Manual entries", M18), 0)</f>
        <v>0</v>
      </c>
      <c r="AA18" s="171">
        <f>(Reference!$B$10-Z18)*((SWITCH('Summary &amp; Instructions'!$K$26, "Calculated", S18, "Manual entries", M18)) - U18)</f>
        <v>0</v>
      </c>
      <c r="AB18" s="42" t="b">
        <f>AND(DATEDIF(B18,Reference!$B$29,"Y")&gt;=1, DATEDIF(A18, Reference!$B$29, "Y")&gt;=2)</f>
        <v>1</v>
      </c>
      <c r="AC18" s="172">
        <f t="shared" si="8"/>
        <v>0</v>
      </c>
      <c r="AD18" s="173">
        <f t="shared" si="9"/>
        <v>0</v>
      </c>
    </row>
    <row r="19">
      <c r="A19" s="176">
        <f t="shared" ref="A19:A24" si="19">B19</f>
        <v>43709</v>
      </c>
      <c r="B19" s="178">
        <f t="shared" ref="B19:B20" si="20">DATE(YEAR(B18),MONTH(B18)+6,DAY(B18))</f>
        <v>43709</v>
      </c>
      <c r="C19" s="177">
        <v>43890.0</v>
      </c>
      <c r="D19" s="159">
        <v>0.0</v>
      </c>
      <c r="E19" s="41">
        <v>141.44</v>
      </c>
      <c r="F19" s="41">
        <v>120.52</v>
      </c>
      <c r="G19" s="161">
        <v>0.0</v>
      </c>
      <c r="H19" s="42">
        <f t="shared" si="2"/>
        <v>0</v>
      </c>
      <c r="I19" s="175">
        <f t="shared" si="12"/>
        <v>0</v>
      </c>
      <c r="J19" s="42">
        <f t="shared" si="3"/>
        <v>0</v>
      </c>
      <c r="K19" s="42">
        <f t="shared" si="4"/>
        <v>0</v>
      </c>
      <c r="L19" s="162">
        <f t="shared" si="17"/>
        <v>102.44</v>
      </c>
      <c r="M19" s="163">
        <v>0.0</v>
      </c>
      <c r="N19" s="179" t="b">
        <v>0</v>
      </c>
      <c r="O19" s="42">
        <f>Reference!$B$4*Reference!$B$3*D19</f>
        <v>0</v>
      </c>
      <c r="P19" s="42">
        <f>IF(C19&lt;Reference!$B$26,Reference!$C$26,0)</f>
        <v>0</v>
      </c>
      <c r="Q19" s="42">
        <f>IF(C19&lt;Reference!$B$27,Reference!$C$27,0)</f>
        <v>16.87</v>
      </c>
      <c r="R19" s="42">
        <f t="shared" si="6"/>
        <v>103.6476471</v>
      </c>
      <c r="S19" s="165">
        <f>SWITCH('Summary &amp; Instructions'!$K$26,"Calculated", D19*Reference!$B$5*Reference!$B$6, "Manual entries",M19)</f>
        <v>0</v>
      </c>
      <c r="T19" s="42">
        <f>MAX(O19+(S19*Reference!$B$18)-(D19*R19),0)</f>
        <v>0</v>
      </c>
      <c r="U19" s="166">
        <f>IF(N19,'Summary &amp; Instructions'!$C$39/ ($N$26+RSU!J$84), 0)</f>
        <v>0</v>
      </c>
      <c r="V19" s="167">
        <f>IF(N19,(Reference!$B$23 - Z19) * U19, 0)</f>
        <v>0</v>
      </c>
      <c r="W19" s="106">
        <f t="shared" si="7"/>
        <v>0</v>
      </c>
      <c r="X19" s="168">
        <f>IF(DATEDIF(C19,Reference!$B$28,"Y")&gt;=1,0,V19+W19)+iferror(((AC19/D19)*U19),0)</f>
        <v>0</v>
      </c>
      <c r="Y19" s="169">
        <f>IF(DATEDIF(C19,Reference!$B$28,"Y")&gt;=1,V19+W19,0)</f>
        <v>0</v>
      </c>
      <c r="Z19" s="170">
        <f>IFERROR(((R19*D19) - O19 + W19 + IF(AB19, 0, AC19))/SWITCH('Summary &amp; Instructions'!$K$26, "Calculated", S19, "Manual entries", M19), 0)</f>
        <v>0</v>
      </c>
      <c r="AA19" s="171">
        <f>(Reference!$B$10-Z19)*((SWITCH('Summary &amp; Instructions'!$K$26, "Calculated", S19, "Manual entries", M19)) - U19)</f>
        <v>0</v>
      </c>
      <c r="AB19" s="42" t="b">
        <f>AND(DATEDIF(B19,Reference!$B$29,"Y")&gt;=1, DATEDIF(A19, Reference!$B$29, "Y")&gt;=2)</f>
        <v>1</v>
      </c>
      <c r="AC19" s="172">
        <f t="shared" si="8"/>
        <v>0</v>
      </c>
      <c r="AD19" s="173">
        <f t="shared" si="9"/>
        <v>0</v>
      </c>
    </row>
    <row r="20">
      <c r="A20" s="176">
        <f t="shared" si="19"/>
        <v>43891</v>
      </c>
      <c r="B20" s="178">
        <f t="shared" si="20"/>
        <v>43891</v>
      </c>
      <c r="C20" s="177">
        <v>44074.0</v>
      </c>
      <c r="D20" s="159">
        <v>0.0</v>
      </c>
      <c r="E20" s="41">
        <v>120.52</v>
      </c>
      <c r="F20" s="41">
        <v>144.44</v>
      </c>
      <c r="G20" s="161">
        <v>0.0</v>
      </c>
      <c r="H20" s="42">
        <f t="shared" si="2"/>
        <v>0</v>
      </c>
      <c r="I20" s="175">
        <f t="shared" si="12"/>
        <v>0</v>
      </c>
      <c r="J20" s="42">
        <f t="shared" si="3"/>
        <v>0</v>
      </c>
      <c r="K20" s="42">
        <f t="shared" si="4"/>
        <v>0</v>
      </c>
      <c r="L20" s="162">
        <f t="shared" si="17"/>
        <v>102.44</v>
      </c>
      <c r="M20" s="163">
        <v>0.0</v>
      </c>
      <c r="N20" s="179" t="b">
        <v>0</v>
      </c>
      <c r="O20" s="42">
        <f>Reference!$B$4*Reference!$B$3*D20</f>
        <v>0</v>
      </c>
      <c r="P20" s="42">
        <f>IF(C20&lt;Reference!$B$26,Reference!$C$26,0)</f>
        <v>0</v>
      </c>
      <c r="Q20" s="42">
        <f>IF(C20&lt;Reference!$B$27,Reference!$C$27,0)</f>
        <v>16.87</v>
      </c>
      <c r="R20" s="42">
        <f t="shared" si="6"/>
        <v>103.6476471</v>
      </c>
      <c r="S20" s="165">
        <f>SWITCH('Summary &amp; Instructions'!$K$26,"Calculated", D20*Reference!$B$5*Reference!$B$6, "Manual entries",M20)</f>
        <v>0</v>
      </c>
      <c r="T20" s="42">
        <f>MAX(O20+(S20*Reference!$B$18)-(D20*R20),0)</f>
        <v>0</v>
      </c>
      <c r="U20" s="166">
        <f>IF(N20,'Summary &amp; Instructions'!$C$39/ ($N$26+RSU!J$84), 0)</f>
        <v>0</v>
      </c>
      <c r="V20" s="167">
        <f>IF(N20,(Reference!$B$23 - Z20) * U20, 0)</f>
        <v>0</v>
      </c>
      <c r="W20" s="106">
        <f t="shared" si="7"/>
        <v>0</v>
      </c>
      <c r="X20" s="168">
        <f>IF(DATEDIF(C20,Reference!$B$28,"Y")&gt;=1,0,V20+W20)+iferror(((AC20/D20)*U20),0)</f>
        <v>0</v>
      </c>
      <c r="Y20" s="169">
        <f>IF(DATEDIF(C20,Reference!$B$28,"Y")&gt;=1,V20+W20,0)</f>
        <v>0</v>
      </c>
      <c r="Z20" s="170">
        <f>IFERROR(((R20*D20) - O20 + W20 + IF(AB20, 0, AC20))/SWITCH('Summary &amp; Instructions'!$K$26, "Calculated", S20, "Manual entries", M20), 0)</f>
        <v>0</v>
      </c>
      <c r="AA20" s="171">
        <f>(Reference!$B$10-Z20)*((SWITCH('Summary &amp; Instructions'!$K$26, "Calculated", S20, "Manual entries", M20)) - U20)</f>
        <v>0</v>
      </c>
      <c r="AB20" s="42" t="b">
        <f>AND(DATEDIF(B20,Reference!$B$29,"Y")&gt;=1, DATEDIF(A20, Reference!$B$29, "Y")&gt;=2)</f>
        <v>1</v>
      </c>
      <c r="AC20" s="172">
        <f t="shared" si="8"/>
        <v>0</v>
      </c>
      <c r="AD20" s="173">
        <f t="shared" si="9"/>
        <v>0</v>
      </c>
    </row>
    <row r="21">
      <c r="A21" s="176">
        <f t="shared" si="19"/>
        <v>43891</v>
      </c>
      <c r="B21" s="177">
        <v>43891.0</v>
      </c>
      <c r="C21" s="177">
        <v>44255.0</v>
      </c>
      <c r="D21" s="159">
        <v>0.0</v>
      </c>
      <c r="E21" s="41">
        <v>120.52</v>
      </c>
      <c r="F21" s="41">
        <v>138.21</v>
      </c>
      <c r="G21" s="161">
        <v>0.0</v>
      </c>
      <c r="H21" s="42">
        <f t="shared" si="2"/>
        <v>0</v>
      </c>
      <c r="I21" s="175">
        <f t="shared" si="12"/>
        <v>0</v>
      </c>
      <c r="J21" s="42">
        <f t="shared" si="3"/>
        <v>0</v>
      </c>
      <c r="K21" s="42">
        <f t="shared" si="4"/>
        <v>0</v>
      </c>
      <c r="L21" s="162">
        <f t="shared" si="17"/>
        <v>102.44</v>
      </c>
      <c r="M21" s="163">
        <v>0.0</v>
      </c>
      <c r="N21" s="179" t="b">
        <v>0</v>
      </c>
      <c r="O21" s="42">
        <f>Reference!$B$4*Reference!$B$3*D21</f>
        <v>0</v>
      </c>
      <c r="P21" s="42">
        <f>IF(C21&lt;Reference!$B$26,Reference!$C$26,0)</f>
        <v>0</v>
      </c>
      <c r="Q21" s="42">
        <f>IF(C21&lt;Reference!$B$27,Reference!$C$27,0)</f>
        <v>16.87</v>
      </c>
      <c r="R21" s="42">
        <f t="shared" si="6"/>
        <v>103.6476471</v>
      </c>
      <c r="S21" s="165">
        <f>SWITCH('Summary &amp; Instructions'!$K$26,"Calculated", D21*Reference!$B$5*Reference!$B$6, "Manual entries",M21)</f>
        <v>0</v>
      </c>
      <c r="T21" s="42">
        <f>MAX(O21+(S21*Reference!$B$18)-(D21*R21),0)</f>
        <v>0</v>
      </c>
      <c r="U21" s="166">
        <f>IF(N21,'Summary &amp; Instructions'!$C$39/ ($N$26+RSU!J$84), 0)</f>
        <v>0</v>
      </c>
      <c r="V21" s="167">
        <f>IF(N21,(Reference!$B$23 - Z21) * U21, 0)</f>
        <v>0</v>
      </c>
      <c r="W21" s="106">
        <f t="shared" si="7"/>
        <v>0</v>
      </c>
      <c r="X21" s="168">
        <f>IF(DATEDIF(C21,Reference!$B$28,"Y")&gt;=1,0,V21+W21)+iferror(((AC21/D21)*U21),0)</f>
        <v>0</v>
      </c>
      <c r="Y21" s="169">
        <f>IF(DATEDIF(C21,Reference!$B$28,"Y")&gt;=1,V21+W21,0)</f>
        <v>0</v>
      </c>
      <c r="Z21" s="170">
        <f>IFERROR(((R21*D21) - O21 + W21 + IF(AB21, 0, AC21))/SWITCH('Summary &amp; Instructions'!$K$26, "Calculated", S21, "Manual entries", M21), 0)</f>
        <v>0</v>
      </c>
      <c r="AA21" s="171">
        <f>(Reference!$B$10-Z21)*((SWITCH('Summary &amp; Instructions'!$K$26, "Calculated", S21, "Manual entries", M21)) - U21)</f>
        <v>0</v>
      </c>
      <c r="AB21" s="42" t="b">
        <f>AND(DATEDIF(B21,Reference!$B$29,"Y")&gt;=1, DATEDIF(A21, Reference!$B$29, "Y")&gt;=2)</f>
        <v>1</v>
      </c>
      <c r="AC21" s="172">
        <f t="shared" si="8"/>
        <v>0</v>
      </c>
      <c r="AD21" s="173">
        <f t="shared" si="9"/>
        <v>0</v>
      </c>
    </row>
    <row r="22">
      <c r="A22" s="176">
        <f t="shared" si="19"/>
        <v>44256</v>
      </c>
      <c r="B22" s="177">
        <v>44256.0</v>
      </c>
      <c r="C22" s="177">
        <v>44439.0</v>
      </c>
      <c r="D22" s="159">
        <v>0.0</v>
      </c>
      <c r="E22" s="41">
        <v>140.41</v>
      </c>
      <c r="F22" s="41">
        <v>148.87</v>
      </c>
      <c r="G22" s="161">
        <v>0.0</v>
      </c>
      <c r="H22" s="42">
        <f t="shared" si="2"/>
        <v>0</v>
      </c>
      <c r="I22" s="175">
        <f t="shared" si="12"/>
        <v>0</v>
      </c>
      <c r="J22" s="42">
        <f t="shared" si="3"/>
        <v>0</v>
      </c>
      <c r="K22" s="42">
        <f t="shared" si="4"/>
        <v>0</v>
      </c>
      <c r="L22" s="162">
        <f t="shared" si="17"/>
        <v>119.35</v>
      </c>
      <c r="M22" s="163">
        <v>0.0</v>
      </c>
      <c r="N22" s="179" t="b">
        <v>0</v>
      </c>
      <c r="O22" s="42">
        <f>Reference!$B$4*Reference!$B$3*D22</f>
        <v>0</v>
      </c>
      <c r="P22" s="42">
        <f>IF(C22&lt;Reference!$B$26,Reference!$C$26,0)</f>
        <v>0</v>
      </c>
      <c r="Q22" s="42">
        <f>IF(C22&lt;Reference!$B$27,Reference!$C$27,0)</f>
        <v>16.87</v>
      </c>
      <c r="R22" s="42">
        <f t="shared" si="6"/>
        <v>123.5417647</v>
      </c>
      <c r="S22" s="165">
        <f>SWITCH('Summary &amp; Instructions'!$K$26,"Calculated", D22*Reference!$B$5*Reference!$B$6, "Manual entries",M22)</f>
        <v>0</v>
      </c>
      <c r="T22" s="42">
        <f>MAX(O22+(S22*Reference!$B$18)-(D22*R22),0)</f>
        <v>0</v>
      </c>
      <c r="U22" s="166">
        <f>IF(N22,'Summary &amp; Instructions'!$C$39/ ($N$26+RSU!J$84), 0)</f>
        <v>0</v>
      </c>
      <c r="V22" s="167">
        <f>IF(N22,(Reference!$B$23 - Z22) * U22, 0)</f>
        <v>0</v>
      </c>
      <c r="W22" s="106">
        <f t="shared" si="7"/>
        <v>0</v>
      </c>
      <c r="X22" s="168">
        <f>IF(DATEDIF(C22,Reference!$B$28,"Y")&gt;=1,0,V22+W22)+iferror(((AC22/D22)*U22),0)</f>
        <v>0</v>
      </c>
      <c r="Y22" s="169">
        <f>IF(DATEDIF(C22,Reference!$B$28,"Y")&gt;=1,V22+W22,0)</f>
        <v>0</v>
      </c>
      <c r="Z22" s="170">
        <f>IFERROR(((R22*D22) - O22 + W22 + IF(AB22, 0, AC22))/SWITCH('Summary &amp; Instructions'!$K$26, "Calculated", S22, "Manual entries", M22), 0)</f>
        <v>0</v>
      </c>
      <c r="AA22" s="171">
        <f>(Reference!$B$10-Z22)*((SWITCH('Summary &amp; Instructions'!$K$26, "Calculated", S22, "Manual entries", M22)) - U22)</f>
        <v>0</v>
      </c>
      <c r="AB22" s="42" t="b">
        <f>AND(DATEDIF(B22,Reference!$B$29,"Y")&gt;=1, DATEDIF(A22, Reference!$B$29, "Y")&gt;=2)</f>
        <v>1</v>
      </c>
      <c r="AC22" s="172">
        <f t="shared" si="8"/>
        <v>0</v>
      </c>
      <c r="AD22" s="173">
        <f t="shared" si="9"/>
        <v>0</v>
      </c>
    </row>
    <row r="23">
      <c r="A23" s="176">
        <f t="shared" si="19"/>
        <v>44256</v>
      </c>
      <c r="B23" s="177">
        <v>44256.0</v>
      </c>
      <c r="C23" s="177">
        <v>44620.0</v>
      </c>
      <c r="D23" s="159">
        <v>0.0</v>
      </c>
      <c r="E23" s="41">
        <v>140.41</v>
      </c>
      <c r="F23" s="41">
        <v>117.32</v>
      </c>
      <c r="G23" s="161">
        <v>0.0</v>
      </c>
      <c r="H23" s="42">
        <f t="shared" si="2"/>
        <v>0</v>
      </c>
      <c r="I23" s="175">
        <f t="shared" si="12"/>
        <v>0</v>
      </c>
      <c r="J23" s="42">
        <f t="shared" si="3"/>
        <v>0</v>
      </c>
      <c r="K23" s="42">
        <f t="shared" si="4"/>
        <v>0</v>
      </c>
      <c r="L23" s="162">
        <f t="shared" si="17"/>
        <v>99.72</v>
      </c>
      <c r="M23" s="163">
        <v>0.0</v>
      </c>
      <c r="N23" s="179" t="b">
        <v>0</v>
      </c>
      <c r="O23" s="42">
        <f>Reference!$B$4*Reference!$B$3*D23</f>
        <v>0</v>
      </c>
      <c r="P23" s="42">
        <f>IF(C23&lt;Reference!$B$26,Reference!$C$26,0)</f>
        <v>0</v>
      </c>
      <c r="Q23" s="42">
        <f>IF(C23&lt;Reference!$B$27,Reference!$C$27,0)</f>
        <v>0</v>
      </c>
      <c r="R23" s="42">
        <f t="shared" si="6"/>
        <v>117.3176471</v>
      </c>
      <c r="S23" s="165">
        <f>SWITCH('Summary &amp; Instructions'!$K$26,"Calculated", D23*Reference!$B$5*Reference!$B$6, "Manual entries",M23)</f>
        <v>0</v>
      </c>
      <c r="T23" s="42">
        <f>MAX(O23+(S23*Reference!$B$18)-(D23*R23),0)</f>
        <v>0</v>
      </c>
      <c r="U23" s="166">
        <f>IF(N23,'Summary &amp; Instructions'!$C$39/ ($N$26+RSU!J$84), 0)</f>
        <v>0</v>
      </c>
      <c r="V23" s="167">
        <f>IF(N23,(Reference!$B$23 - Z23) * U23, 0)</f>
        <v>0</v>
      </c>
      <c r="W23" s="106">
        <f t="shared" si="7"/>
        <v>0</v>
      </c>
      <c r="X23" s="168">
        <f>IF(DATEDIF(C23,Reference!$B$28,"Y")&gt;=1,0,V23+W23)+iferror(((AC23/D23)*U23),0)</f>
        <v>0</v>
      </c>
      <c r="Y23" s="169">
        <f>IF(DATEDIF(C23,Reference!$B$28,"Y")&gt;=1,V23+W23,0)</f>
        <v>0</v>
      </c>
      <c r="Z23" s="170">
        <f>IFERROR(((R23*D23) - O23 + W23 + IF(AB23, 0, AC23))/SWITCH('Summary &amp; Instructions'!$K$26, "Calculated", S23, "Manual entries", M23), 0)</f>
        <v>0</v>
      </c>
      <c r="AA23" s="171">
        <f>(Reference!$B$10-Z23)*((SWITCH('Summary &amp; Instructions'!$K$26, "Calculated", S23, "Manual entries", M23)) - U23)</f>
        <v>0</v>
      </c>
      <c r="AB23" s="42" t="b">
        <f>AND(DATEDIF(B23,Reference!$B$29,"Y")&gt;=1, DATEDIF(A23, Reference!$B$29, "Y")&gt;=2)</f>
        <v>1</v>
      </c>
      <c r="AC23" s="172">
        <f t="shared" si="8"/>
        <v>0</v>
      </c>
      <c r="AD23" s="173">
        <f t="shared" si="9"/>
        <v>0</v>
      </c>
    </row>
    <row r="24">
      <c r="A24" s="180">
        <f t="shared" si="19"/>
        <v>44621</v>
      </c>
      <c r="B24" s="181">
        <v>44621.0</v>
      </c>
      <c r="C24" s="181">
        <v>44804.0</v>
      </c>
      <c r="D24" s="182">
        <v>0.0</v>
      </c>
      <c r="E24" s="183">
        <v>115.91</v>
      </c>
      <c r="F24" s="183">
        <v>116.03</v>
      </c>
      <c r="G24" s="184">
        <v>0.0</v>
      </c>
      <c r="H24" s="78">
        <f t="shared" si="2"/>
        <v>0</v>
      </c>
      <c r="I24" s="185">
        <f t="shared" si="12"/>
        <v>0</v>
      </c>
      <c r="J24" s="78">
        <f t="shared" si="3"/>
        <v>0</v>
      </c>
      <c r="K24" s="78">
        <f t="shared" si="4"/>
        <v>0</v>
      </c>
      <c r="L24" s="186">
        <f t="shared" si="17"/>
        <v>98.52</v>
      </c>
      <c r="M24" s="187">
        <v>0.0</v>
      </c>
      <c r="N24" s="188" t="b">
        <v>0</v>
      </c>
      <c r="O24" s="78">
        <f>Reference!$B$4*Reference!$B$3*D24</f>
        <v>0</v>
      </c>
      <c r="P24" s="78">
        <f>IF(C24&lt;Reference!$B$26,Reference!$C$26,0)</f>
        <v>0</v>
      </c>
      <c r="Q24" s="78">
        <f>IF(C24&lt;Reference!$B$27,Reference!$C$27,0)</f>
        <v>0</v>
      </c>
      <c r="R24" s="78">
        <f t="shared" si="6"/>
        <v>115.9058824</v>
      </c>
      <c r="S24" s="189">
        <f>SWITCH('Summary &amp; Instructions'!$K$26,"Calculated", D24*Reference!$B$5*Reference!$B$6, "Manual entries",M24)</f>
        <v>0</v>
      </c>
      <c r="T24" s="78">
        <f>MAX(O24+(S24*Reference!$B$18)-(D24*R24),0)</f>
        <v>0</v>
      </c>
      <c r="U24" s="190">
        <f>IF(N24,'Summary &amp; Instructions'!$C$39/ ($N$26+RSU!J$84), 0)</f>
        <v>0</v>
      </c>
      <c r="V24" s="191">
        <f>IF(N24,(Reference!$B$23 - Z24) * U24, 0)</f>
        <v>0</v>
      </c>
      <c r="W24" s="192">
        <f t="shared" si="7"/>
        <v>0</v>
      </c>
      <c r="X24" s="193">
        <f>IF(DATEDIF(C24,Reference!$B$28,"Y")&gt;=1,0,V24+W24)+iferror(((AC24/D24)*U24),0)</f>
        <v>0</v>
      </c>
      <c r="Y24" s="194">
        <f>IF(DATEDIF(C24,Reference!$B$28,"Y")&gt;=1,V24+W24,0)</f>
        <v>0</v>
      </c>
      <c r="Z24" s="195">
        <f>IFERROR(((R24*D24) - O24 + W24 + IF(AB24, 0, AC24))/SWITCH('Summary &amp; Instructions'!$K$26, "Calculated", S24, "Manual entries", M24), 0)</f>
        <v>0</v>
      </c>
      <c r="AA24" s="196">
        <f>(Reference!$B$10-Z24)*((SWITCH('Summary &amp; Instructions'!$K$26, "Calculated", S24, "Manual entries", M24)) - U24)</f>
        <v>0</v>
      </c>
      <c r="AB24" s="78" t="b">
        <f>AND(DATEDIF(B24,Reference!$B$29,"Y")&gt;=1, DATEDIF(A24, Reference!$B$29, "Y")&gt;=2)</f>
        <v>0</v>
      </c>
      <c r="AC24" s="197">
        <f t="shared" si="8"/>
        <v>0</v>
      </c>
      <c r="AD24" s="198">
        <f t="shared" si="9"/>
        <v>0</v>
      </c>
    </row>
    <row r="25">
      <c r="O25" s="27"/>
    </row>
    <row r="26">
      <c r="A26" s="84"/>
      <c r="B26" s="85"/>
      <c r="C26" s="85"/>
      <c r="D26" s="199">
        <f>SUM(D5:D24)</f>
        <v>0</v>
      </c>
      <c r="E26" s="85"/>
      <c r="F26" s="85"/>
      <c r="G26" s="200"/>
      <c r="H26" s="201">
        <f>SUM(H3:H24)</f>
        <v>0</v>
      </c>
      <c r="I26" s="85"/>
      <c r="J26" s="85"/>
      <c r="K26" s="85"/>
      <c r="L26" s="85"/>
      <c r="M26" s="202">
        <f>SUM(M5:M24)</f>
        <v>0</v>
      </c>
      <c r="N26" s="200">
        <f>COUNTIF(N3:N24, TRUE)</f>
        <v>0</v>
      </c>
      <c r="O26" s="201">
        <f>SUM(O3:O24)</f>
        <v>0</v>
      </c>
      <c r="P26" s="85"/>
      <c r="Q26" s="85"/>
      <c r="R26" s="85"/>
      <c r="S26" s="203">
        <f t="shared" ref="S26:U26" si="21">SUM(S3:S24)</f>
        <v>0</v>
      </c>
      <c r="T26" s="201">
        <f t="shared" si="21"/>
        <v>0</v>
      </c>
      <c r="U26" s="204">
        <f t="shared" si="21"/>
        <v>0</v>
      </c>
      <c r="V26" s="205">
        <f t="shared" ref="V26:Y26" si="22">SUM(V5:V24)</f>
        <v>0</v>
      </c>
      <c r="W26" s="112">
        <f t="shared" si="22"/>
        <v>0</v>
      </c>
      <c r="X26" s="110">
        <f t="shared" si="22"/>
        <v>0</v>
      </c>
      <c r="Y26" s="206">
        <f t="shared" si="22"/>
        <v>0</v>
      </c>
      <c r="Z26" s="85"/>
      <c r="AA26" s="86">
        <f>SUM(AA5:AA24)</f>
        <v>0</v>
      </c>
      <c r="AB26" s="86"/>
      <c r="AC26" s="86">
        <f t="shared" ref="AC26:AD26" si="23">SUM(AC5:AC24)</f>
        <v>0</v>
      </c>
      <c r="AD26" s="87">
        <f t="shared" si="23"/>
        <v>0</v>
      </c>
    </row>
  </sheetData>
  <mergeCells count="13">
    <mergeCell ref="B3:G3"/>
    <mergeCell ref="I3:L3"/>
    <mergeCell ref="P3:Q3"/>
    <mergeCell ref="V3:W3"/>
    <mergeCell ref="X3:Y3"/>
    <mergeCell ref="Z3:AD3"/>
    <mergeCell ref="A1:N1"/>
    <mergeCell ref="A2:L2"/>
    <mergeCell ref="M2:N2"/>
    <mergeCell ref="O2:T2"/>
    <mergeCell ref="V2:Y2"/>
    <mergeCell ref="O1:AD1"/>
    <mergeCell ref="Z2:AD2"/>
  </mergeCells>
  <conditionalFormatting sqref="M5:M24">
    <cfRule type="containsBlanks" dxfId="3" priority="1">
      <formula>LEN(TRIM(M5))=0</formula>
    </cfRule>
  </conditionalFormatting>
  <conditionalFormatting sqref="M5:M24">
    <cfRule type="cellIs" dxfId="4" priority="2" operator="notEqual">
      <formula>ROUND(S5,3)</formula>
    </cfRule>
  </conditionalFormatting>
  <conditionalFormatting sqref="W5:W24">
    <cfRule type="containsBlanks" dxfId="3" priority="3">
      <formula>LEN(TRIM(W5))=0</formula>
    </cfRule>
  </conditionalFormatting>
  <conditionalFormatting sqref="W5:W24">
    <cfRule type="cellIs" dxfId="5" priority="4" operator="notEqual">
      <formula>O5</formula>
    </cfRule>
  </conditionalFormatting>
  <conditionalFormatting sqref="V5:V24">
    <cfRule type="cellIs" dxfId="6" priority="5" operator="equal">
      <formula>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2" max="2" width="9.5"/>
    <col customWidth="1" min="3" max="3" width="12.0"/>
    <col customWidth="1" min="4" max="4" width="14.75"/>
    <col customWidth="1" min="5" max="5" width="19.25"/>
    <col customWidth="1" min="6" max="6" width="24.75"/>
    <col customWidth="1" hidden="1" min="7" max="7" width="21.25"/>
    <col customWidth="1" hidden="1" min="8" max="8" width="15.63"/>
    <col customWidth="1" min="9" max="9" width="24.38"/>
    <col customWidth="1" min="10" max="10" width="12.25"/>
    <col customWidth="1" min="11" max="11" width="11.63"/>
    <col customWidth="1" min="12" max="12" width="28.0"/>
    <col customWidth="1" min="13" max="13" width="23.38"/>
    <col customWidth="1" min="14" max="14" width="21.0"/>
    <col customWidth="1" min="15" max="15" width="18.88"/>
    <col customWidth="1" min="16" max="16" width="23.75"/>
    <col customWidth="1" min="20" max="20" width="19.63"/>
    <col customWidth="1" min="21" max="21" width="12.13"/>
    <col customWidth="1" min="22" max="22" width="19.75"/>
    <col customWidth="1" min="23" max="23" width="23.38"/>
    <col customWidth="1" min="24" max="25" width="19.88"/>
  </cols>
  <sheetData>
    <row r="1">
      <c r="A1" s="207" t="s">
        <v>3</v>
      </c>
      <c r="K1" s="208" t="s">
        <v>95</v>
      </c>
      <c r="Y1" s="130"/>
    </row>
    <row r="2">
      <c r="A2" s="209" t="s">
        <v>141</v>
      </c>
      <c r="B2" s="90"/>
      <c r="C2" s="90"/>
      <c r="D2" s="90"/>
      <c r="E2" s="90"/>
      <c r="F2" s="90"/>
      <c r="G2" s="90"/>
      <c r="H2" s="91"/>
      <c r="I2" s="210" t="s">
        <v>97</v>
      </c>
      <c r="J2" s="91"/>
      <c r="K2" s="211" t="s">
        <v>50</v>
      </c>
      <c r="L2" s="90"/>
      <c r="M2" s="90"/>
      <c r="N2" s="90"/>
      <c r="O2" s="90"/>
      <c r="P2" s="90"/>
      <c r="Q2" s="212"/>
      <c r="R2" s="211" t="s">
        <v>98</v>
      </c>
      <c r="S2" s="90"/>
      <c r="T2" s="90"/>
      <c r="U2" s="91"/>
      <c r="V2" s="213" t="s">
        <v>99</v>
      </c>
      <c r="W2" s="90"/>
      <c r="X2" s="90"/>
      <c r="Y2" s="91"/>
    </row>
    <row r="3">
      <c r="A3" s="214"/>
      <c r="B3" s="215" t="s">
        <v>100</v>
      </c>
      <c r="F3" s="216" t="s">
        <v>142</v>
      </c>
      <c r="G3" s="217" t="s">
        <v>101</v>
      </c>
      <c r="H3" s="130"/>
      <c r="I3" s="218" t="s">
        <v>103</v>
      </c>
      <c r="J3" s="219" t="s">
        <v>104</v>
      </c>
      <c r="K3" s="220" t="s">
        <v>105</v>
      </c>
      <c r="L3" s="220" t="s">
        <v>106</v>
      </c>
      <c r="N3" s="221" t="s">
        <v>107</v>
      </c>
      <c r="O3" s="220" t="s">
        <v>108</v>
      </c>
      <c r="P3" s="220" t="s">
        <v>109</v>
      </c>
      <c r="Q3" s="217"/>
      <c r="R3" s="215" t="s">
        <v>110</v>
      </c>
      <c r="S3" s="130"/>
      <c r="T3" s="215" t="s">
        <v>111</v>
      </c>
      <c r="U3" s="130"/>
      <c r="V3" s="222" t="s">
        <v>112</v>
      </c>
      <c r="Y3" s="130"/>
    </row>
    <row r="4">
      <c r="A4" s="223" t="s">
        <v>143</v>
      </c>
      <c r="B4" s="224" t="s">
        <v>144</v>
      </c>
      <c r="C4" s="224" t="s">
        <v>145</v>
      </c>
      <c r="D4" s="225" t="s">
        <v>146</v>
      </c>
      <c r="E4" s="226" t="s">
        <v>147</v>
      </c>
      <c r="F4" s="227" t="s">
        <v>148</v>
      </c>
      <c r="G4" s="228" t="s">
        <v>149</v>
      </c>
      <c r="H4" s="223" t="s">
        <v>150</v>
      </c>
      <c r="I4" s="229" t="s">
        <v>125</v>
      </c>
      <c r="J4" s="230"/>
      <c r="K4" s="226" t="s">
        <v>126</v>
      </c>
      <c r="L4" s="226" t="s">
        <v>127</v>
      </c>
      <c r="M4" s="226" t="s">
        <v>128</v>
      </c>
      <c r="N4" s="226" t="s">
        <v>129</v>
      </c>
      <c r="O4" s="226" t="s">
        <v>130</v>
      </c>
      <c r="P4" s="226" t="s">
        <v>131</v>
      </c>
      <c r="Q4" s="231" t="s">
        <v>132</v>
      </c>
      <c r="R4" s="232" t="s">
        <v>133</v>
      </c>
      <c r="S4" s="233" t="s">
        <v>69</v>
      </c>
      <c r="T4" s="226" t="s">
        <v>134</v>
      </c>
      <c r="U4" s="234" t="s">
        <v>135</v>
      </c>
      <c r="V4" s="235" t="s">
        <v>136</v>
      </c>
      <c r="W4" s="236" t="s">
        <v>137</v>
      </c>
      <c r="X4" s="234" t="s">
        <v>151</v>
      </c>
      <c r="Y4" s="237" t="s">
        <v>152</v>
      </c>
    </row>
    <row r="5">
      <c r="A5" s="238"/>
      <c r="B5" s="156"/>
      <c r="C5" s="239">
        <v>41487.0</v>
      </c>
      <c r="D5" s="240">
        <v>0.0</v>
      </c>
      <c r="E5" s="241">
        <v>82.1</v>
      </c>
      <c r="F5" s="242">
        <v>0.0</v>
      </c>
      <c r="G5" s="243">
        <f t="shared" ref="G5:G82" si="1">D5*E5</f>
        <v>0</v>
      </c>
      <c r="H5" s="244">
        <f t="shared" ref="H5:H82" si="2">F5*E5</f>
        <v>0</v>
      </c>
      <c r="I5" s="163">
        <v>0.0</v>
      </c>
      <c r="J5" s="245" t="b">
        <v>0</v>
      </c>
      <c r="K5" s="243">
        <f>Reference!$B$4*Reference!$B$3*D5</f>
        <v>0</v>
      </c>
      <c r="L5" s="243">
        <f>IF(C5&lt;Reference!$B$26,Reference!$C$26,0)</f>
        <v>10.18</v>
      </c>
      <c r="M5" s="243">
        <f>IF(C5&lt;Reference!$B$27,Reference!$C$27,0)</f>
        <v>16.87</v>
      </c>
      <c r="N5" s="243">
        <f t="shared" ref="N5:N82" si="3">E5-L5-M5</f>
        <v>55.05</v>
      </c>
      <c r="O5" s="246">
        <f>SWITCH('Summary &amp; Instructions'!$K$26,"Calculated", D5*Reference!$B$5*Reference!$B$6, "Manual entries",I5)</f>
        <v>0</v>
      </c>
      <c r="P5" s="243">
        <f>MAX(K5+(O5*Reference!$B$18)-(D5*N5),0)</f>
        <v>0</v>
      </c>
      <c r="Q5" s="166">
        <f>IF(J5,'Summary &amp; Instructions'!$C$39/ (J$84+ESPP!$N$26), 0)</f>
        <v>0</v>
      </c>
      <c r="R5" s="247">
        <f>IF(J5,(Reference!$B$23 - V5) * Q5, 0)</f>
        <v>0</v>
      </c>
      <c r="S5" s="248">
        <f t="shared" ref="S5:S82" si="4">MIN(K5,P5)</f>
        <v>0</v>
      </c>
      <c r="T5" s="249">
        <f>IF(DATEDIF(C5,Reference!$B$28,"Y")&gt;=1,0,S5+R5)</f>
        <v>0</v>
      </c>
      <c r="U5" s="250">
        <f>IF(DATEDIF(C5,Reference!$B$28,"Y")&gt;=1,S5+R5,0)</f>
        <v>0</v>
      </c>
      <c r="V5" s="251">
        <f>iferror(((N5*D5) - K5 + S5)/SWITCH('Summary &amp; Instructions'!$K$26, "Calculated", O5, "Manual entries", I5), 0)</f>
        <v>0</v>
      </c>
      <c r="W5" s="171">
        <f>(Reference!$B$10-V5)*((SWITCH('Summary &amp; Instructions'!$K$26, "Calculated", O5, "Manual entries", I5)) - Q5)</f>
        <v>0</v>
      </c>
      <c r="X5" s="171">
        <f t="shared" ref="X5:X82" si="5">IF(DATEDIF(C5,TODAY(),"Y")&gt;=1,0,W5)</f>
        <v>0</v>
      </c>
      <c r="Y5" s="252">
        <f t="shared" ref="Y5:Y82" si="6">IF(DATEDIF(C5,TODAY(),"Y")&gt;=1,W5,0)</f>
        <v>0</v>
      </c>
    </row>
    <row r="6">
      <c r="A6" s="253"/>
      <c r="B6" s="156"/>
      <c r="C6" s="158">
        <v>41671.0</v>
      </c>
      <c r="D6" s="254">
        <v>0.0</v>
      </c>
      <c r="E6" s="255">
        <v>90.14</v>
      </c>
      <c r="F6" s="256">
        <v>0.0</v>
      </c>
      <c r="G6" s="257">
        <f t="shared" si="1"/>
        <v>0</v>
      </c>
      <c r="H6" s="258">
        <f t="shared" si="2"/>
        <v>0</v>
      </c>
      <c r="I6" s="163">
        <v>0.0</v>
      </c>
      <c r="J6" s="259" t="b">
        <v>0</v>
      </c>
      <c r="K6" s="257">
        <f>Reference!$B$4*Reference!$B$3*D6</f>
        <v>0</v>
      </c>
      <c r="L6" s="260">
        <f>IF(C6&lt;Reference!$B$26,Reference!$C$26,0)</f>
        <v>10.18</v>
      </c>
      <c r="M6" s="260">
        <f>IF(C6&lt;Reference!$B$27,Reference!$C$27,0)</f>
        <v>16.87</v>
      </c>
      <c r="N6" s="260">
        <f t="shared" si="3"/>
        <v>63.09</v>
      </c>
      <c r="O6" s="261">
        <f>SWITCH('Summary &amp; Instructions'!$K$26,"Calculated", D6*Reference!$B$5*Reference!$B$6, "Manual entries",I6)</f>
        <v>0</v>
      </c>
      <c r="P6" s="262">
        <f>MAX(K6+(O6*Reference!$B$18)-(D6*N6),0)</f>
        <v>0</v>
      </c>
      <c r="Q6" s="263">
        <f>IF(J6,'Summary &amp; Instructions'!$C$39/ (J$84+ESPP!$N$26), 0)</f>
        <v>0</v>
      </c>
      <c r="R6" s="247">
        <f>IF(J6,(Reference!$B$23 - V6) * Q6, 0)</f>
        <v>0</v>
      </c>
      <c r="S6" s="264">
        <f t="shared" si="4"/>
        <v>0</v>
      </c>
      <c r="T6" s="265">
        <f>IF(DATEDIF(C6,Reference!$B$28,"Y")&gt;=1,0,S6+R6)</f>
        <v>0</v>
      </c>
      <c r="U6" s="250">
        <f>IF(DATEDIF(C6,Reference!$B$28,"Y")&gt;=1,S6+R6,0)</f>
        <v>0</v>
      </c>
      <c r="V6" s="251">
        <f>iferror(((N6*D6) - K6 + S6)/SWITCH('Summary &amp; Instructions'!$K$26, "Calculated", O6, "Manual entries", I6), 0)</f>
        <v>0</v>
      </c>
      <c r="W6" s="171">
        <f>(Reference!$B$10-V6)*((SWITCH('Summary &amp; Instructions'!$K$26, "Calculated", O6, "Manual entries", I6)) - Q6)</f>
        <v>0</v>
      </c>
      <c r="X6" s="171">
        <f t="shared" si="5"/>
        <v>0</v>
      </c>
      <c r="Y6" s="266">
        <f t="shared" si="6"/>
        <v>0</v>
      </c>
    </row>
    <row r="7">
      <c r="A7" s="253"/>
      <c r="B7" s="267"/>
      <c r="C7" s="158">
        <v>41852.0</v>
      </c>
      <c r="D7" s="254">
        <v>0.0</v>
      </c>
      <c r="E7" s="268">
        <v>98.33</v>
      </c>
      <c r="F7" s="269">
        <v>0.0</v>
      </c>
      <c r="G7" s="260">
        <f t="shared" si="1"/>
        <v>0</v>
      </c>
      <c r="H7" s="258">
        <f t="shared" si="2"/>
        <v>0</v>
      </c>
      <c r="I7" s="163">
        <v>0.0</v>
      </c>
      <c r="J7" s="270" t="b">
        <v>0</v>
      </c>
      <c r="K7" s="260">
        <f>Reference!$B$4*Reference!$B$3*D7</f>
        <v>0</v>
      </c>
      <c r="L7" s="260">
        <f>IF(C7&lt;Reference!$B$26,Reference!$C$26,0)</f>
        <v>10.18</v>
      </c>
      <c r="M7" s="260">
        <f>IF(C7&lt;Reference!$B$27,Reference!$C$27,0)</f>
        <v>16.87</v>
      </c>
      <c r="N7" s="260">
        <f t="shared" si="3"/>
        <v>71.28</v>
      </c>
      <c r="O7" s="261">
        <f>SWITCH('Summary &amp; Instructions'!$K$26,"Calculated", D7*Reference!$B$5*Reference!$B$6, "Manual entries",I7)</f>
        <v>0</v>
      </c>
      <c r="P7" s="260">
        <f>MAX(K7+(O7*Reference!$B$18)-(D7*N7),0)</f>
        <v>0</v>
      </c>
      <c r="Q7" s="166">
        <f>IF(J7,'Summary &amp; Instructions'!$C$39/ (J$84+ESPP!$N$26), 0)</f>
        <v>0</v>
      </c>
      <c r="R7" s="247">
        <f>IF(J7,(Reference!$B$23 - V7) * Q7, 0)</f>
        <v>0</v>
      </c>
      <c r="S7" s="248">
        <f t="shared" si="4"/>
        <v>0</v>
      </c>
      <c r="T7" s="264">
        <f>IF(DATEDIF(C7,Reference!$B$28,"Y")&gt;=1,0,S7+R7)</f>
        <v>0</v>
      </c>
      <c r="U7" s="250">
        <f>IF(DATEDIF(C7,Reference!$B$28,"Y")&gt;=1,S7+R7,0)</f>
        <v>0</v>
      </c>
      <c r="V7" s="251">
        <f>iferror(((N7*D7) - K7 + S7)/SWITCH('Summary &amp; Instructions'!$K$26, "Calculated", O7, "Manual entries", I7), 0)</f>
        <v>0</v>
      </c>
      <c r="W7" s="171">
        <f>(Reference!$B$10-V7)*((SWITCH('Summary &amp; Instructions'!$K$26, "Calculated", O7, "Manual entries", I7)) - Q7)</f>
        <v>0</v>
      </c>
      <c r="X7" s="171">
        <f t="shared" si="5"/>
        <v>0</v>
      </c>
      <c r="Y7" s="266">
        <f t="shared" si="6"/>
        <v>0</v>
      </c>
    </row>
    <row r="8">
      <c r="A8" s="253"/>
      <c r="B8" s="267"/>
      <c r="C8" s="158">
        <v>42036.0</v>
      </c>
      <c r="D8" s="254">
        <v>0.0</v>
      </c>
      <c r="E8" s="268">
        <v>77.1</v>
      </c>
      <c r="F8" s="271">
        <v>0.0</v>
      </c>
      <c r="G8" s="257">
        <f t="shared" si="1"/>
        <v>0</v>
      </c>
      <c r="H8" s="258">
        <f t="shared" si="2"/>
        <v>0</v>
      </c>
      <c r="I8" s="163">
        <v>0.0</v>
      </c>
      <c r="J8" s="259" t="b">
        <v>0</v>
      </c>
      <c r="K8" s="257">
        <f>Reference!$B$4*Reference!$B$3*D8</f>
        <v>0</v>
      </c>
      <c r="L8" s="260">
        <f>IF(C8&lt;Reference!$B$26,Reference!$C$26,0)</f>
        <v>10.18</v>
      </c>
      <c r="M8" s="260">
        <f>IF(C8&lt;Reference!$B$27,Reference!$C$27,0)</f>
        <v>16.87</v>
      </c>
      <c r="N8" s="260">
        <f t="shared" si="3"/>
        <v>50.05</v>
      </c>
      <c r="O8" s="261">
        <f>SWITCH('Summary &amp; Instructions'!$K$26,"Calculated", D8*Reference!$B$5*Reference!$B$6, "Manual entries",I8)</f>
        <v>0</v>
      </c>
      <c r="P8" s="262">
        <f>MAX(K8+(O8*Reference!$B$18)-(D8*N8),0)</f>
        <v>0</v>
      </c>
      <c r="Q8" s="166">
        <f>IF(J8,'Summary &amp; Instructions'!$C$39/ (J$84+ESPP!$N$26), 0)</f>
        <v>0</v>
      </c>
      <c r="R8" s="247">
        <f>IF(J8,(Reference!$B$23 - V8) * Q8, 0)</f>
        <v>0</v>
      </c>
      <c r="S8" s="264">
        <f t="shared" si="4"/>
        <v>0</v>
      </c>
      <c r="T8" s="265">
        <f>IF(DATEDIF(C8,Reference!$B$28,"Y")&gt;=1,0,S8+R8)</f>
        <v>0</v>
      </c>
      <c r="U8" s="272">
        <f>IF(DATEDIF(C8,Reference!$B$28,"Y")&gt;=1,S8+R8,0)</f>
        <v>0</v>
      </c>
      <c r="V8" s="251">
        <f>iferror(((N8*D8) - K8 + S8)/SWITCH('Summary &amp; Instructions'!$K$26, "Calculated", O8, "Manual entries", I8), 0)</f>
        <v>0</v>
      </c>
      <c r="W8" s="171">
        <f>(Reference!$B$10-V8)*((SWITCH('Summary &amp; Instructions'!$K$26, "Calculated", O8, "Manual entries", I8)) - Q8)</f>
        <v>0</v>
      </c>
      <c r="X8" s="171">
        <f t="shared" si="5"/>
        <v>0</v>
      </c>
      <c r="Y8" s="266">
        <f t="shared" si="6"/>
        <v>0</v>
      </c>
    </row>
    <row r="9">
      <c r="A9" s="253"/>
      <c r="B9" s="267"/>
      <c r="C9" s="158">
        <v>42125.0</v>
      </c>
      <c r="D9" s="254">
        <v>0.0</v>
      </c>
      <c r="E9" s="268">
        <v>87.47</v>
      </c>
      <c r="F9" s="269">
        <v>0.0</v>
      </c>
      <c r="G9" s="260">
        <f t="shared" si="1"/>
        <v>0</v>
      </c>
      <c r="H9" s="258">
        <f t="shared" si="2"/>
        <v>0</v>
      </c>
      <c r="I9" s="163">
        <v>0.0</v>
      </c>
      <c r="J9" s="270" t="b">
        <v>0</v>
      </c>
      <c r="K9" s="257">
        <f>Reference!$B$4*Reference!$B$3*D9</f>
        <v>0</v>
      </c>
      <c r="L9" s="260">
        <f>IF(C9&lt;Reference!$B$26,Reference!$C$26,0)</f>
        <v>10.18</v>
      </c>
      <c r="M9" s="260">
        <f>IF(C9&lt;Reference!$B$27,Reference!$C$27,0)</f>
        <v>16.87</v>
      </c>
      <c r="N9" s="260">
        <f t="shared" si="3"/>
        <v>60.42</v>
      </c>
      <c r="O9" s="261">
        <f>SWITCH('Summary &amp; Instructions'!$K$26,"Calculated", D9*Reference!$B$5*Reference!$B$6, "Manual entries",I9)</f>
        <v>0</v>
      </c>
      <c r="P9" s="262">
        <f>MAX(K9+(O9*Reference!$B$18)-(D9*N9),0)</f>
        <v>0</v>
      </c>
      <c r="Q9" s="166">
        <f>IF(J9,'Summary &amp; Instructions'!$C$39/ (J$84+ESPP!$N$26), 0)</f>
        <v>0</v>
      </c>
      <c r="R9" s="247">
        <f>IF(J9,(Reference!$B$23 - V9) * Q9, 0)</f>
        <v>0</v>
      </c>
      <c r="S9" s="248">
        <f t="shared" si="4"/>
        <v>0</v>
      </c>
      <c r="T9" s="265">
        <f>IF(DATEDIF(C9,Reference!$B$28,"Y")&gt;=1,0,S9+R9)</f>
        <v>0</v>
      </c>
      <c r="U9" s="250">
        <f>IF(DATEDIF(C9,Reference!$B$28,"Y")&gt;=1,S9+R9,0)</f>
        <v>0</v>
      </c>
      <c r="V9" s="251">
        <f>iferror(((N9*D9) - K9 + S9)/SWITCH('Summary &amp; Instructions'!$K$26, "Calculated", O9, "Manual entries", I9), 0)</f>
        <v>0</v>
      </c>
      <c r="W9" s="171">
        <f>(Reference!$B$10-V9)*((SWITCH('Summary &amp; Instructions'!$K$26, "Calculated", O9, "Manual entries", I9)) - Q9)</f>
        <v>0</v>
      </c>
      <c r="X9" s="171">
        <f t="shared" si="5"/>
        <v>0</v>
      </c>
      <c r="Y9" s="266">
        <f t="shared" si="6"/>
        <v>0</v>
      </c>
    </row>
    <row r="10">
      <c r="A10" s="253"/>
      <c r="B10" s="267"/>
      <c r="C10" s="158">
        <v>42217.0</v>
      </c>
      <c r="D10" s="254">
        <v>0.0</v>
      </c>
      <c r="E10" s="268">
        <v>89.13</v>
      </c>
      <c r="F10" s="269">
        <v>0.0</v>
      </c>
      <c r="G10" s="260">
        <f t="shared" si="1"/>
        <v>0</v>
      </c>
      <c r="H10" s="258">
        <f t="shared" si="2"/>
        <v>0</v>
      </c>
      <c r="I10" s="163">
        <v>0.0</v>
      </c>
      <c r="J10" s="270" t="b">
        <v>0</v>
      </c>
      <c r="K10" s="257">
        <f>Reference!$B$4*Reference!$B$3*D10</f>
        <v>0</v>
      </c>
      <c r="L10" s="260">
        <f>IF(C10&lt;Reference!$B$26,Reference!$C$26,0)</f>
        <v>10.18</v>
      </c>
      <c r="M10" s="260">
        <f>IF(C10&lt;Reference!$B$27,Reference!$C$27,0)</f>
        <v>16.87</v>
      </c>
      <c r="N10" s="260">
        <f t="shared" si="3"/>
        <v>62.08</v>
      </c>
      <c r="O10" s="261">
        <f>SWITCH('Summary &amp; Instructions'!$K$26,"Calculated", D10*Reference!$B$5*Reference!$B$6, "Manual entries",I10)</f>
        <v>0</v>
      </c>
      <c r="P10" s="262">
        <f>MAX(K10+(O10*Reference!$B$18)-(D10*N10),0)</f>
        <v>0</v>
      </c>
      <c r="Q10" s="166">
        <f>IF(J10,'Summary &amp; Instructions'!$C$39/ (J$84+ESPP!$N$26), 0)</f>
        <v>0</v>
      </c>
      <c r="R10" s="247">
        <f>IF(J10,(Reference!$B$23 - V10) * Q10, 0)</f>
        <v>0</v>
      </c>
      <c r="S10" s="248">
        <f t="shared" si="4"/>
        <v>0</v>
      </c>
      <c r="T10" s="265">
        <f>IF(DATEDIF(C10,Reference!$B$28,"Y")&gt;=1,0,S10+R10)</f>
        <v>0</v>
      </c>
      <c r="U10" s="250">
        <f>IF(DATEDIF(C10,Reference!$B$28,"Y")&gt;=1,S10+R10,0)</f>
        <v>0</v>
      </c>
      <c r="V10" s="251">
        <f>iferror(((N10*D10) - K10 + S10)/SWITCH('Summary &amp; Instructions'!$K$26, "Calculated", O10, "Manual entries", I10), 0)</f>
        <v>0</v>
      </c>
      <c r="W10" s="171">
        <f>(Reference!$B$10-V10)*((SWITCH('Summary &amp; Instructions'!$K$26, "Calculated", O10, "Manual entries", I10)) - Q10)</f>
        <v>0</v>
      </c>
      <c r="X10" s="171">
        <f t="shared" si="5"/>
        <v>0</v>
      </c>
      <c r="Y10" s="266">
        <f t="shared" si="6"/>
        <v>0</v>
      </c>
    </row>
    <row r="11">
      <c r="A11" s="253"/>
      <c r="B11" s="267"/>
      <c r="C11" s="158">
        <v>42309.0</v>
      </c>
      <c r="D11" s="254">
        <v>0.0</v>
      </c>
      <c r="E11" s="268">
        <v>60.15</v>
      </c>
      <c r="F11" s="269">
        <v>0.0</v>
      </c>
      <c r="G11" s="260">
        <f t="shared" si="1"/>
        <v>0</v>
      </c>
      <c r="H11" s="258">
        <f t="shared" si="2"/>
        <v>0</v>
      </c>
      <c r="I11" s="163">
        <v>0.0</v>
      </c>
      <c r="J11" s="270" t="b">
        <v>0</v>
      </c>
      <c r="K11" s="257">
        <f>Reference!$B$4*Reference!$B$3*D11</f>
        <v>0</v>
      </c>
      <c r="L11" s="260">
        <f>IF(C11&lt;Reference!$B$26,Reference!$C$26,0)</f>
        <v>10.18</v>
      </c>
      <c r="M11" s="260">
        <f>IF(C11&lt;Reference!$B$27,Reference!$C$27,0)</f>
        <v>16.87</v>
      </c>
      <c r="N11" s="260">
        <f t="shared" si="3"/>
        <v>33.1</v>
      </c>
      <c r="O11" s="261">
        <f>SWITCH('Summary &amp; Instructions'!$K$26,"Calculated", D11*Reference!$B$5*Reference!$B$6, "Manual entries",I11)</f>
        <v>0</v>
      </c>
      <c r="P11" s="262">
        <f>MAX(K11+(O11*Reference!$B$18)-(D11*N11),0)</f>
        <v>0</v>
      </c>
      <c r="Q11" s="166">
        <f>IF(J11,'Summary &amp; Instructions'!$C$39/ (J$84+ESPP!$N$26), 0)</f>
        <v>0</v>
      </c>
      <c r="R11" s="247">
        <f>IF(J11,(Reference!$B$23 - V11) * Q11, 0)</f>
        <v>0</v>
      </c>
      <c r="S11" s="248">
        <f t="shared" si="4"/>
        <v>0</v>
      </c>
      <c r="T11" s="265">
        <f>IF(DATEDIF(C11,Reference!$B$28,"Y")&gt;=1,0,S11+R11)</f>
        <v>0</v>
      </c>
      <c r="U11" s="250">
        <f>IF(DATEDIF(C11,Reference!$B$28,"Y")&gt;=1,S11+R11,0)</f>
        <v>0</v>
      </c>
      <c r="V11" s="251">
        <f>iferror(((N11*D11) - K11 + S11)/SWITCH('Summary &amp; Instructions'!$K$26, "Calculated", O11, "Manual entries", I11), 0)</f>
        <v>0</v>
      </c>
      <c r="W11" s="171">
        <f>(Reference!$B$10-V11)*((SWITCH('Summary &amp; Instructions'!$K$26, "Calculated", O11, "Manual entries", I11)) - Q11)</f>
        <v>0</v>
      </c>
      <c r="X11" s="171">
        <f t="shared" si="5"/>
        <v>0</v>
      </c>
      <c r="Y11" s="266">
        <f t="shared" si="6"/>
        <v>0</v>
      </c>
    </row>
    <row r="12">
      <c r="A12" s="253"/>
      <c r="B12" s="267"/>
      <c r="C12" s="158">
        <v>42401.0</v>
      </c>
      <c r="D12" s="254">
        <v>0.0</v>
      </c>
      <c r="E12" s="268">
        <v>45.49</v>
      </c>
      <c r="F12" s="269">
        <v>0.0</v>
      </c>
      <c r="G12" s="260">
        <f t="shared" si="1"/>
        <v>0</v>
      </c>
      <c r="H12" s="258">
        <f t="shared" si="2"/>
        <v>0</v>
      </c>
      <c r="I12" s="163">
        <v>0.0</v>
      </c>
      <c r="J12" s="270" t="b">
        <v>0</v>
      </c>
      <c r="K12" s="257">
        <f>Reference!$B$4*Reference!$B$3*D12</f>
        <v>0</v>
      </c>
      <c r="L12" s="260">
        <f>IF(C12&lt;Reference!$B$26,Reference!$C$26,0)</f>
        <v>10.18</v>
      </c>
      <c r="M12" s="260">
        <f>IF(C12&lt;Reference!$B$27,Reference!$C$27,0)</f>
        <v>16.87</v>
      </c>
      <c r="N12" s="260">
        <f t="shared" si="3"/>
        <v>18.44</v>
      </c>
      <c r="O12" s="261">
        <f>SWITCH('Summary &amp; Instructions'!$K$26,"Calculated", D12*Reference!$B$5*Reference!$B$6, "Manual entries",I12)</f>
        <v>0</v>
      </c>
      <c r="P12" s="262">
        <f>MAX(K12+(O12*Reference!$B$18)-(D12*N12),0)</f>
        <v>0</v>
      </c>
      <c r="Q12" s="166">
        <f>IF(J12,'Summary &amp; Instructions'!$C$39/ (J$84+ESPP!$N$26), 0)</f>
        <v>0</v>
      </c>
      <c r="R12" s="247">
        <f>IF(J12,(Reference!$B$23 - V12) * Q12, 0)</f>
        <v>0</v>
      </c>
      <c r="S12" s="248">
        <f t="shared" si="4"/>
        <v>0</v>
      </c>
      <c r="T12" s="265">
        <f>IF(DATEDIF(C12,Reference!$B$28,"Y")&gt;=1,0,S12+R12)</f>
        <v>0</v>
      </c>
      <c r="U12" s="250">
        <f>IF(DATEDIF(C12,Reference!$B$28,"Y")&gt;=1,S12+R12,0)</f>
        <v>0</v>
      </c>
      <c r="V12" s="251">
        <f>iferror(((N12*D12) - K12 + S12)/SWITCH('Summary &amp; Instructions'!$K$26, "Calculated", O12, "Manual entries", I12), 0)</f>
        <v>0</v>
      </c>
      <c r="W12" s="171">
        <f>(Reference!$B$10-V12)*((SWITCH('Summary &amp; Instructions'!$K$26, "Calculated", O12, "Manual entries", I12)) - Q12)</f>
        <v>0</v>
      </c>
      <c r="X12" s="171">
        <f t="shared" si="5"/>
        <v>0</v>
      </c>
      <c r="Y12" s="266">
        <f t="shared" si="6"/>
        <v>0</v>
      </c>
    </row>
    <row r="13">
      <c r="A13" s="253"/>
      <c r="B13" s="267"/>
      <c r="C13" s="158">
        <v>42491.0</v>
      </c>
      <c r="D13" s="254">
        <v>0.0</v>
      </c>
      <c r="E13" s="268">
        <v>56.91</v>
      </c>
      <c r="F13" s="269">
        <v>0.0</v>
      </c>
      <c r="G13" s="260">
        <f t="shared" si="1"/>
        <v>0</v>
      </c>
      <c r="H13" s="258">
        <f t="shared" si="2"/>
        <v>0</v>
      </c>
      <c r="I13" s="163">
        <v>0.0</v>
      </c>
      <c r="J13" s="270" t="b">
        <v>0</v>
      </c>
      <c r="K13" s="257">
        <f>Reference!$B$4*Reference!$B$3*D13</f>
        <v>0</v>
      </c>
      <c r="L13" s="260">
        <f>IF(C13&lt;Reference!$B$26,Reference!$C$26,0)</f>
        <v>10.18</v>
      </c>
      <c r="M13" s="260">
        <f>IF(C13&lt;Reference!$B$27,Reference!$C$27,0)</f>
        <v>16.87</v>
      </c>
      <c r="N13" s="260">
        <f t="shared" si="3"/>
        <v>29.86</v>
      </c>
      <c r="O13" s="261">
        <f>SWITCH('Summary &amp; Instructions'!$K$26,"Calculated", D13*Reference!$B$5*Reference!$B$6, "Manual entries",I13)</f>
        <v>0</v>
      </c>
      <c r="P13" s="262">
        <f>MAX(K13+(O13*Reference!$B$18)-(D13*N13),0)</f>
        <v>0</v>
      </c>
      <c r="Q13" s="166">
        <f>IF(J13,'Summary &amp; Instructions'!$C$39/ (J$84+ESPP!$N$26), 0)</f>
        <v>0</v>
      </c>
      <c r="R13" s="247">
        <f>IF(J13,(Reference!$B$23 - V13) * Q13, 0)</f>
        <v>0</v>
      </c>
      <c r="S13" s="248">
        <f t="shared" si="4"/>
        <v>0</v>
      </c>
      <c r="T13" s="265">
        <f>IF(DATEDIF(C13,Reference!$B$28,"Y")&gt;=1,0,S13+R13)</f>
        <v>0</v>
      </c>
      <c r="U13" s="250">
        <f>IF(DATEDIF(C13,Reference!$B$28,"Y")&gt;=1,S13+R13,0)</f>
        <v>0</v>
      </c>
      <c r="V13" s="251">
        <f>iferror(((N13*D13) - K13 + S13)/SWITCH('Summary &amp; Instructions'!$K$26, "Calculated", O13, "Manual entries", I13), 0)</f>
        <v>0</v>
      </c>
      <c r="W13" s="171">
        <f>(Reference!$B$10-V13)*((SWITCH('Summary &amp; Instructions'!$K$26, "Calculated", O13, "Manual entries", I13)) - Q13)</f>
        <v>0</v>
      </c>
      <c r="X13" s="171">
        <f t="shared" si="5"/>
        <v>0</v>
      </c>
      <c r="Y13" s="266">
        <f t="shared" si="6"/>
        <v>0</v>
      </c>
    </row>
    <row r="14">
      <c r="A14" s="253"/>
      <c r="B14" s="267"/>
      <c r="C14" s="158">
        <v>42491.0</v>
      </c>
      <c r="D14" s="254">
        <v>0.0</v>
      </c>
      <c r="E14" s="268">
        <v>56.91</v>
      </c>
      <c r="F14" s="269">
        <v>0.0</v>
      </c>
      <c r="G14" s="260">
        <f t="shared" si="1"/>
        <v>0</v>
      </c>
      <c r="H14" s="258">
        <f t="shared" si="2"/>
        <v>0</v>
      </c>
      <c r="I14" s="163">
        <v>0.0</v>
      </c>
      <c r="J14" s="270" t="b">
        <v>0</v>
      </c>
      <c r="K14" s="257">
        <f>Reference!$B$4*Reference!$B$3*D14</f>
        <v>0</v>
      </c>
      <c r="L14" s="260">
        <f>IF(C14&lt;Reference!$B$26,Reference!$C$26,0)</f>
        <v>10.18</v>
      </c>
      <c r="M14" s="260">
        <f>IF(C14&lt;Reference!$B$27,Reference!$C$27,0)</f>
        <v>16.87</v>
      </c>
      <c r="N14" s="260">
        <f t="shared" si="3"/>
        <v>29.86</v>
      </c>
      <c r="O14" s="261">
        <f>SWITCH('Summary &amp; Instructions'!$K$26,"Calculated", D14*Reference!$B$5*Reference!$B$6, "Manual entries",I14)</f>
        <v>0</v>
      </c>
      <c r="P14" s="262">
        <f>MAX(K14+(O14*Reference!$B$18)-(D14*N14),0)</f>
        <v>0</v>
      </c>
      <c r="Q14" s="166">
        <f>IF(J14,'Summary &amp; Instructions'!$C$39/ (J$84+ESPP!$N$26), 0)</f>
        <v>0</v>
      </c>
      <c r="R14" s="247">
        <f>IF(J14,(Reference!$B$23 - V14) * Q14, 0)</f>
        <v>0</v>
      </c>
      <c r="S14" s="248">
        <f t="shared" si="4"/>
        <v>0</v>
      </c>
      <c r="T14" s="265">
        <f>IF(DATEDIF(C14,Reference!$B$28,"Y")&gt;=1,0,S14+R14)</f>
        <v>0</v>
      </c>
      <c r="U14" s="250">
        <f>IF(DATEDIF(C14,Reference!$B$28,"Y")&gt;=1,S14+R14,0)</f>
        <v>0</v>
      </c>
      <c r="V14" s="251">
        <f>iferror(((N14*D14) - K14 + S14)/SWITCH('Summary &amp; Instructions'!$K$26, "Calculated", O14, "Manual entries", I14), 0)</f>
        <v>0</v>
      </c>
      <c r="W14" s="171">
        <f>(Reference!$B$10-V14)*((SWITCH('Summary &amp; Instructions'!$K$26, "Calculated", O14, "Manual entries", I14)) - Q14)</f>
        <v>0</v>
      </c>
      <c r="X14" s="171">
        <f t="shared" si="5"/>
        <v>0</v>
      </c>
      <c r="Y14" s="266">
        <f t="shared" si="6"/>
        <v>0</v>
      </c>
    </row>
    <row r="15">
      <c r="A15" s="253"/>
      <c r="B15" s="267"/>
      <c r="C15" s="158">
        <v>42675.0</v>
      </c>
      <c r="D15" s="254">
        <v>0.0</v>
      </c>
      <c r="E15" s="268">
        <v>77.97</v>
      </c>
      <c r="F15" s="269">
        <v>0.0</v>
      </c>
      <c r="G15" s="260">
        <f t="shared" si="1"/>
        <v>0</v>
      </c>
      <c r="H15" s="258">
        <f t="shared" si="2"/>
        <v>0</v>
      </c>
      <c r="I15" s="163">
        <v>0.0</v>
      </c>
      <c r="J15" s="270" t="b">
        <v>0</v>
      </c>
      <c r="K15" s="257">
        <f>Reference!$B$4*Reference!$B$3*D15</f>
        <v>0</v>
      </c>
      <c r="L15" s="260">
        <f>IF(C15&lt;Reference!$B$26,Reference!$C$26,0)</f>
        <v>10.18</v>
      </c>
      <c r="M15" s="260">
        <f>IF(C15&lt;Reference!$B$27,Reference!$C$27,0)</f>
        <v>16.87</v>
      </c>
      <c r="N15" s="260">
        <f t="shared" si="3"/>
        <v>50.92</v>
      </c>
      <c r="O15" s="261">
        <f>SWITCH('Summary &amp; Instructions'!$K$26,"Calculated", D15*Reference!$B$5*Reference!$B$6, "Manual entries",I15)</f>
        <v>0</v>
      </c>
      <c r="P15" s="262">
        <f>MAX(K15+(O15*Reference!$B$18)-(D15*N15),0)</f>
        <v>0</v>
      </c>
      <c r="Q15" s="166">
        <f>IF(J15,'Summary &amp; Instructions'!$C$39/ (J$84+ESPP!$N$26), 0)</f>
        <v>0</v>
      </c>
      <c r="R15" s="247">
        <f>IF(J15,(Reference!$B$23 - V15) * Q15, 0)</f>
        <v>0</v>
      </c>
      <c r="S15" s="248">
        <f t="shared" si="4"/>
        <v>0</v>
      </c>
      <c r="T15" s="265">
        <f>IF(DATEDIF(C15,Reference!$B$28,"Y")&gt;=1,0,S15+R15)</f>
        <v>0</v>
      </c>
      <c r="U15" s="250">
        <f>IF(DATEDIF(C15,Reference!$B$28,"Y")&gt;=1,S15+R15,0)</f>
        <v>0</v>
      </c>
      <c r="V15" s="251">
        <f>iferror(((N15*D15) - K15 + S15)/SWITCH('Summary &amp; Instructions'!$K$26, "Calculated", O15, "Manual entries", I15), 0)</f>
        <v>0</v>
      </c>
      <c r="W15" s="171">
        <f>(Reference!$B$10-V15)*((SWITCH('Summary &amp; Instructions'!$K$26, "Calculated", O15, "Manual entries", I15)) - Q15)</f>
        <v>0</v>
      </c>
      <c r="X15" s="171">
        <f t="shared" si="5"/>
        <v>0</v>
      </c>
      <c r="Y15" s="266">
        <f t="shared" si="6"/>
        <v>0</v>
      </c>
    </row>
    <row r="16">
      <c r="A16" s="253"/>
      <c r="B16" s="267"/>
      <c r="C16" s="158">
        <v>42675.0</v>
      </c>
      <c r="D16" s="254">
        <v>0.0</v>
      </c>
      <c r="E16" s="268">
        <v>77.97</v>
      </c>
      <c r="F16" s="269">
        <v>0.0</v>
      </c>
      <c r="G16" s="260">
        <f t="shared" si="1"/>
        <v>0</v>
      </c>
      <c r="H16" s="258">
        <f t="shared" si="2"/>
        <v>0</v>
      </c>
      <c r="I16" s="163">
        <v>0.0</v>
      </c>
      <c r="J16" s="270" t="b">
        <v>0</v>
      </c>
      <c r="K16" s="257">
        <f>Reference!$B$4*Reference!$B$3*D16</f>
        <v>0</v>
      </c>
      <c r="L16" s="260">
        <f>IF(C16&lt;Reference!$B$26,Reference!$C$26,0)</f>
        <v>10.18</v>
      </c>
      <c r="M16" s="260">
        <f>IF(C16&lt;Reference!$B$27,Reference!$C$27,0)</f>
        <v>16.87</v>
      </c>
      <c r="N16" s="260">
        <f t="shared" si="3"/>
        <v>50.92</v>
      </c>
      <c r="O16" s="261">
        <f>SWITCH('Summary &amp; Instructions'!$K$26,"Calculated", D16*Reference!$B$5*Reference!$B$6, "Manual entries",I16)</f>
        <v>0</v>
      </c>
      <c r="P16" s="262">
        <f>MAX(K16+(O16*Reference!$B$18)-(D16*N16),0)</f>
        <v>0</v>
      </c>
      <c r="Q16" s="166">
        <f>IF(J16,'Summary &amp; Instructions'!$C$39/ (J$84+ESPP!$N$26), 0)</f>
        <v>0</v>
      </c>
      <c r="R16" s="247">
        <f>IF(J16,(Reference!$B$23 - V16) * Q16, 0)</f>
        <v>0</v>
      </c>
      <c r="S16" s="248">
        <f t="shared" si="4"/>
        <v>0</v>
      </c>
      <c r="T16" s="265">
        <f>IF(DATEDIF(C16,Reference!$B$28,"Y")&gt;=1,0,S16+R16)</f>
        <v>0</v>
      </c>
      <c r="U16" s="250">
        <f>IF(DATEDIF(C16,Reference!$B$28,"Y")&gt;=1,S16+R16,0)</f>
        <v>0</v>
      </c>
      <c r="V16" s="251">
        <f>iferror(((N16*D16) - K16 + S16)/SWITCH('Summary &amp; Instructions'!$K$26, "Calculated", O16, "Manual entries", I16), 0)</f>
        <v>0</v>
      </c>
      <c r="W16" s="171">
        <f>(Reference!$B$10-V16)*((SWITCH('Summary &amp; Instructions'!$K$26, "Calculated", O16, "Manual entries", I16)) - Q16)</f>
        <v>0</v>
      </c>
      <c r="X16" s="171">
        <f t="shared" si="5"/>
        <v>0</v>
      </c>
      <c r="Y16" s="266">
        <f t="shared" si="6"/>
        <v>0</v>
      </c>
    </row>
    <row r="17">
      <c r="A17" s="253"/>
      <c r="B17" s="267"/>
      <c r="C17" s="158">
        <v>42705.0</v>
      </c>
      <c r="D17" s="254">
        <v>0.0</v>
      </c>
      <c r="E17" s="268">
        <v>78.04</v>
      </c>
      <c r="F17" s="269">
        <v>0.0</v>
      </c>
      <c r="G17" s="260">
        <f t="shared" si="1"/>
        <v>0</v>
      </c>
      <c r="H17" s="258">
        <f t="shared" si="2"/>
        <v>0</v>
      </c>
      <c r="I17" s="163">
        <v>0.0</v>
      </c>
      <c r="J17" s="270" t="b">
        <v>0</v>
      </c>
      <c r="K17" s="257">
        <f>Reference!$B$4*Reference!$B$3*D17</f>
        <v>0</v>
      </c>
      <c r="L17" s="260">
        <f>IF(C17&lt;Reference!$B$26,Reference!$C$26,0)</f>
        <v>10.18</v>
      </c>
      <c r="M17" s="260">
        <f>IF(C17&lt;Reference!$B$27,Reference!$C$27,0)</f>
        <v>16.87</v>
      </c>
      <c r="N17" s="260">
        <f t="shared" si="3"/>
        <v>50.99</v>
      </c>
      <c r="O17" s="261">
        <f>SWITCH('Summary &amp; Instructions'!$K$26,"Calculated", D17*Reference!$B$5*Reference!$B$6, "Manual entries",I17)</f>
        <v>0</v>
      </c>
      <c r="P17" s="262">
        <f>MAX(K17+(O17*Reference!$B$18)-(D17*N17),0)</f>
        <v>0</v>
      </c>
      <c r="Q17" s="166">
        <f>IF(J17,'Summary &amp; Instructions'!$C$39/ (J$84+ESPP!$N$26), 0)</f>
        <v>0</v>
      </c>
      <c r="R17" s="247">
        <f>IF(J17,(Reference!$B$23 - V17) * Q17, 0)</f>
        <v>0</v>
      </c>
      <c r="S17" s="248">
        <f t="shared" si="4"/>
        <v>0</v>
      </c>
      <c r="T17" s="265">
        <f>IF(DATEDIF(C17,Reference!$B$28,"Y")&gt;=1,0,S17+R17)</f>
        <v>0</v>
      </c>
      <c r="U17" s="250">
        <f>IF(DATEDIF(C17,Reference!$B$28,"Y")&gt;=1,S17+R17,0)</f>
        <v>0</v>
      </c>
      <c r="V17" s="251">
        <f>iferror(((N17*D17) - K17 + S17)/SWITCH('Summary &amp; Instructions'!$K$26, "Calculated", O17, "Manual entries", I17), 0)</f>
        <v>0</v>
      </c>
      <c r="W17" s="171">
        <f>(Reference!$B$10-V17)*((SWITCH('Summary &amp; Instructions'!$K$26, "Calculated", O17, "Manual entries", I17)) - Q17)</f>
        <v>0</v>
      </c>
      <c r="X17" s="171">
        <f t="shared" si="5"/>
        <v>0</v>
      </c>
      <c r="Y17" s="266">
        <f t="shared" si="6"/>
        <v>0</v>
      </c>
    </row>
    <row r="18">
      <c r="A18" s="253"/>
      <c r="B18" s="267"/>
      <c r="C18" s="158">
        <v>42856.0</v>
      </c>
      <c r="D18" s="254">
        <v>0.0</v>
      </c>
      <c r="E18" s="268">
        <v>94.58</v>
      </c>
      <c r="F18" s="269">
        <v>0.0</v>
      </c>
      <c r="G18" s="260">
        <f t="shared" si="1"/>
        <v>0</v>
      </c>
      <c r="H18" s="258">
        <f t="shared" si="2"/>
        <v>0</v>
      </c>
      <c r="I18" s="163">
        <v>0.0</v>
      </c>
      <c r="J18" s="270" t="b">
        <v>0</v>
      </c>
      <c r="K18" s="257">
        <f>Reference!$B$4*Reference!$B$3*D18</f>
        <v>0</v>
      </c>
      <c r="L18" s="260">
        <f>IF(C18&lt;Reference!$B$26,Reference!$C$26,0)</f>
        <v>10.18</v>
      </c>
      <c r="M18" s="260">
        <f>IF(C18&lt;Reference!$B$27,Reference!$C$27,0)</f>
        <v>16.87</v>
      </c>
      <c r="N18" s="260">
        <f t="shared" si="3"/>
        <v>67.53</v>
      </c>
      <c r="O18" s="261">
        <f>SWITCH('Summary &amp; Instructions'!$K$26,"Calculated", D18*Reference!$B$5*Reference!$B$6, "Manual entries",I18)</f>
        <v>0</v>
      </c>
      <c r="P18" s="262">
        <f>MAX(K18+(O18*Reference!$B$18)-(D18*N18),0)</f>
        <v>0</v>
      </c>
      <c r="Q18" s="166">
        <f>IF(J18,'Summary &amp; Instructions'!$C$39/ (J$84+ESPP!$N$26), 0)</f>
        <v>0</v>
      </c>
      <c r="R18" s="247">
        <f>IF(J18,(Reference!$B$23 - V18) * Q18, 0)</f>
        <v>0</v>
      </c>
      <c r="S18" s="248">
        <f t="shared" si="4"/>
        <v>0</v>
      </c>
      <c r="T18" s="265">
        <f>IF(DATEDIF(C18,Reference!$B$28,"Y")&gt;=1,0,S18+R18)</f>
        <v>0</v>
      </c>
      <c r="U18" s="250">
        <f>IF(DATEDIF(C18,Reference!$B$28,"Y")&gt;=1,S18+R18,0)</f>
        <v>0</v>
      </c>
      <c r="V18" s="251">
        <f>iferror(((N18*D18) - K18 + S18)/SWITCH('Summary &amp; Instructions'!$K$26, "Calculated", O18, "Manual entries", I18), 0)</f>
        <v>0</v>
      </c>
      <c r="W18" s="171">
        <f>(Reference!$B$10-V18)*((SWITCH('Summary &amp; Instructions'!$K$26, "Calculated", O18, "Manual entries", I18)) - Q18)</f>
        <v>0</v>
      </c>
      <c r="X18" s="171">
        <f t="shared" si="5"/>
        <v>0</v>
      </c>
      <c r="Y18" s="266">
        <f t="shared" si="6"/>
        <v>0</v>
      </c>
    </row>
    <row r="19">
      <c r="A19" s="253"/>
      <c r="B19" s="267"/>
      <c r="C19" s="158">
        <v>42856.0</v>
      </c>
      <c r="D19" s="254">
        <v>0.0</v>
      </c>
      <c r="E19" s="268">
        <v>94.58</v>
      </c>
      <c r="F19" s="269">
        <v>0.0</v>
      </c>
      <c r="G19" s="260">
        <f t="shared" si="1"/>
        <v>0</v>
      </c>
      <c r="H19" s="258">
        <f t="shared" si="2"/>
        <v>0</v>
      </c>
      <c r="I19" s="163">
        <v>0.0</v>
      </c>
      <c r="J19" s="270" t="b">
        <v>0</v>
      </c>
      <c r="K19" s="257">
        <f>Reference!$B$4*Reference!$B$3*D19</f>
        <v>0</v>
      </c>
      <c r="L19" s="260">
        <f>IF(C19&lt;Reference!$B$26,Reference!$C$26,0)</f>
        <v>10.18</v>
      </c>
      <c r="M19" s="260">
        <f>IF(C19&lt;Reference!$B$27,Reference!$C$27,0)</f>
        <v>16.87</v>
      </c>
      <c r="N19" s="260">
        <f t="shared" si="3"/>
        <v>67.53</v>
      </c>
      <c r="O19" s="261">
        <f>SWITCH('Summary &amp; Instructions'!$K$26,"Calculated", D19*Reference!$B$5*Reference!$B$6, "Manual entries",I19)</f>
        <v>0</v>
      </c>
      <c r="P19" s="262">
        <f>MAX(K19+(O19*Reference!$B$18)-(D19*N19),0)</f>
        <v>0</v>
      </c>
      <c r="Q19" s="166">
        <f>IF(J19,'Summary &amp; Instructions'!$C$39/ (J$84+ESPP!$N$26), 0)</f>
        <v>0</v>
      </c>
      <c r="R19" s="247">
        <f>IF(J19,(Reference!$B$23 - V19) * Q19, 0)</f>
        <v>0</v>
      </c>
      <c r="S19" s="248">
        <f t="shared" si="4"/>
        <v>0</v>
      </c>
      <c r="T19" s="265">
        <f>IF(DATEDIF(C19,Reference!$B$28,"Y")&gt;=1,0,S19+R19)</f>
        <v>0</v>
      </c>
      <c r="U19" s="250">
        <f>IF(DATEDIF(C19,Reference!$B$28,"Y")&gt;=1,S19+R19,0)</f>
        <v>0</v>
      </c>
      <c r="V19" s="251">
        <f>iferror(((N19*D19) - K19 + S19)/SWITCH('Summary &amp; Instructions'!$K$26, "Calculated", O19, "Manual entries", I19), 0)</f>
        <v>0</v>
      </c>
      <c r="W19" s="171">
        <f>(Reference!$B$10-V19)*((SWITCH('Summary &amp; Instructions'!$K$26, "Calculated", O19, "Manual entries", I19)) - Q19)</f>
        <v>0</v>
      </c>
      <c r="X19" s="171">
        <f t="shared" si="5"/>
        <v>0</v>
      </c>
      <c r="Y19" s="266">
        <f t="shared" si="6"/>
        <v>0</v>
      </c>
    </row>
    <row r="20">
      <c r="A20" s="253"/>
      <c r="B20" s="267"/>
      <c r="C20" s="158">
        <v>42856.0</v>
      </c>
      <c r="D20" s="254">
        <v>0.0</v>
      </c>
      <c r="E20" s="268">
        <v>94.58</v>
      </c>
      <c r="F20" s="269">
        <v>0.0</v>
      </c>
      <c r="G20" s="260">
        <f t="shared" si="1"/>
        <v>0</v>
      </c>
      <c r="H20" s="258">
        <f t="shared" si="2"/>
        <v>0</v>
      </c>
      <c r="I20" s="163">
        <v>0.0</v>
      </c>
      <c r="J20" s="270" t="b">
        <v>0</v>
      </c>
      <c r="K20" s="257">
        <f>Reference!$B$4*Reference!$B$3*D20</f>
        <v>0</v>
      </c>
      <c r="L20" s="260">
        <f>IF(C20&lt;Reference!$B$26,Reference!$C$26,0)</f>
        <v>10.18</v>
      </c>
      <c r="M20" s="260">
        <f>IF(C20&lt;Reference!$B$27,Reference!$C$27,0)</f>
        <v>16.87</v>
      </c>
      <c r="N20" s="260">
        <f t="shared" si="3"/>
        <v>67.53</v>
      </c>
      <c r="O20" s="261">
        <f>SWITCH('Summary &amp; Instructions'!$K$26,"Calculated", D20*Reference!$B$5*Reference!$B$6, "Manual entries",I20)</f>
        <v>0</v>
      </c>
      <c r="P20" s="262">
        <f>MAX(K20+(O20*Reference!$B$18)-(D20*N20),0)</f>
        <v>0</v>
      </c>
      <c r="Q20" s="166">
        <f>IF(J20,'Summary &amp; Instructions'!$C$39/ (J$84+ESPP!$N$26), 0)</f>
        <v>0</v>
      </c>
      <c r="R20" s="247">
        <f>IF(J20,(Reference!$B$23 - V20) * Q20, 0)</f>
        <v>0</v>
      </c>
      <c r="S20" s="248">
        <f t="shared" si="4"/>
        <v>0</v>
      </c>
      <c r="T20" s="265">
        <f>IF(DATEDIF(C20,Reference!$B$28,"Y")&gt;=1,0,S20+R20)</f>
        <v>0</v>
      </c>
      <c r="U20" s="250">
        <f>IF(DATEDIF(C20,Reference!$B$28,"Y")&gt;=1,S20+R20,0)</f>
        <v>0</v>
      </c>
      <c r="V20" s="251">
        <f>iferror(((N20*D20) - K20 + S20)/SWITCH('Summary &amp; Instructions'!$K$26, "Calculated", O20, "Manual entries", I20), 0)</f>
        <v>0</v>
      </c>
      <c r="W20" s="171">
        <f>(Reference!$B$10-V20)*((SWITCH('Summary &amp; Instructions'!$K$26, "Calculated", O20, "Manual entries", I20)) - Q20)</f>
        <v>0</v>
      </c>
      <c r="X20" s="171">
        <f t="shared" si="5"/>
        <v>0</v>
      </c>
      <c r="Y20" s="266">
        <f t="shared" si="6"/>
        <v>0</v>
      </c>
    </row>
    <row r="21">
      <c r="A21" s="253"/>
      <c r="B21" s="267"/>
      <c r="C21" s="158">
        <v>42887.0</v>
      </c>
      <c r="D21" s="254">
        <v>0.0</v>
      </c>
      <c r="E21" s="268">
        <v>97.4</v>
      </c>
      <c r="F21" s="269">
        <v>0.0</v>
      </c>
      <c r="G21" s="260">
        <f t="shared" si="1"/>
        <v>0</v>
      </c>
      <c r="H21" s="258">
        <f t="shared" si="2"/>
        <v>0</v>
      </c>
      <c r="I21" s="163">
        <v>0.0</v>
      </c>
      <c r="J21" s="270" t="b">
        <v>0</v>
      </c>
      <c r="K21" s="257">
        <f>Reference!$B$4*Reference!$B$3*D21</f>
        <v>0</v>
      </c>
      <c r="L21" s="260">
        <f>IF(C21&lt;Reference!$B$26,Reference!$C$26,0)</f>
        <v>10.18</v>
      </c>
      <c r="M21" s="260">
        <f>IF(C21&lt;Reference!$B$27,Reference!$C$27,0)</f>
        <v>16.87</v>
      </c>
      <c r="N21" s="260">
        <f t="shared" si="3"/>
        <v>70.35</v>
      </c>
      <c r="O21" s="261">
        <f>SWITCH('Summary &amp; Instructions'!$K$26,"Calculated", D21*Reference!$B$5*Reference!$B$6, "Manual entries",I21)</f>
        <v>0</v>
      </c>
      <c r="P21" s="262">
        <f>MAX(K21+(O21*Reference!$B$18)-(D21*N21),0)</f>
        <v>0</v>
      </c>
      <c r="Q21" s="166">
        <f>IF(J21,'Summary &amp; Instructions'!$C$39/ (J$84+ESPP!$N$26), 0)</f>
        <v>0</v>
      </c>
      <c r="R21" s="247">
        <f>IF(J21,(Reference!$B$23 - V21) * Q21, 0)</f>
        <v>0</v>
      </c>
      <c r="S21" s="248">
        <f t="shared" si="4"/>
        <v>0</v>
      </c>
      <c r="T21" s="265">
        <f>IF(DATEDIF(C21,Reference!$B$28,"Y")&gt;=1,0,S21+R21)</f>
        <v>0</v>
      </c>
      <c r="U21" s="250">
        <f>IF(DATEDIF(C21,Reference!$B$28,"Y")&gt;=1,S21+R21,0)</f>
        <v>0</v>
      </c>
      <c r="V21" s="251">
        <f>iferror(((N21*D21) - K21 + S21)/SWITCH('Summary &amp; Instructions'!$K$26, "Calculated", O21, "Manual entries", I21), 0)</f>
        <v>0</v>
      </c>
      <c r="W21" s="171">
        <f>(Reference!$B$10-V21)*((SWITCH('Summary &amp; Instructions'!$K$26, "Calculated", O21, "Manual entries", I21)) - Q21)</f>
        <v>0</v>
      </c>
      <c r="X21" s="171">
        <f t="shared" si="5"/>
        <v>0</v>
      </c>
      <c r="Y21" s="266">
        <f t="shared" si="6"/>
        <v>0</v>
      </c>
    </row>
    <row r="22">
      <c r="A22" s="253"/>
      <c r="B22" s="267"/>
      <c r="C22" s="158">
        <v>43040.0</v>
      </c>
      <c r="D22" s="254">
        <v>0.0</v>
      </c>
      <c r="E22" s="268">
        <v>119.12</v>
      </c>
      <c r="F22" s="269">
        <v>0.0</v>
      </c>
      <c r="G22" s="260">
        <f t="shared" si="1"/>
        <v>0</v>
      </c>
      <c r="H22" s="258">
        <f t="shared" si="2"/>
        <v>0</v>
      </c>
      <c r="I22" s="163">
        <v>0.0</v>
      </c>
      <c r="J22" s="270" t="b">
        <v>0</v>
      </c>
      <c r="K22" s="257">
        <f>Reference!$B$4*Reference!$B$3*D22</f>
        <v>0</v>
      </c>
      <c r="L22" s="260">
        <f>IF(C22&lt;Reference!$B$26,Reference!$C$26,0)</f>
        <v>10.18</v>
      </c>
      <c r="M22" s="260">
        <f>IF(C22&lt;Reference!$B$27,Reference!$C$27,0)</f>
        <v>16.87</v>
      </c>
      <c r="N22" s="260">
        <f t="shared" si="3"/>
        <v>92.07</v>
      </c>
      <c r="O22" s="261">
        <f>SWITCH('Summary &amp; Instructions'!$K$26,"Calculated", D22*Reference!$B$5*Reference!$B$6, "Manual entries",I22)</f>
        <v>0</v>
      </c>
      <c r="P22" s="262">
        <f>MAX(K22+(O22*Reference!$B$18)-(D22*N22),0)</f>
        <v>0</v>
      </c>
      <c r="Q22" s="166">
        <f>IF(J22,'Summary &amp; Instructions'!$C$39/ (J$84+ESPP!$N$26), 0)</f>
        <v>0</v>
      </c>
      <c r="R22" s="247">
        <f>IF(J22,(Reference!$B$23 - V22) * Q22, 0)</f>
        <v>0</v>
      </c>
      <c r="S22" s="248">
        <f t="shared" si="4"/>
        <v>0</v>
      </c>
      <c r="T22" s="265">
        <f>IF(DATEDIF(C22,Reference!$B$28,"Y")&gt;=1,0,S22+R22)</f>
        <v>0</v>
      </c>
      <c r="U22" s="250">
        <f>IF(DATEDIF(C22,Reference!$B$28,"Y")&gt;=1,S22+R22,0)</f>
        <v>0</v>
      </c>
      <c r="V22" s="251">
        <f>iferror(((N22*D22) - K22 + S22)/SWITCH('Summary &amp; Instructions'!$K$26, "Calculated", O22, "Manual entries", I22), 0)</f>
        <v>0</v>
      </c>
      <c r="W22" s="171">
        <f>(Reference!$B$10-V22)*((SWITCH('Summary &amp; Instructions'!$K$26, "Calculated", O22, "Manual entries", I22)) - Q22)</f>
        <v>0</v>
      </c>
      <c r="X22" s="171">
        <f t="shared" si="5"/>
        <v>0</v>
      </c>
      <c r="Y22" s="266">
        <f t="shared" si="6"/>
        <v>0</v>
      </c>
    </row>
    <row r="23">
      <c r="A23" s="253"/>
      <c r="B23" s="267"/>
      <c r="C23" s="158">
        <v>43040.0</v>
      </c>
      <c r="D23" s="254">
        <v>0.0</v>
      </c>
      <c r="E23" s="268">
        <v>119.12</v>
      </c>
      <c r="F23" s="269">
        <v>0.0</v>
      </c>
      <c r="G23" s="260">
        <f t="shared" si="1"/>
        <v>0</v>
      </c>
      <c r="H23" s="258">
        <f t="shared" si="2"/>
        <v>0</v>
      </c>
      <c r="I23" s="163">
        <v>0.0</v>
      </c>
      <c r="J23" s="270" t="b">
        <v>0</v>
      </c>
      <c r="K23" s="257">
        <f>Reference!$B$4*Reference!$B$3*D23</f>
        <v>0</v>
      </c>
      <c r="L23" s="260">
        <f>IF(C23&lt;Reference!$B$26,Reference!$C$26,0)</f>
        <v>10.18</v>
      </c>
      <c r="M23" s="260">
        <f>IF(C23&lt;Reference!$B$27,Reference!$C$27,0)</f>
        <v>16.87</v>
      </c>
      <c r="N23" s="260">
        <f t="shared" si="3"/>
        <v>92.07</v>
      </c>
      <c r="O23" s="261">
        <f>SWITCH('Summary &amp; Instructions'!$K$26,"Calculated", D23*Reference!$B$5*Reference!$B$6, "Manual entries",I23)</f>
        <v>0</v>
      </c>
      <c r="P23" s="262">
        <f>MAX(K23+(O23*Reference!$B$18)-(D23*N23),0)</f>
        <v>0</v>
      </c>
      <c r="Q23" s="166">
        <f>IF(J23,'Summary &amp; Instructions'!$C$39/ (J$84+ESPP!$N$26), 0)</f>
        <v>0</v>
      </c>
      <c r="R23" s="247">
        <f>IF(J23,(Reference!$B$23 - V23) * Q23, 0)</f>
        <v>0</v>
      </c>
      <c r="S23" s="248">
        <f t="shared" si="4"/>
        <v>0</v>
      </c>
      <c r="T23" s="265">
        <f>IF(DATEDIF(C23,Reference!$B$28,"Y")&gt;=1,0,S23+R23)</f>
        <v>0</v>
      </c>
      <c r="U23" s="250">
        <f>IF(DATEDIF(C23,Reference!$B$28,"Y")&gt;=1,S23+R23,0)</f>
        <v>0</v>
      </c>
      <c r="V23" s="251">
        <f>iferror(((N23*D23) - K23 + S23)/SWITCH('Summary &amp; Instructions'!$K$26, "Calculated", O23, "Manual entries", I23), 0)</f>
        <v>0</v>
      </c>
      <c r="W23" s="171">
        <f>(Reference!$B$10-V23)*((SWITCH('Summary &amp; Instructions'!$K$26, "Calculated", O23, "Manual entries", I23)) - Q23)</f>
        <v>0</v>
      </c>
      <c r="X23" s="171">
        <f t="shared" si="5"/>
        <v>0</v>
      </c>
      <c r="Y23" s="266">
        <f t="shared" si="6"/>
        <v>0</v>
      </c>
    </row>
    <row r="24">
      <c r="A24" s="253"/>
      <c r="B24" s="267"/>
      <c r="C24" s="158">
        <v>43040.0</v>
      </c>
      <c r="D24" s="254">
        <v>0.0</v>
      </c>
      <c r="E24" s="268">
        <v>119.12</v>
      </c>
      <c r="F24" s="269">
        <v>0.0</v>
      </c>
      <c r="G24" s="260">
        <f t="shared" si="1"/>
        <v>0</v>
      </c>
      <c r="H24" s="258">
        <f t="shared" si="2"/>
        <v>0</v>
      </c>
      <c r="I24" s="163">
        <v>0.0</v>
      </c>
      <c r="J24" s="270" t="b">
        <v>0</v>
      </c>
      <c r="K24" s="257">
        <f>Reference!$B$4*Reference!$B$3*D24</f>
        <v>0</v>
      </c>
      <c r="L24" s="260">
        <f>IF(C24&lt;Reference!$B$26,Reference!$C$26,0)</f>
        <v>10.18</v>
      </c>
      <c r="M24" s="260">
        <f>IF(C24&lt;Reference!$B$27,Reference!$C$27,0)</f>
        <v>16.87</v>
      </c>
      <c r="N24" s="260">
        <f t="shared" si="3"/>
        <v>92.07</v>
      </c>
      <c r="O24" s="261">
        <f>SWITCH('Summary &amp; Instructions'!$K$26,"Calculated", D24*Reference!$B$5*Reference!$B$6, "Manual entries",I24)</f>
        <v>0</v>
      </c>
      <c r="P24" s="262">
        <f>MAX(K24+(O24*Reference!$B$18)-(D24*N24),0)</f>
        <v>0</v>
      </c>
      <c r="Q24" s="166">
        <f>IF(J24,'Summary &amp; Instructions'!$C$39/ (J$84+ESPP!$N$26), 0)</f>
        <v>0</v>
      </c>
      <c r="R24" s="247">
        <f>IF(J24,(Reference!$B$23 - V24) * Q24, 0)</f>
        <v>0</v>
      </c>
      <c r="S24" s="248">
        <f t="shared" si="4"/>
        <v>0</v>
      </c>
      <c r="T24" s="265">
        <f>IF(DATEDIF(C24,Reference!$B$28,"Y")&gt;=1,0,S24+R24)</f>
        <v>0</v>
      </c>
      <c r="U24" s="250">
        <f>IF(DATEDIF(C24,Reference!$B$28,"Y")&gt;=1,S24+R24,0)</f>
        <v>0</v>
      </c>
      <c r="V24" s="251">
        <f>iferror(((N24*D24) - K24 + S24)/SWITCH('Summary &amp; Instructions'!$K$26, "Calculated", O24, "Manual entries", I24), 0)</f>
        <v>0</v>
      </c>
      <c r="W24" s="171">
        <f>(Reference!$B$10-V24)*((SWITCH('Summary &amp; Instructions'!$K$26, "Calculated", O24, "Manual entries", I24)) - Q24)</f>
        <v>0</v>
      </c>
      <c r="X24" s="171">
        <f t="shared" si="5"/>
        <v>0</v>
      </c>
      <c r="Y24" s="266">
        <f t="shared" si="6"/>
        <v>0</v>
      </c>
    </row>
    <row r="25">
      <c r="A25" s="253"/>
      <c r="B25" s="267"/>
      <c r="C25" s="158">
        <v>43070.0</v>
      </c>
      <c r="D25" s="254">
        <v>0.0</v>
      </c>
      <c r="E25" s="268">
        <v>124.44</v>
      </c>
      <c r="F25" s="269">
        <v>0.0</v>
      </c>
      <c r="G25" s="260">
        <f t="shared" si="1"/>
        <v>0</v>
      </c>
      <c r="H25" s="258">
        <f t="shared" si="2"/>
        <v>0</v>
      </c>
      <c r="I25" s="163">
        <v>0.0</v>
      </c>
      <c r="J25" s="270" t="b">
        <v>0</v>
      </c>
      <c r="K25" s="257">
        <f>Reference!$B$4*Reference!$B$3*D25</f>
        <v>0</v>
      </c>
      <c r="L25" s="260">
        <f>IF(C25&lt;Reference!$B$26,Reference!$C$26,0)</f>
        <v>10.18</v>
      </c>
      <c r="M25" s="260">
        <f>IF(C25&lt;Reference!$B$27,Reference!$C$27,0)</f>
        <v>16.87</v>
      </c>
      <c r="N25" s="260">
        <f t="shared" si="3"/>
        <v>97.39</v>
      </c>
      <c r="O25" s="261">
        <f>SWITCH('Summary &amp; Instructions'!$K$26,"Calculated", D25*Reference!$B$5*Reference!$B$6, "Manual entries",I25)</f>
        <v>0</v>
      </c>
      <c r="P25" s="262">
        <f>MAX(K25+(O25*Reference!$B$18)-(D25*N25),0)</f>
        <v>0</v>
      </c>
      <c r="Q25" s="166">
        <f>IF(J25,'Summary &amp; Instructions'!$C$39/ (J$84+ESPP!$N$26), 0)</f>
        <v>0</v>
      </c>
      <c r="R25" s="247">
        <f>IF(J25,(Reference!$B$23 - V25) * Q25, 0)</f>
        <v>0</v>
      </c>
      <c r="S25" s="248">
        <f t="shared" si="4"/>
        <v>0</v>
      </c>
      <c r="T25" s="265">
        <f>IF(DATEDIF(C25,Reference!$B$28,"Y")&gt;=1,0,S25+R25)</f>
        <v>0</v>
      </c>
      <c r="U25" s="250">
        <f>IF(DATEDIF(C25,Reference!$B$28,"Y")&gt;=1,S25+R25,0)</f>
        <v>0</v>
      </c>
      <c r="V25" s="251">
        <f>iferror(((N25*D25) - K25 + S25)/SWITCH('Summary &amp; Instructions'!$K$26, "Calculated", O25, "Manual entries", I25), 0)</f>
        <v>0</v>
      </c>
      <c r="W25" s="171">
        <f>(Reference!$B$10-V25)*((SWITCH('Summary &amp; Instructions'!$K$26, "Calculated", O25, "Manual entries", I25)) - Q25)</f>
        <v>0</v>
      </c>
      <c r="X25" s="171">
        <f t="shared" si="5"/>
        <v>0</v>
      </c>
      <c r="Y25" s="266">
        <f t="shared" si="6"/>
        <v>0</v>
      </c>
    </row>
    <row r="26">
      <c r="A26" s="253"/>
      <c r="B26" s="267"/>
      <c r="C26" s="158">
        <v>43221.0</v>
      </c>
      <c r="D26" s="254">
        <v>0.0</v>
      </c>
      <c r="E26" s="268">
        <v>133.22</v>
      </c>
      <c r="F26" s="269">
        <v>0.0</v>
      </c>
      <c r="G26" s="260">
        <f t="shared" si="1"/>
        <v>0</v>
      </c>
      <c r="H26" s="258">
        <f t="shared" si="2"/>
        <v>0</v>
      </c>
      <c r="I26" s="163">
        <v>0.0</v>
      </c>
      <c r="J26" s="270" t="b">
        <v>0</v>
      </c>
      <c r="K26" s="257">
        <f>Reference!$B$4*Reference!$B$3*D26</f>
        <v>0</v>
      </c>
      <c r="L26" s="260">
        <f>IF(C26&lt;Reference!$B$26,Reference!$C$26,0)</f>
        <v>10.18</v>
      </c>
      <c r="M26" s="260">
        <f>IF(C26&lt;Reference!$B$27,Reference!$C$27,0)</f>
        <v>16.87</v>
      </c>
      <c r="N26" s="260">
        <f t="shared" si="3"/>
        <v>106.17</v>
      </c>
      <c r="O26" s="261">
        <f>SWITCH('Summary &amp; Instructions'!$K$26,"Calculated", D26*Reference!$B$5*Reference!$B$6, "Manual entries",I26)</f>
        <v>0</v>
      </c>
      <c r="P26" s="262">
        <f>MAX(K26+(O26*Reference!$B$18)-(D26*N26),0)</f>
        <v>0</v>
      </c>
      <c r="Q26" s="166">
        <f>IF(J26,'Summary &amp; Instructions'!$C$39/ (J$84+ESPP!$N$26), 0)</f>
        <v>0</v>
      </c>
      <c r="R26" s="247">
        <f>IF(J26,(Reference!$B$23 - V26) * Q26, 0)</f>
        <v>0</v>
      </c>
      <c r="S26" s="248">
        <f t="shared" si="4"/>
        <v>0</v>
      </c>
      <c r="T26" s="265">
        <f>IF(DATEDIF(C26,Reference!$B$28,"Y")&gt;=1,0,S26+R26)</f>
        <v>0</v>
      </c>
      <c r="U26" s="250">
        <f>IF(DATEDIF(C26,Reference!$B$28,"Y")&gt;=1,S26+R26,0)</f>
        <v>0</v>
      </c>
      <c r="V26" s="251">
        <f>iferror(((N26*D26) - K26 + S26)/SWITCH('Summary &amp; Instructions'!$K$26, "Calculated", O26, "Manual entries", I26), 0)</f>
        <v>0</v>
      </c>
      <c r="W26" s="171">
        <f>(Reference!$B$10-V26)*((SWITCH('Summary &amp; Instructions'!$K$26, "Calculated", O26, "Manual entries", I26)) - Q26)</f>
        <v>0</v>
      </c>
      <c r="X26" s="171">
        <f t="shared" si="5"/>
        <v>0</v>
      </c>
      <c r="Y26" s="266">
        <f t="shared" si="6"/>
        <v>0</v>
      </c>
    </row>
    <row r="27">
      <c r="A27" s="253"/>
      <c r="B27" s="267"/>
      <c r="C27" s="158">
        <v>43221.0</v>
      </c>
      <c r="D27" s="254">
        <v>0.0</v>
      </c>
      <c r="E27" s="268">
        <v>133.22</v>
      </c>
      <c r="F27" s="269">
        <v>0.0</v>
      </c>
      <c r="G27" s="260">
        <f t="shared" si="1"/>
        <v>0</v>
      </c>
      <c r="H27" s="258">
        <f t="shared" si="2"/>
        <v>0</v>
      </c>
      <c r="I27" s="163">
        <v>0.0</v>
      </c>
      <c r="J27" s="270" t="b">
        <v>0</v>
      </c>
      <c r="K27" s="257">
        <f>Reference!$B$4*Reference!$B$3*D27</f>
        <v>0</v>
      </c>
      <c r="L27" s="260">
        <f>IF(C27&lt;Reference!$B$26,Reference!$C$26,0)</f>
        <v>10.18</v>
      </c>
      <c r="M27" s="260">
        <f>IF(C27&lt;Reference!$B$27,Reference!$C$27,0)</f>
        <v>16.87</v>
      </c>
      <c r="N27" s="260">
        <f t="shared" si="3"/>
        <v>106.17</v>
      </c>
      <c r="O27" s="261">
        <f>SWITCH('Summary &amp; Instructions'!$K$26,"Calculated", D27*Reference!$B$5*Reference!$B$6, "Manual entries",I27)</f>
        <v>0</v>
      </c>
      <c r="P27" s="262">
        <f>MAX(K27+(O27*Reference!$B$18)-(D27*N27),0)</f>
        <v>0</v>
      </c>
      <c r="Q27" s="166">
        <f>IF(J27,'Summary &amp; Instructions'!$C$39/ (J$84+ESPP!$N$26), 0)</f>
        <v>0</v>
      </c>
      <c r="R27" s="247">
        <f>IF(J27,(Reference!$B$23 - V27) * Q27, 0)</f>
        <v>0</v>
      </c>
      <c r="S27" s="248">
        <f t="shared" si="4"/>
        <v>0</v>
      </c>
      <c r="T27" s="265">
        <f>IF(DATEDIF(C27,Reference!$B$28,"Y")&gt;=1,0,S27+R27)</f>
        <v>0</v>
      </c>
      <c r="U27" s="250">
        <f>IF(DATEDIF(C27,Reference!$B$28,"Y")&gt;=1,S27+R27,0)</f>
        <v>0</v>
      </c>
      <c r="V27" s="251">
        <f>iferror(((N27*D27) - K27 + S27)/SWITCH('Summary &amp; Instructions'!$K$26, "Calculated", O27, "Manual entries", I27), 0)</f>
        <v>0</v>
      </c>
      <c r="W27" s="171">
        <f>(Reference!$B$10-V27)*((SWITCH('Summary &amp; Instructions'!$K$26, "Calculated", O27, "Manual entries", I27)) - Q27)</f>
        <v>0</v>
      </c>
      <c r="X27" s="171">
        <f t="shared" si="5"/>
        <v>0</v>
      </c>
      <c r="Y27" s="266">
        <f t="shared" si="6"/>
        <v>0</v>
      </c>
    </row>
    <row r="28">
      <c r="A28" s="253"/>
      <c r="B28" s="267"/>
      <c r="C28" s="158">
        <v>43221.0</v>
      </c>
      <c r="D28" s="254">
        <v>0.0</v>
      </c>
      <c r="E28" s="268">
        <v>133.22</v>
      </c>
      <c r="F28" s="269">
        <v>0.0</v>
      </c>
      <c r="G28" s="260">
        <f t="shared" si="1"/>
        <v>0</v>
      </c>
      <c r="H28" s="258">
        <f t="shared" si="2"/>
        <v>0</v>
      </c>
      <c r="I28" s="163">
        <v>0.0</v>
      </c>
      <c r="J28" s="270" t="b">
        <v>0</v>
      </c>
      <c r="K28" s="257">
        <f>Reference!$B$4*Reference!$B$3*D28</f>
        <v>0</v>
      </c>
      <c r="L28" s="260">
        <f>IF(C28&lt;Reference!$B$26,Reference!$C$26,0)</f>
        <v>10.18</v>
      </c>
      <c r="M28" s="260">
        <f>IF(C28&lt;Reference!$B$27,Reference!$C$27,0)</f>
        <v>16.87</v>
      </c>
      <c r="N28" s="260">
        <f t="shared" si="3"/>
        <v>106.17</v>
      </c>
      <c r="O28" s="261">
        <f>SWITCH('Summary &amp; Instructions'!$K$26,"Calculated", D28*Reference!$B$5*Reference!$B$6, "Manual entries",I28)</f>
        <v>0</v>
      </c>
      <c r="P28" s="262">
        <f>MAX(K28+(O28*Reference!$B$18)-(D28*N28),0)</f>
        <v>0</v>
      </c>
      <c r="Q28" s="166">
        <f>IF(J28,'Summary &amp; Instructions'!$C$39/ (J$84+ESPP!$N$26), 0)</f>
        <v>0</v>
      </c>
      <c r="R28" s="247">
        <f>IF(J28,(Reference!$B$23 - V28) * Q28, 0)</f>
        <v>0</v>
      </c>
      <c r="S28" s="248">
        <f t="shared" si="4"/>
        <v>0</v>
      </c>
      <c r="T28" s="265">
        <f>IF(DATEDIF(C28,Reference!$B$28,"Y")&gt;=1,0,S28+R28)</f>
        <v>0</v>
      </c>
      <c r="U28" s="250">
        <f>IF(DATEDIF(C28,Reference!$B$28,"Y")&gt;=1,S28+R28,0)</f>
        <v>0</v>
      </c>
      <c r="V28" s="251">
        <f>iferror(((N28*D28) - K28 + S28)/SWITCH('Summary &amp; Instructions'!$K$26, "Calculated", O28, "Manual entries", I28), 0)</f>
        <v>0</v>
      </c>
      <c r="W28" s="171">
        <f>(Reference!$B$10-V28)*((SWITCH('Summary &amp; Instructions'!$K$26, "Calculated", O28, "Manual entries", I28)) - Q28)</f>
        <v>0</v>
      </c>
      <c r="X28" s="171">
        <f t="shared" si="5"/>
        <v>0</v>
      </c>
      <c r="Y28" s="266">
        <f t="shared" si="6"/>
        <v>0</v>
      </c>
    </row>
    <row r="29">
      <c r="A29" s="253"/>
      <c r="B29" s="267"/>
      <c r="C29" s="158">
        <v>43252.0</v>
      </c>
      <c r="D29" s="254">
        <v>0.0</v>
      </c>
      <c r="E29" s="268">
        <v>145.93</v>
      </c>
      <c r="F29" s="269">
        <v>0.0</v>
      </c>
      <c r="G29" s="260">
        <f t="shared" si="1"/>
        <v>0</v>
      </c>
      <c r="H29" s="258">
        <f t="shared" si="2"/>
        <v>0</v>
      </c>
      <c r="I29" s="163">
        <v>0.0</v>
      </c>
      <c r="J29" s="270" t="b">
        <v>0</v>
      </c>
      <c r="K29" s="257">
        <f>Reference!$B$4*Reference!$B$3*D29</f>
        <v>0</v>
      </c>
      <c r="L29" s="260">
        <f>IF(C29&lt;Reference!$B$26,Reference!$C$26,0)</f>
        <v>10.18</v>
      </c>
      <c r="M29" s="260">
        <f>IF(C29&lt;Reference!$B$27,Reference!$C$27,0)</f>
        <v>16.87</v>
      </c>
      <c r="N29" s="260">
        <f t="shared" si="3"/>
        <v>118.88</v>
      </c>
      <c r="O29" s="261">
        <f>SWITCH('Summary &amp; Instructions'!$K$26,"Calculated", D29*Reference!$B$5*Reference!$B$6, "Manual entries",I29)</f>
        <v>0</v>
      </c>
      <c r="P29" s="262">
        <f>MAX(K29+(O29*Reference!$B$18)-(D29*N29),0)</f>
        <v>0</v>
      </c>
      <c r="Q29" s="166">
        <f>IF(J29,'Summary &amp; Instructions'!$C$39/ (J$84+ESPP!$N$26), 0)</f>
        <v>0</v>
      </c>
      <c r="R29" s="247">
        <f>IF(J29,(Reference!$B$23 - V29) * Q29, 0)</f>
        <v>0</v>
      </c>
      <c r="S29" s="248">
        <f t="shared" si="4"/>
        <v>0</v>
      </c>
      <c r="T29" s="265">
        <f>IF(DATEDIF(C29,Reference!$B$28,"Y")&gt;=1,0,S29+R29)</f>
        <v>0</v>
      </c>
      <c r="U29" s="250">
        <f>IF(DATEDIF(C29,Reference!$B$28,"Y")&gt;=1,S29+R29,0)</f>
        <v>0</v>
      </c>
      <c r="V29" s="251">
        <f>iferror(((N29*D29) - K29 + S29)/SWITCH('Summary &amp; Instructions'!$K$26, "Calculated", O29, "Manual entries", I29), 0)</f>
        <v>0</v>
      </c>
      <c r="W29" s="171">
        <f>(Reference!$B$10-V29)*((SWITCH('Summary &amp; Instructions'!$K$26, "Calculated", O29, "Manual entries", I29)) - Q29)</f>
        <v>0</v>
      </c>
      <c r="X29" s="171">
        <f t="shared" si="5"/>
        <v>0</v>
      </c>
      <c r="Y29" s="266">
        <f t="shared" si="6"/>
        <v>0</v>
      </c>
    </row>
    <row r="30">
      <c r="A30" s="253"/>
      <c r="B30" s="267"/>
      <c r="C30" s="158">
        <v>43282.0</v>
      </c>
      <c r="D30" s="254">
        <v>0.0</v>
      </c>
      <c r="E30" s="268">
        <v>146.97</v>
      </c>
      <c r="F30" s="269">
        <v>0.0</v>
      </c>
      <c r="G30" s="260">
        <f t="shared" si="1"/>
        <v>0</v>
      </c>
      <c r="H30" s="258">
        <f t="shared" si="2"/>
        <v>0</v>
      </c>
      <c r="I30" s="163">
        <v>0.0</v>
      </c>
      <c r="J30" s="270" t="b">
        <v>0</v>
      </c>
      <c r="K30" s="257">
        <f>Reference!$B$4*Reference!$B$3*D30</f>
        <v>0</v>
      </c>
      <c r="L30" s="260">
        <f>IF(C30&lt;Reference!$B$26,Reference!$C$26,0)</f>
        <v>10.18</v>
      </c>
      <c r="M30" s="260">
        <f>IF(C30&lt;Reference!$B$27,Reference!$C$27,0)</f>
        <v>16.87</v>
      </c>
      <c r="N30" s="260">
        <f t="shared" si="3"/>
        <v>119.92</v>
      </c>
      <c r="O30" s="261">
        <f>SWITCH('Summary &amp; Instructions'!$K$26,"Calculated", D30*Reference!$B$5*Reference!$B$6, "Manual entries",I30)</f>
        <v>0</v>
      </c>
      <c r="P30" s="262">
        <f>MAX(K30+(O30*Reference!$B$18)-(D30*N30),0)</f>
        <v>0</v>
      </c>
      <c r="Q30" s="166">
        <f>IF(J30,'Summary &amp; Instructions'!$C$39/ (J$84+ESPP!$N$26), 0)</f>
        <v>0</v>
      </c>
      <c r="R30" s="247">
        <f>IF(J30,(Reference!$B$23 - V30) * Q30, 0)</f>
        <v>0</v>
      </c>
      <c r="S30" s="248">
        <f t="shared" si="4"/>
        <v>0</v>
      </c>
      <c r="T30" s="265">
        <f>IF(DATEDIF(C30,Reference!$B$28,"Y")&gt;=1,0,S30+R30)</f>
        <v>0</v>
      </c>
      <c r="U30" s="250">
        <f>IF(DATEDIF(C30,Reference!$B$28,"Y")&gt;=1,S30+R30,0)</f>
        <v>0</v>
      </c>
      <c r="V30" s="251">
        <f>iferror(((N30*D30) - K30 + S30)/SWITCH('Summary &amp; Instructions'!$K$26, "Calculated", O30, "Manual entries", I30), 0)</f>
        <v>0</v>
      </c>
      <c r="W30" s="171">
        <f>(Reference!$B$10-V30)*((SWITCH('Summary &amp; Instructions'!$K$26, "Calculated", O30, "Manual entries", I30)) - Q30)</f>
        <v>0</v>
      </c>
      <c r="X30" s="171">
        <f t="shared" si="5"/>
        <v>0</v>
      </c>
      <c r="Y30" s="266">
        <f t="shared" si="6"/>
        <v>0</v>
      </c>
    </row>
    <row r="31">
      <c r="A31" s="253"/>
      <c r="B31" s="267"/>
      <c r="C31" s="158">
        <v>43405.0</v>
      </c>
      <c r="D31" s="254">
        <v>0.0</v>
      </c>
      <c r="E31" s="268">
        <v>144.64</v>
      </c>
      <c r="F31" s="269">
        <v>0.0</v>
      </c>
      <c r="G31" s="260">
        <f t="shared" si="1"/>
        <v>0</v>
      </c>
      <c r="H31" s="258">
        <f t="shared" si="2"/>
        <v>0</v>
      </c>
      <c r="I31" s="163">
        <v>0.0</v>
      </c>
      <c r="J31" s="270" t="b">
        <v>0</v>
      </c>
      <c r="K31" s="257">
        <f>Reference!$B$4*Reference!$B$3*D31</f>
        <v>0</v>
      </c>
      <c r="L31" s="260">
        <f>IF(C31&lt;Reference!$B$26,Reference!$C$26,0)</f>
        <v>10.18</v>
      </c>
      <c r="M31" s="260">
        <f>IF(C31&lt;Reference!$B$27,Reference!$C$27,0)</f>
        <v>16.87</v>
      </c>
      <c r="N31" s="260">
        <f t="shared" si="3"/>
        <v>117.59</v>
      </c>
      <c r="O31" s="261">
        <f>SWITCH('Summary &amp; Instructions'!$K$26,"Calculated", D31*Reference!$B$5*Reference!$B$6, "Manual entries",I31)</f>
        <v>0</v>
      </c>
      <c r="P31" s="262">
        <f>MAX(K31+(O31*Reference!$B$18)-(D31*N31),0)</f>
        <v>0</v>
      </c>
      <c r="Q31" s="166">
        <f>IF(J31,'Summary &amp; Instructions'!$C$39/ (J$84+ESPP!$N$26), 0)</f>
        <v>0</v>
      </c>
      <c r="R31" s="247">
        <f>IF(J31,(Reference!$B$23 - V31) * Q31, 0)</f>
        <v>0</v>
      </c>
      <c r="S31" s="248">
        <f t="shared" si="4"/>
        <v>0</v>
      </c>
      <c r="T31" s="265">
        <f>IF(DATEDIF(C31,Reference!$B$28,"Y")&gt;=1,0,S31+R31)</f>
        <v>0</v>
      </c>
      <c r="U31" s="250">
        <f>IF(DATEDIF(C31,Reference!$B$28,"Y")&gt;=1,S31+R31,0)</f>
        <v>0</v>
      </c>
      <c r="V31" s="251">
        <f>iferror(((N31*D31) - K31 + S31)/SWITCH('Summary &amp; Instructions'!$K$26, "Calculated", O31, "Manual entries", I31), 0)</f>
        <v>0</v>
      </c>
      <c r="W31" s="171">
        <f>(Reference!$B$10-V31)*((SWITCH('Summary &amp; Instructions'!$K$26, "Calculated", O31, "Manual entries", I31)) - Q31)</f>
        <v>0</v>
      </c>
      <c r="X31" s="171">
        <f t="shared" si="5"/>
        <v>0</v>
      </c>
      <c r="Y31" s="266">
        <f t="shared" si="6"/>
        <v>0</v>
      </c>
    </row>
    <row r="32">
      <c r="A32" s="253"/>
      <c r="B32" s="267"/>
      <c r="C32" s="158">
        <v>43405.0</v>
      </c>
      <c r="D32" s="254">
        <v>0.0</v>
      </c>
      <c r="E32" s="268">
        <v>144.64</v>
      </c>
      <c r="F32" s="269">
        <v>0.0</v>
      </c>
      <c r="G32" s="260">
        <f t="shared" si="1"/>
        <v>0</v>
      </c>
      <c r="H32" s="258">
        <f t="shared" si="2"/>
        <v>0</v>
      </c>
      <c r="I32" s="163">
        <v>0.0</v>
      </c>
      <c r="J32" s="270" t="b">
        <v>0</v>
      </c>
      <c r="K32" s="257">
        <f>Reference!$B$4*Reference!$B$3*D32</f>
        <v>0</v>
      </c>
      <c r="L32" s="260">
        <f>IF(C32&lt;Reference!$B$26,Reference!$C$26,0)</f>
        <v>10.18</v>
      </c>
      <c r="M32" s="260">
        <f>IF(C32&lt;Reference!$B$27,Reference!$C$27,0)</f>
        <v>16.87</v>
      </c>
      <c r="N32" s="260">
        <f t="shared" si="3"/>
        <v>117.59</v>
      </c>
      <c r="O32" s="261">
        <f>SWITCH('Summary &amp; Instructions'!$K$26,"Calculated", D32*Reference!$B$5*Reference!$B$6, "Manual entries",I32)</f>
        <v>0</v>
      </c>
      <c r="P32" s="262">
        <f>MAX(K32+(O32*Reference!$B$18)-(D32*N32),0)</f>
        <v>0</v>
      </c>
      <c r="Q32" s="166">
        <f>IF(J32,'Summary &amp; Instructions'!$C$39/ (J$84+ESPP!$N$26), 0)</f>
        <v>0</v>
      </c>
      <c r="R32" s="247">
        <f>IF(J32,(Reference!$B$23 - V32) * Q32, 0)</f>
        <v>0</v>
      </c>
      <c r="S32" s="248">
        <f t="shared" si="4"/>
        <v>0</v>
      </c>
      <c r="T32" s="265">
        <f>IF(DATEDIF(C32,Reference!$B$28,"Y")&gt;=1,0,S32+R32)</f>
        <v>0</v>
      </c>
      <c r="U32" s="250">
        <f>IF(DATEDIF(C32,Reference!$B$28,"Y")&gt;=1,S32+R32,0)</f>
        <v>0</v>
      </c>
      <c r="V32" s="251">
        <f>iferror(((N32*D32) - K32 + S32)/SWITCH('Summary &amp; Instructions'!$K$26, "Calculated", O32, "Manual entries", I32), 0)</f>
        <v>0</v>
      </c>
      <c r="W32" s="171">
        <f>(Reference!$B$10-V32)*((SWITCH('Summary &amp; Instructions'!$K$26, "Calculated", O32, "Manual entries", I32)) - Q32)</f>
        <v>0</v>
      </c>
      <c r="X32" s="171">
        <f t="shared" si="5"/>
        <v>0</v>
      </c>
      <c r="Y32" s="266">
        <f t="shared" si="6"/>
        <v>0</v>
      </c>
    </row>
    <row r="33">
      <c r="A33" s="253"/>
      <c r="B33" s="267"/>
      <c r="C33" s="158">
        <v>43435.0</v>
      </c>
      <c r="D33" s="254">
        <v>0.0</v>
      </c>
      <c r="E33" s="268">
        <v>167.34</v>
      </c>
      <c r="F33" s="269">
        <v>0.0</v>
      </c>
      <c r="G33" s="260">
        <f t="shared" si="1"/>
        <v>0</v>
      </c>
      <c r="H33" s="258">
        <f t="shared" si="2"/>
        <v>0</v>
      </c>
      <c r="I33" s="163">
        <v>0.0</v>
      </c>
      <c r="J33" s="270" t="b">
        <v>0</v>
      </c>
      <c r="K33" s="257">
        <f>Reference!$B$4*Reference!$B$3*D33</f>
        <v>0</v>
      </c>
      <c r="L33" s="260">
        <f>IF(C33&lt;Reference!$B$26,Reference!$C$26,0)</f>
        <v>10.18</v>
      </c>
      <c r="M33" s="260">
        <f>IF(C33&lt;Reference!$B$27,Reference!$C$27,0)</f>
        <v>16.87</v>
      </c>
      <c r="N33" s="260">
        <f t="shared" si="3"/>
        <v>140.29</v>
      </c>
      <c r="O33" s="261">
        <f>SWITCH('Summary &amp; Instructions'!$K$26,"Calculated", D33*Reference!$B$5*Reference!$B$6, "Manual entries",I33)</f>
        <v>0</v>
      </c>
      <c r="P33" s="262">
        <f>MAX(K33+(O33*Reference!$B$18)-(D33*N33),0)</f>
        <v>0</v>
      </c>
      <c r="Q33" s="166">
        <f>IF(J33,'Summary &amp; Instructions'!$C$39/ (J$84+ESPP!$N$26), 0)</f>
        <v>0</v>
      </c>
      <c r="R33" s="247">
        <f>IF(J33,(Reference!$B$23 - V33) * Q33, 0)</f>
        <v>0</v>
      </c>
      <c r="S33" s="248">
        <f t="shared" si="4"/>
        <v>0</v>
      </c>
      <c r="T33" s="265">
        <f>IF(DATEDIF(C33,Reference!$B$28,"Y")&gt;=1,0,S33+R33)</f>
        <v>0</v>
      </c>
      <c r="U33" s="250">
        <f>IF(DATEDIF(C33,Reference!$B$28,"Y")&gt;=1,S33+R33,0)</f>
        <v>0</v>
      </c>
      <c r="V33" s="251">
        <f>iferror(((N33*D33) - K33 + S33)/SWITCH('Summary &amp; Instructions'!$K$26, "Calculated", O33, "Manual entries", I33), 0)</f>
        <v>0</v>
      </c>
      <c r="W33" s="171">
        <f>(Reference!$B$10-V33)*((SWITCH('Summary &amp; Instructions'!$K$26, "Calculated", O33, "Manual entries", I33)) - Q33)</f>
        <v>0</v>
      </c>
      <c r="X33" s="171">
        <f t="shared" si="5"/>
        <v>0</v>
      </c>
      <c r="Y33" s="266">
        <f t="shared" si="6"/>
        <v>0</v>
      </c>
    </row>
    <row r="34">
      <c r="A34" s="273"/>
      <c r="B34" s="267"/>
      <c r="C34" s="158">
        <v>43475.0</v>
      </c>
      <c r="D34" s="254">
        <v>0.0</v>
      </c>
      <c r="E34" s="268">
        <v>148.88</v>
      </c>
      <c r="F34" s="269">
        <v>0.0</v>
      </c>
      <c r="G34" s="260">
        <f t="shared" si="1"/>
        <v>0</v>
      </c>
      <c r="H34" s="258">
        <f t="shared" si="2"/>
        <v>0</v>
      </c>
      <c r="I34" s="163">
        <v>0.0</v>
      </c>
      <c r="J34" s="270" t="b">
        <v>0</v>
      </c>
      <c r="K34" s="257">
        <f>Reference!$B$4*Reference!$B$3*D34</f>
        <v>0</v>
      </c>
      <c r="L34" s="260">
        <f>IF(C34&lt;Reference!$B$26,Reference!$C$26,0)</f>
        <v>0</v>
      </c>
      <c r="M34" s="260">
        <f>IF(C34&lt;Reference!$B$27,Reference!$C$27,0)</f>
        <v>16.87</v>
      </c>
      <c r="N34" s="260">
        <f t="shared" si="3"/>
        <v>132.01</v>
      </c>
      <c r="O34" s="261">
        <f>SWITCH('Summary &amp; Instructions'!$K$26,"Calculated", D34*Reference!$B$5*Reference!$B$6, "Manual entries",I34)</f>
        <v>0</v>
      </c>
      <c r="P34" s="262">
        <f>MAX(K34+(O34*Reference!$B$18)-(D34*N34),0)</f>
        <v>0</v>
      </c>
      <c r="Q34" s="166">
        <f>IF(J34,'Summary &amp; Instructions'!$C$39/ (J$84+ESPP!$N$26), 0)</f>
        <v>0</v>
      </c>
      <c r="R34" s="247">
        <f>IF(J34,(Reference!$B$23 - V34) * Q34, 0)</f>
        <v>0</v>
      </c>
      <c r="S34" s="248">
        <f t="shared" si="4"/>
        <v>0</v>
      </c>
      <c r="T34" s="265">
        <f>IF(DATEDIF(C34,Reference!$B$28,"Y")&gt;=1,0,S34+R34)</f>
        <v>0</v>
      </c>
      <c r="U34" s="250">
        <f>IF(DATEDIF(C34,Reference!$B$28,"Y")&gt;=1,S34+R34,0)</f>
        <v>0</v>
      </c>
      <c r="V34" s="251">
        <f>iferror(((N34*D34) - K34 + S34)/SWITCH('Summary &amp; Instructions'!$K$26, "Calculated", O34, "Manual entries", I34), 0)</f>
        <v>0</v>
      </c>
      <c r="W34" s="171">
        <f>(Reference!$B$10-V34)*((SWITCH('Summary &amp; Instructions'!$K$26, "Calculated", O34, "Manual entries", I34)) - Q34)</f>
        <v>0</v>
      </c>
      <c r="X34" s="171">
        <f t="shared" si="5"/>
        <v>0</v>
      </c>
      <c r="Y34" s="266">
        <f t="shared" si="6"/>
        <v>0</v>
      </c>
    </row>
    <row r="35">
      <c r="A35" s="273"/>
      <c r="B35" s="267"/>
      <c r="C35" s="158">
        <v>43586.0</v>
      </c>
      <c r="D35" s="254">
        <v>0.0</v>
      </c>
      <c r="E35" s="268">
        <v>202.46</v>
      </c>
      <c r="F35" s="269">
        <v>0.0</v>
      </c>
      <c r="G35" s="260">
        <f t="shared" si="1"/>
        <v>0</v>
      </c>
      <c r="H35" s="258">
        <f t="shared" si="2"/>
        <v>0</v>
      </c>
      <c r="I35" s="163">
        <v>0.0</v>
      </c>
      <c r="J35" s="270" t="b">
        <v>0</v>
      </c>
      <c r="K35" s="257">
        <f>Reference!$B$4*Reference!$B$3*D35</f>
        <v>0</v>
      </c>
      <c r="L35" s="260">
        <f>IF(C35&lt;Reference!$B$26,Reference!$C$26,0)</f>
        <v>0</v>
      </c>
      <c r="M35" s="260">
        <f>IF(C35&lt;Reference!$B$27,Reference!$C$27,0)</f>
        <v>16.87</v>
      </c>
      <c r="N35" s="260">
        <f t="shared" si="3"/>
        <v>185.59</v>
      </c>
      <c r="O35" s="261">
        <f>SWITCH('Summary &amp; Instructions'!$K$26,"Calculated", D35*Reference!$B$5*Reference!$B$6, "Manual entries",I35)</f>
        <v>0</v>
      </c>
      <c r="P35" s="262">
        <f>MAX(K35+(O35*Reference!$B$18)-(D35*N35),0)</f>
        <v>0</v>
      </c>
      <c r="Q35" s="166">
        <f>IF(J35,'Summary &amp; Instructions'!$C$39/ (J$84+ESPP!$N$26), 0)</f>
        <v>0</v>
      </c>
      <c r="R35" s="247">
        <f>IF(J35,(Reference!$B$23 - V35) * Q35, 0)</f>
        <v>0</v>
      </c>
      <c r="S35" s="248">
        <f t="shared" si="4"/>
        <v>0</v>
      </c>
      <c r="T35" s="265">
        <f>IF(DATEDIF(C35,Reference!$B$28,"Y")&gt;=1,0,S35+R35)</f>
        <v>0</v>
      </c>
      <c r="U35" s="250">
        <f>IF(DATEDIF(C35,Reference!$B$28,"Y")&gt;=1,S35+R35,0)</f>
        <v>0</v>
      </c>
      <c r="V35" s="251">
        <f>iferror(((N35*D35) - K35 + S35)/SWITCH('Summary &amp; Instructions'!$K$26, "Calculated", O35, "Manual entries", I35), 0)</f>
        <v>0</v>
      </c>
      <c r="W35" s="171">
        <f>(Reference!$B$10-V35)*((SWITCH('Summary &amp; Instructions'!$K$26, "Calculated", O35, "Manual entries", I35)) - Q35)</f>
        <v>0</v>
      </c>
      <c r="X35" s="171">
        <f t="shared" si="5"/>
        <v>0</v>
      </c>
      <c r="Y35" s="266">
        <f t="shared" si="6"/>
        <v>0</v>
      </c>
    </row>
    <row r="36">
      <c r="A36" s="273"/>
      <c r="B36" s="267"/>
      <c r="C36" s="158">
        <v>43586.0</v>
      </c>
      <c r="D36" s="254">
        <v>0.0</v>
      </c>
      <c r="E36" s="268">
        <v>202.46</v>
      </c>
      <c r="F36" s="269">
        <v>0.0</v>
      </c>
      <c r="G36" s="260">
        <f t="shared" si="1"/>
        <v>0</v>
      </c>
      <c r="H36" s="258">
        <f t="shared" si="2"/>
        <v>0</v>
      </c>
      <c r="I36" s="163">
        <v>0.0</v>
      </c>
      <c r="J36" s="270" t="b">
        <v>0</v>
      </c>
      <c r="K36" s="257">
        <f>Reference!$B$4*Reference!$B$3*D36</f>
        <v>0</v>
      </c>
      <c r="L36" s="260">
        <f>IF(C36&lt;Reference!$B$26,Reference!$C$26,0)</f>
        <v>0</v>
      </c>
      <c r="M36" s="260">
        <f>IF(C36&lt;Reference!$B$27,Reference!$C$27,0)</f>
        <v>16.87</v>
      </c>
      <c r="N36" s="260">
        <f t="shared" si="3"/>
        <v>185.59</v>
      </c>
      <c r="O36" s="261">
        <f>SWITCH('Summary &amp; Instructions'!$K$26,"Calculated", D36*Reference!$B$5*Reference!$B$6, "Manual entries",I36)</f>
        <v>0</v>
      </c>
      <c r="P36" s="262">
        <f>MAX(K36+(O36*Reference!$B$18)-(D36*N36),0)</f>
        <v>0</v>
      </c>
      <c r="Q36" s="166">
        <f>IF(J36,'Summary &amp; Instructions'!$C$39/ (J$84+ESPP!$N$26), 0)</f>
        <v>0</v>
      </c>
      <c r="R36" s="247">
        <f>IF(J36,(Reference!$B$23 - V36) * Q36, 0)</f>
        <v>0</v>
      </c>
      <c r="S36" s="248">
        <f t="shared" si="4"/>
        <v>0</v>
      </c>
      <c r="T36" s="265">
        <f>IF(DATEDIF(C36,Reference!$B$28,"Y")&gt;=1,0,S36+R36)</f>
        <v>0</v>
      </c>
      <c r="U36" s="250">
        <f>IF(DATEDIF(C36,Reference!$B$28,"Y")&gt;=1,S36+R36,0)</f>
        <v>0</v>
      </c>
      <c r="V36" s="251">
        <f>iferror(((N36*D36) - K36 + S36)/SWITCH('Summary &amp; Instructions'!$K$26, "Calculated", O36, "Manual entries", I36), 0)</f>
        <v>0</v>
      </c>
      <c r="W36" s="171">
        <f>(Reference!$B$10-V36)*((SWITCH('Summary &amp; Instructions'!$K$26, "Calculated", O36, "Manual entries", I36)) - Q36)</f>
        <v>0</v>
      </c>
      <c r="X36" s="171">
        <f t="shared" si="5"/>
        <v>0</v>
      </c>
      <c r="Y36" s="266">
        <f t="shared" si="6"/>
        <v>0</v>
      </c>
    </row>
    <row r="37">
      <c r="A37" s="273"/>
      <c r="B37" s="267"/>
      <c r="C37" s="158">
        <v>43617.0</v>
      </c>
      <c r="D37" s="254">
        <v>0.0</v>
      </c>
      <c r="E37" s="268">
        <v>176.98</v>
      </c>
      <c r="F37" s="269">
        <v>0.0</v>
      </c>
      <c r="G37" s="260">
        <f t="shared" si="1"/>
        <v>0</v>
      </c>
      <c r="H37" s="258">
        <f t="shared" si="2"/>
        <v>0</v>
      </c>
      <c r="I37" s="163">
        <v>0.0</v>
      </c>
      <c r="J37" s="270" t="b">
        <v>0</v>
      </c>
      <c r="K37" s="257">
        <f>Reference!$B$4*Reference!$B$3*D37</f>
        <v>0</v>
      </c>
      <c r="L37" s="260">
        <f>IF(C37&lt;Reference!$B$26,Reference!$C$26,0)</f>
        <v>0</v>
      </c>
      <c r="M37" s="260">
        <f>IF(C37&lt;Reference!$B$27,Reference!$C$27,0)</f>
        <v>16.87</v>
      </c>
      <c r="N37" s="260">
        <f t="shared" si="3"/>
        <v>160.11</v>
      </c>
      <c r="O37" s="261">
        <f>SWITCH('Summary &amp; Instructions'!$K$26,"Calculated", D37*Reference!$B$5*Reference!$B$6, "Manual entries",I37)</f>
        <v>0</v>
      </c>
      <c r="P37" s="262">
        <f>MAX(K37+(O37*Reference!$B$18)-(D37*N37),0)</f>
        <v>0</v>
      </c>
      <c r="Q37" s="166">
        <f>IF(J37,'Summary &amp; Instructions'!$C$39/ (J$84+ESPP!$N$26), 0)</f>
        <v>0</v>
      </c>
      <c r="R37" s="247">
        <f>IF(J37,(Reference!$B$23 - V37) * Q37, 0)</f>
        <v>0</v>
      </c>
      <c r="S37" s="248">
        <f t="shared" si="4"/>
        <v>0</v>
      </c>
      <c r="T37" s="265">
        <f>IF(DATEDIF(C37,Reference!$B$28,"Y")&gt;=1,0,S37+R37)</f>
        <v>0</v>
      </c>
      <c r="U37" s="250">
        <f>IF(DATEDIF(C37,Reference!$B$28,"Y")&gt;=1,S37+R37,0)</f>
        <v>0</v>
      </c>
      <c r="V37" s="251">
        <f>iferror(((N37*D37) - K37 + S37)/SWITCH('Summary &amp; Instructions'!$K$26, "Calculated", O37, "Manual entries", I37), 0)</f>
        <v>0</v>
      </c>
      <c r="W37" s="171">
        <f>(Reference!$B$10-V37)*((SWITCH('Summary &amp; Instructions'!$K$26, "Calculated", O37, "Manual entries", I37)) - Q37)</f>
        <v>0</v>
      </c>
      <c r="X37" s="171">
        <f t="shared" si="5"/>
        <v>0</v>
      </c>
      <c r="Y37" s="266">
        <f t="shared" si="6"/>
        <v>0</v>
      </c>
    </row>
    <row r="38">
      <c r="A38" s="273"/>
      <c r="B38" s="267"/>
      <c r="C38" s="158">
        <v>43647.0</v>
      </c>
      <c r="D38" s="254">
        <v>0.0</v>
      </c>
      <c r="E38" s="268">
        <v>168.77</v>
      </c>
      <c r="F38" s="269">
        <v>0.0</v>
      </c>
      <c r="G38" s="260">
        <f t="shared" si="1"/>
        <v>0</v>
      </c>
      <c r="H38" s="258">
        <f t="shared" si="2"/>
        <v>0</v>
      </c>
      <c r="I38" s="163">
        <v>0.0</v>
      </c>
      <c r="J38" s="270" t="b">
        <v>0</v>
      </c>
      <c r="K38" s="257">
        <f>Reference!$B$4*Reference!$B$3*D38</f>
        <v>0</v>
      </c>
      <c r="L38" s="260">
        <f>IF(C38&lt;Reference!$B$26,Reference!$C$26,0)</f>
        <v>0</v>
      </c>
      <c r="M38" s="260">
        <f>IF(C38&lt;Reference!$B$27,Reference!$C$27,0)</f>
        <v>16.87</v>
      </c>
      <c r="N38" s="260">
        <f t="shared" si="3"/>
        <v>151.9</v>
      </c>
      <c r="O38" s="261">
        <f>SWITCH('Summary &amp; Instructions'!$K$26,"Calculated", D38*Reference!$B$5*Reference!$B$6, "Manual entries",I38)</f>
        <v>0</v>
      </c>
      <c r="P38" s="262">
        <f>MAX(K38+(O38*Reference!$B$18)-(D38*N38),0)</f>
        <v>0</v>
      </c>
      <c r="Q38" s="166">
        <f>IF(J38,'Summary &amp; Instructions'!$C$39/ (J$84+ESPP!$N$26), 0)</f>
        <v>0</v>
      </c>
      <c r="R38" s="247">
        <f>IF(J38,(Reference!$B$23 - V38) * Q38, 0)</f>
        <v>0</v>
      </c>
      <c r="S38" s="248">
        <f t="shared" si="4"/>
        <v>0</v>
      </c>
      <c r="T38" s="265">
        <f>IF(DATEDIF(C38,Reference!$B$28,"Y")&gt;=1,0,S38+R38)</f>
        <v>0</v>
      </c>
      <c r="U38" s="250">
        <f>IF(DATEDIF(C38,Reference!$B$28,"Y")&gt;=1,S38+R38,0)</f>
        <v>0</v>
      </c>
      <c r="V38" s="251">
        <f>iferror(((N38*D38) - K38 + S38)/SWITCH('Summary &amp; Instructions'!$K$26, "Calculated", O38, "Manual entries", I38), 0)</f>
        <v>0</v>
      </c>
      <c r="W38" s="171">
        <f>(Reference!$B$10-V38)*((SWITCH('Summary &amp; Instructions'!$K$26, "Calculated", O38, "Manual entries", I38)) - Q38)</f>
        <v>0</v>
      </c>
      <c r="X38" s="171">
        <f t="shared" si="5"/>
        <v>0</v>
      </c>
      <c r="Y38" s="266">
        <f t="shared" si="6"/>
        <v>0</v>
      </c>
    </row>
    <row r="39">
      <c r="A39" s="273"/>
      <c r="B39" s="267"/>
      <c r="C39" s="158">
        <v>43770.0</v>
      </c>
      <c r="D39" s="254">
        <v>0.0</v>
      </c>
      <c r="E39" s="268">
        <v>163.06</v>
      </c>
      <c r="F39" s="269">
        <v>0.0</v>
      </c>
      <c r="G39" s="260">
        <f t="shared" si="1"/>
        <v>0</v>
      </c>
      <c r="H39" s="258">
        <f t="shared" si="2"/>
        <v>0</v>
      </c>
      <c r="I39" s="163">
        <v>0.0</v>
      </c>
      <c r="J39" s="270" t="b">
        <v>0</v>
      </c>
      <c r="K39" s="257">
        <f>Reference!$B$4*Reference!$B$3*D39</f>
        <v>0</v>
      </c>
      <c r="L39" s="260">
        <f>IF(C39&lt;Reference!$B$26,Reference!$C$26,0)</f>
        <v>0</v>
      </c>
      <c r="M39" s="260">
        <f>IF(C39&lt;Reference!$B$27,Reference!$C$27,0)</f>
        <v>16.87</v>
      </c>
      <c r="N39" s="260">
        <f t="shared" si="3"/>
        <v>146.19</v>
      </c>
      <c r="O39" s="261">
        <f>SWITCH('Summary &amp; Instructions'!$K$26,"Calculated", D39*Reference!$B$5*Reference!$B$6, "Manual entries",I39)</f>
        <v>0</v>
      </c>
      <c r="P39" s="262">
        <f>MAX(K39+(O39*Reference!$B$18)-(D39*N39),0)</f>
        <v>0</v>
      </c>
      <c r="Q39" s="166">
        <f>IF(J39,'Summary &amp; Instructions'!$C$39/ (J$84+ESPP!$N$26), 0)</f>
        <v>0</v>
      </c>
      <c r="R39" s="247">
        <f>IF(J39,(Reference!$B$23 - V39) * Q39, 0)</f>
        <v>0</v>
      </c>
      <c r="S39" s="248">
        <f t="shared" si="4"/>
        <v>0</v>
      </c>
      <c r="T39" s="265">
        <f>IF(DATEDIF(C39,Reference!$B$28,"Y")&gt;=1,0,S39+R39)</f>
        <v>0</v>
      </c>
      <c r="U39" s="250">
        <f>IF(DATEDIF(C39,Reference!$B$28,"Y")&gt;=1,S39+R39,0)</f>
        <v>0</v>
      </c>
      <c r="V39" s="251">
        <f>iferror(((N39*D39) - K39 + S39)/SWITCH('Summary &amp; Instructions'!$K$26, "Calculated", O39, "Manual entries", I39), 0)</f>
        <v>0</v>
      </c>
      <c r="W39" s="171">
        <f>(Reference!$B$10-V39)*((SWITCH('Summary &amp; Instructions'!$K$26, "Calculated", O39, "Manual entries", I39)) - Q39)</f>
        <v>0</v>
      </c>
      <c r="X39" s="171">
        <f t="shared" si="5"/>
        <v>0</v>
      </c>
      <c r="Y39" s="266">
        <f t="shared" si="6"/>
        <v>0</v>
      </c>
    </row>
    <row r="40">
      <c r="A40" s="273"/>
      <c r="B40" s="267"/>
      <c r="C40" s="158">
        <v>43800.0</v>
      </c>
      <c r="D40" s="254">
        <v>0.0</v>
      </c>
      <c r="E40" s="268">
        <v>155.62</v>
      </c>
      <c r="F40" s="269">
        <v>0.0</v>
      </c>
      <c r="G40" s="260">
        <f t="shared" si="1"/>
        <v>0</v>
      </c>
      <c r="H40" s="258">
        <f t="shared" si="2"/>
        <v>0</v>
      </c>
      <c r="I40" s="163">
        <v>0.0</v>
      </c>
      <c r="J40" s="270" t="b">
        <v>0</v>
      </c>
      <c r="K40" s="257">
        <f>Reference!$B$4*Reference!$B$3*D40</f>
        <v>0</v>
      </c>
      <c r="L40" s="260">
        <f>IF(C40&lt;Reference!$B$26,Reference!$C$26,0)</f>
        <v>0</v>
      </c>
      <c r="M40" s="260">
        <f>IF(C40&lt;Reference!$B$27,Reference!$C$27,0)</f>
        <v>16.87</v>
      </c>
      <c r="N40" s="260">
        <f t="shared" si="3"/>
        <v>138.75</v>
      </c>
      <c r="O40" s="261">
        <f>SWITCH('Summary &amp; Instructions'!$K$26,"Calculated", D40*Reference!$B$5*Reference!$B$6, "Manual entries",I40)</f>
        <v>0</v>
      </c>
      <c r="P40" s="262">
        <f>MAX(K40+(O40*Reference!$B$18)-(D40*N40),0)</f>
        <v>0</v>
      </c>
      <c r="Q40" s="166">
        <f>IF(J40,'Summary &amp; Instructions'!$C$39/ (J$84+ESPP!$N$26), 0)</f>
        <v>0</v>
      </c>
      <c r="R40" s="247">
        <f>IF(J40,(Reference!$B$23 - V40) * Q40, 0)</f>
        <v>0</v>
      </c>
      <c r="S40" s="248">
        <f t="shared" si="4"/>
        <v>0</v>
      </c>
      <c r="T40" s="265">
        <f>IF(DATEDIF(C40,Reference!$B$28,"Y")&gt;=1,0,S40+R40)</f>
        <v>0</v>
      </c>
      <c r="U40" s="250">
        <f>IF(DATEDIF(C40,Reference!$B$28,"Y")&gt;=1,S40+R40,0)</f>
        <v>0</v>
      </c>
      <c r="V40" s="251">
        <f>iferror(((N40*D40) - K40 + S40)/SWITCH('Summary &amp; Instructions'!$K$26, "Calculated", O40, "Manual entries", I40), 0)</f>
        <v>0</v>
      </c>
      <c r="W40" s="171">
        <f>(Reference!$B$10-V40)*((SWITCH('Summary &amp; Instructions'!$K$26, "Calculated", O40, "Manual entries", I40)) - Q40)</f>
        <v>0</v>
      </c>
      <c r="X40" s="171">
        <f t="shared" si="5"/>
        <v>0</v>
      </c>
      <c r="Y40" s="266">
        <f t="shared" si="6"/>
        <v>0</v>
      </c>
    </row>
    <row r="41">
      <c r="A41" s="273"/>
      <c r="B41" s="267"/>
      <c r="C41" s="158">
        <v>43831.0</v>
      </c>
      <c r="D41" s="254">
        <v>0.0</v>
      </c>
      <c r="E41" s="268">
        <v>151.79</v>
      </c>
      <c r="F41" s="269">
        <v>0.0</v>
      </c>
      <c r="G41" s="260">
        <f t="shared" si="1"/>
        <v>0</v>
      </c>
      <c r="H41" s="258">
        <f t="shared" si="2"/>
        <v>0</v>
      </c>
      <c r="I41" s="163">
        <v>0.0</v>
      </c>
      <c r="J41" s="270" t="b">
        <v>0</v>
      </c>
      <c r="K41" s="257">
        <f>Reference!$B$4*Reference!$B$3*D41</f>
        <v>0</v>
      </c>
      <c r="L41" s="260">
        <f>IF(C41&lt;Reference!$B$26,Reference!$C$26,0)</f>
        <v>0</v>
      </c>
      <c r="M41" s="260">
        <f>IF(C41&lt;Reference!$B$27,Reference!$C$27,0)</f>
        <v>16.87</v>
      </c>
      <c r="N41" s="260">
        <f t="shared" si="3"/>
        <v>134.92</v>
      </c>
      <c r="O41" s="261">
        <f>SWITCH('Summary &amp; Instructions'!$K$26,"Calculated", D41*Reference!$B$5*Reference!$B$6, "Manual entries",I41)</f>
        <v>0</v>
      </c>
      <c r="P41" s="262">
        <f>MAX(K41+(O41*Reference!$B$18)-(D41*N41),0)</f>
        <v>0</v>
      </c>
      <c r="Q41" s="166">
        <f>IF(J41,'Summary &amp; Instructions'!$C$39/ (J$84+ESPP!$N$26), 0)</f>
        <v>0</v>
      </c>
      <c r="R41" s="247">
        <f>IF(J41,(Reference!$B$23 - V41) * Q41, 0)</f>
        <v>0</v>
      </c>
      <c r="S41" s="248">
        <f t="shared" si="4"/>
        <v>0</v>
      </c>
      <c r="T41" s="265">
        <f>IF(DATEDIF(C41,Reference!$B$28,"Y")&gt;=1,0,S41+R41)</f>
        <v>0</v>
      </c>
      <c r="U41" s="250">
        <f>IF(DATEDIF(C41,Reference!$B$28,"Y")&gt;=1,S41+R41,0)</f>
        <v>0</v>
      </c>
      <c r="V41" s="251">
        <f>iferror(((N41*D41) - K41 + S41)/SWITCH('Summary &amp; Instructions'!$K$26, "Calculated", O41, "Manual entries", I41), 0)</f>
        <v>0</v>
      </c>
      <c r="W41" s="171">
        <f>(Reference!$B$10-V41)*((SWITCH('Summary &amp; Instructions'!$K$26, "Calculated", O41, "Manual entries", I41)) - Q41)</f>
        <v>0</v>
      </c>
      <c r="X41" s="171">
        <f t="shared" si="5"/>
        <v>0</v>
      </c>
      <c r="Y41" s="266">
        <f t="shared" si="6"/>
        <v>0</v>
      </c>
    </row>
    <row r="42">
      <c r="A42" s="273"/>
      <c r="B42" s="267"/>
      <c r="C42" s="158">
        <v>43862.0</v>
      </c>
      <c r="D42" s="254">
        <v>0.0</v>
      </c>
      <c r="E42" s="41">
        <v>148.06</v>
      </c>
      <c r="F42" s="269">
        <v>0.0</v>
      </c>
      <c r="G42" s="260">
        <f t="shared" si="1"/>
        <v>0</v>
      </c>
      <c r="H42" s="258">
        <f t="shared" si="2"/>
        <v>0</v>
      </c>
      <c r="I42" s="163">
        <v>0.0</v>
      </c>
      <c r="J42" s="270" t="b">
        <v>0</v>
      </c>
      <c r="K42" s="257">
        <f>Reference!$B$4*Reference!$B$3*D42</f>
        <v>0</v>
      </c>
      <c r="L42" s="260">
        <f>IF(C42&lt;Reference!$B$26,Reference!$C$26,0)</f>
        <v>0</v>
      </c>
      <c r="M42" s="260">
        <f>IF(C42&lt;Reference!$B$27,Reference!$C$27,0)</f>
        <v>16.87</v>
      </c>
      <c r="N42" s="260">
        <f t="shared" si="3"/>
        <v>131.19</v>
      </c>
      <c r="O42" s="261">
        <f>SWITCH('Summary &amp; Instructions'!$K$26,"Calculated", D42*Reference!$B$5*Reference!$B$6, "Manual entries",I42)</f>
        <v>0</v>
      </c>
      <c r="P42" s="262">
        <f>MAX(K42+(O42*Reference!$B$18)-(D42*N42),0)</f>
        <v>0</v>
      </c>
      <c r="Q42" s="166">
        <f>IF(J42,'Summary &amp; Instructions'!$C$39/ (J$84+ESPP!$N$26), 0)</f>
        <v>0</v>
      </c>
      <c r="R42" s="247">
        <f>IF(J42,(Reference!$B$23 - V42) * Q42, 0)</f>
        <v>0</v>
      </c>
      <c r="S42" s="248">
        <f t="shared" si="4"/>
        <v>0</v>
      </c>
      <c r="T42" s="265">
        <f>IF(DATEDIF(C42,Reference!$B$28,"Y")&gt;=1,0,S42+R42)</f>
        <v>0</v>
      </c>
      <c r="U42" s="250">
        <f>IF(DATEDIF(C42,Reference!$B$28,"Y")&gt;=1,S42+R42,0)</f>
        <v>0</v>
      </c>
      <c r="V42" s="251">
        <f>iferror(((N42*D42) - K42 + S42)/SWITCH('Summary &amp; Instructions'!$K$26, "Calculated", O42, "Manual entries", I42), 0)</f>
        <v>0</v>
      </c>
      <c r="W42" s="171">
        <f>(Reference!$B$10-V42)*((SWITCH('Summary &amp; Instructions'!$K$26, "Calculated", O42, "Manual entries", I42)) - Q42)</f>
        <v>0</v>
      </c>
      <c r="X42" s="171">
        <f t="shared" si="5"/>
        <v>0</v>
      </c>
      <c r="Y42" s="266">
        <f t="shared" si="6"/>
        <v>0</v>
      </c>
    </row>
    <row r="43">
      <c r="A43" s="273"/>
      <c r="B43" s="267"/>
      <c r="C43" s="274">
        <v>43891.0</v>
      </c>
      <c r="D43" s="254">
        <v>0.0</v>
      </c>
      <c r="E43" s="41">
        <v>120.52</v>
      </c>
      <c r="F43" s="269">
        <v>0.0</v>
      </c>
      <c r="G43" s="260">
        <f t="shared" si="1"/>
        <v>0</v>
      </c>
      <c r="H43" s="258">
        <f t="shared" si="2"/>
        <v>0</v>
      </c>
      <c r="I43" s="163">
        <v>0.0</v>
      </c>
      <c r="J43" s="270" t="b">
        <v>0</v>
      </c>
      <c r="K43" s="257">
        <f>Reference!$B$4*Reference!$B$3*D43</f>
        <v>0</v>
      </c>
      <c r="L43" s="260">
        <f>IF(C43&lt;Reference!$B$26,Reference!$C$26,0)</f>
        <v>0</v>
      </c>
      <c r="M43" s="260">
        <f>IF(C43&lt;Reference!$B$27,Reference!$C$27,0)</f>
        <v>16.87</v>
      </c>
      <c r="N43" s="260">
        <f t="shared" si="3"/>
        <v>103.65</v>
      </c>
      <c r="O43" s="261">
        <f>SWITCH('Summary &amp; Instructions'!$K$26,"Calculated", D43*Reference!$B$5*Reference!$B$6, "Manual entries",I43)</f>
        <v>0</v>
      </c>
      <c r="P43" s="262">
        <f>MAX(K43+(O43*Reference!$B$18)-(D43*N43),0)</f>
        <v>0</v>
      </c>
      <c r="Q43" s="166">
        <f>IF(J43,'Summary &amp; Instructions'!$C$39/ (J$84+ESPP!$N$26), 0)</f>
        <v>0</v>
      </c>
      <c r="R43" s="247">
        <f>IF(J43,(Reference!$B$23 - V43) * Q43, 0)</f>
        <v>0</v>
      </c>
      <c r="S43" s="248">
        <f t="shared" si="4"/>
        <v>0</v>
      </c>
      <c r="T43" s="265">
        <f>IF(DATEDIF(C43,Reference!$B$28,"Y")&gt;=1,0,S43+R43)</f>
        <v>0</v>
      </c>
      <c r="U43" s="250">
        <f>IF(DATEDIF(C43,Reference!$B$28,"Y")&gt;=1,S43+R43,0)</f>
        <v>0</v>
      </c>
      <c r="V43" s="251">
        <f>iferror(((N43*D43) - K43 + S43)/SWITCH('Summary &amp; Instructions'!$K$26, "Calculated", O43, "Manual entries", I43), 0)</f>
        <v>0</v>
      </c>
      <c r="W43" s="171">
        <f>(Reference!$B$10-V43)*((SWITCH('Summary &amp; Instructions'!$K$26, "Calculated", O43, "Manual entries", I43)) - Q43)</f>
        <v>0</v>
      </c>
      <c r="X43" s="171">
        <f t="shared" si="5"/>
        <v>0</v>
      </c>
      <c r="Y43" s="266">
        <f t="shared" si="6"/>
        <v>0</v>
      </c>
    </row>
    <row r="44">
      <c r="A44" s="273"/>
      <c r="B44" s="267"/>
      <c r="C44" s="158">
        <v>43952.0</v>
      </c>
      <c r="D44" s="254">
        <v>0.0</v>
      </c>
      <c r="E44" s="268">
        <v>125.34</v>
      </c>
      <c r="F44" s="269">
        <v>0.0</v>
      </c>
      <c r="G44" s="260">
        <f t="shared" si="1"/>
        <v>0</v>
      </c>
      <c r="H44" s="258">
        <f t="shared" si="2"/>
        <v>0</v>
      </c>
      <c r="I44" s="163">
        <v>0.0</v>
      </c>
      <c r="J44" s="270" t="b">
        <v>0</v>
      </c>
      <c r="K44" s="257">
        <f>Reference!$B$4*Reference!$B$3*D44</f>
        <v>0</v>
      </c>
      <c r="L44" s="260">
        <f>IF(C44&lt;Reference!$B$26,Reference!$C$26,0)</f>
        <v>0</v>
      </c>
      <c r="M44" s="260">
        <f>IF(C44&lt;Reference!$B$27,Reference!$C$27,0)</f>
        <v>16.87</v>
      </c>
      <c r="N44" s="260">
        <f t="shared" si="3"/>
        <v>108.47</v>
      </c>
      <c r="O44" s="261">
        <f>SWITCH('Summary &amp; Instructions'!$K$26,"Calculated", D44*Reference!$B$5*Reference!$B$6, "Manual entries",I44)</f>
        <v>0</v>
      </c>
      <c r="P44" s="262">
        <f>MAX(K44+(O44*Reference!$B$18)-(D44*N44),0)</f>
        <v>0</v>
      </c>
      <c r="Q44" s="166">
        <f>IF(J44,'Summary &amp; Instructions'!$C$39/ (J$84+ESPP!$N$26), 0)</f>
        <v>0</v>
      </c>
      <c r="R44" s="247">
        <f>IF(J44,(Reference!$B$23 - V44) * Q44, 0)</f>
        <v>0</v>
      </c>
      <c r="S44" s="248">
        <f t="shared" si="4"/>
        <v>0</v>
      </c>
      <c r="T44" s="265">
        <f>IF(DATEDIF(C44,Reference!$B$28,"Y")&gt;=1,0,S44+R44)</f>
        <v>0</v>
      </c>
      <c r="U44" s="250">
        <f>IF(DATEDIF(C44,Reference!$B$28,"Y")&gt;=1,S44+R44,0)</f>
        <v>0</v>
      </c>
      <c r="V44" s="251">
        <f>iferror(((N44*D44) - K44 + S44)/SWITCH('Summary &amp; Instructions'!$K$26, "Calculated", O44, "Manual entries", I44), 0)</f>
        <v>0</v>
      </c>
      <c r="W44" s="171">
        <f>(Reference!$B$10-V44)*((SWITCH('Summary &amp; Instructions'!$K$26, "Calculated", O44, "Manual entries", I44)) - Q44)</f>
        <v>0</v>
      </c>
      <c r="X44" s="171">
        <f t="shared" si="5"/>
        <v>0</v>
      </c>
      <c r="Y44" s="266">
        <f t="shared" si="6"/>
        <v>0</v>
      </c>
    </row>
    <row r="45">
      <c r="A45" s="253"/>
      <c r="B45" s="267"/>
      <c r="C45" s="158">
        <v>43983.0</v>
      </c>
      <c r="D45" s="254">
        <v>0.0</v>
      </c>
      <c r="E45" s="268">
        <v>154.14</v>
      </c>
      <c r="F45" s="269">
        <v>0.0</v>
      </c>
      <c r="G45" s="260">
        <f t="shared" si="1"/>
        <v>0</v>
      </c>
      <c r="H45" s="258">
        <f t="shared" si="2"/>
        <v>0</v>
      </c>
      <c r="I45" s="163">
        <v>0.0</v>
      </c>
      <c r="J45" s="270" t="b">
        <v>0</v>
      </c>
      <c r="K45" s="257">
        <f>Reference!$B$4*Reference!$B$3*D45</f>
        <v>0</v>
      </c>
      <c r="L45" s="260">
        <f>IF(C45&lt;Reference!$B$26,Reference!$C$26,0)</f>
        <v>0</v>
      </c>
      <c r="M45" s="260">
        <f>IF(C45&lt;Reference!$B$27,Reference!$C$27,0)</f>
        <v>16.87</v>
      </c>
      <c r="N45" s="260">
        <f t="shared" si="3"/>
        <v>137.27</v>
      </c>
      <c r="O45" s="261">
        <f>SWITCH('Summary &amp; Instructions'!$K$26,"Calculated", D45*Reference!$B$5*Reference!$B$6, "Manual entries",I45)</f>
        <v>0</v>
      </c>
      <c r="P45" s="262">
        <f>MAX(K45+(O45*Reference!$B$18)-(D45*N45),0)</f>
        <v>0</v>
      </c>
      <c r="Q45" s="166">
        <f>IF(J45,'Summary &amp; Instructions'!$C$39/ (J$84+ESPP!$N$26), 0)</f>
        <v>0</v>
      </c>
      <c r="R45" s="247">
        <f>IF(J45,(Reference!$B$23 - V45) * Q45, 0)</f>
        <v>0</v>
      </c>
      <c r="S45" s="248">
        <f t="shared" si="4"/>
        <v>0</v>
      </c>
      <c r="T45" s="265">
        <f>IF(DATEDIF(C45,Reference!$B$28,"Y")&gt;=1,0,S45+R45)</f>
        <v>0</v>
      </c>
      <c r="U45" s="250">
        <f>IF(DATEDIF(C45,Reference!$B$28,"Y")&gt;=1,S45+R45,0)</f>
        <v>0</v>
      </c>
      <c r="V45" s="251">
        <f>iferror(((N45*D45) - K45 + S45)/SWITCH('Summary &amp; Instructions'!$K$26, "Calculated", O45, "Manual entries", I45), 0)</f>
        <v>0</v>
      </c>
      <c r="W45" s="171">
        <f>(Reference!$B$10-V45)*((SWITCH('Summary &amp; Instructions'!$K$26, "Calculated", O45, "Manual entries", I45)) - Q45)</f>
        <v>0</v>
      </c>
      <c r="X45" s="171">
        <f t="shared" si="5"/>
        <v>0</v>
      </c>
      <c r="Y45" s="266">
        <f t="shared" si="6"/>
        <v>0</v>
      </c>
    </row>
    <row r="46">
      <c r="A46" s="273"/>
      <c r="B46" s="267"/>
      <c r="C46" s="158">
        <v>43983.0</v>
      </c>
      <c r="D46" s="254">
        <v>0.0</v>
      </c>
      <c r="E46" s="268">
        <v>154.14</v>
      </c>
      <c r="F46" s="269">
        <v>0.0</v>
      </c>
      <c r="G46" s="260">
        <f t="shared" si="1"/>
        <v>0</v>
      </c>
      <c r="H46" s="258">
        <f t="shared" si="2"/>
        <v>0</v>
      </c>
      <c r="I46" s="163">
        <v>0.0</v>
      </c>
      <c r="J46" s="270" t="b">
        <v>0</v>
      </c>
      <c r="K46" s="257">
        <f>Reference!$B$4*Reference!$B$3*D46</f>
        <v>0</v>
      </c>
      <c r="L46" s="260">
        <f>IF(C46&lt;Reference!$B$26,Reference!$C$26,0)</f>
        <v>0</v>
      </c>
      <c r="M46" s="260">
        <f>IF(C46&lt;Reference!$B$27,Reference!$C$27,0)</f>
        <v>16.87</v>
      </c>
      <c r="N46" s="260">
        <f t="shared" si="3"/>
        <v>137.27</v>
      </c>
      <c r="O46" s="261">
        <f>SWITCH('Summary &amp; Instructions'!$K$26,"Calculated", D46*Reference!$B$5*Reference!$B$6, "Manual entries",I46)</f>
        <v>0</v>
      </c>
      <c r="P46" s="262">
        <f>MAX(K46+(O46*Reference!$B$18)-(D46*N46),0)</f>
        <v>0</v>
      </c>
      <c r="Q46" s="166">
        <f>IF(J46,'Summary &amp; Instructions'!$C$39/ (J$84+ESPP!$N$26), 0)</f>
        <v>0</v>
      </c>
      <c r="R46" s="247">
        <f>IF(J46,(Reference!$B$23 - V46) * Q46, 0)</f>
        <v>0</v>
      </c>
      <c r="S46" s="248">
        <f t="shared" si="4"/>
        <v>0</v>
      </c>
      <c r="T46" s="265">
        <f>IF(DATEDIF(C46,Reference!$B$28,"Y")&gt;=1,0,S46+R46)</f>
        <v>0</v>
      </c>
      <c r="U46" s="250">
        <f>IF(DATEDIF(C46,Reference!$B$28,"Y")&gt;=1,S46+R46,0)</f>
        <v>0</v>
      </c>
      <c r="V46" s="251">
        <f>iferror(((N46*D46) - K46 + S46)/SWITCH('Summary &amp; Instructions'!$K$26, "Calculated", O46, "Manual entries", I46), 0)</f>
        <v>0</v>
      </c>
      <c r="W46" s="171">
        <f>(Reference!$B$10-V46)*((SWITCH('Summary &amp; Instructions'!$K$26, "Calculated", O46, "Manual entries", I46)) - Q46)</f>
        <v>0</v>
      </c>
      <c r="X46" s="171">
        <f t="shared" si="5"/>
        <v>0</v>
      </c>
      <c r="Y46" s="266">
        <f t="shared" si="6"/>
        <v>0</v>
      </c>
    </row>
    <row r="47">
      <c r="A47" s="273"/>
      <c r="B47" s="267"/>
      <c r="C47" s="158">
        <v>44013.0</v>
      </c>
      <c r="D47" s="254">
        <v>0.0</v>
      </c>
      <c r="E47" s="268">
        <v>153.1</v>
      </c>
      <c r="F47" s="269">
        <v>0.0</v>
      </c>
      <c r="G47" s="260">
        <f t="shared" si="1"/>
        <v>0</v>
      </c>
      <c r="H47" s="258">
        <f t="shared" si="2"/>
        <v>0</v>
      </c>
      <c r="I47" s="163">
        <v>0.0</v>
      </c>
      <c r="J47" s="270" t="b">
        <v>0</v>
      </c>
      <c r="K47" s="257">
        <f>Reference!$B$4*Reference!$B$3*D47</f>
        <v>0</v>
      </c>
      <c r="L47" s="260">
        <f>IF(C47&lt;Reference!$B$26,Reference!$C$26,0)</f>
        <v>0</v>
      </c>
      <c r="M47" s="260">
        <f>IF(C47&lt;Reference!$B$27,Reference!$C$27,0)</f>
        <v>16.87</v>
      </c>
      <c r="N47" s="260">
        <f t="shared" si="3"/>
        <v>136.23</v>
      </c>
      <c r="O47" s="261">
        <f>SWITCH('Summary &amp; Instructions'!$K$26,"Calculated", D47*Reference!$B$5*Reference!$B$6, "Manual entries",I47)</f>
        <v>0</v>
      </c>
      <c r="P47" s="262">
        <f>MAX(K47+(O47*Reference!$B$18)-(D47*N47),0)</f>
        <v>0</v>
      </c>
      <c r="Q47" s="166">
        <f>IF(J47,'Summary &amp; Instructions'!$C$39/ (J$84+ESPP!$N$26), 0)</f>
        <v>0</v>
      </c>
      <c r="R47" s="247">
        <f>IF(J47,(Reference!$B$23 - V47) * Q47, 0)</f>
        <v>0</v>
      </c>
      <c r="S47" s="248">
        <f t="shared" si="4"/>
        <v>0</v>
      </c>
      <c r="T47" s="265">
        <f>IF(DATEDIF(C47,Reference!$B$28,"Y")&gt;=1,0,S47+R47)</f>
        <v>0</v>
      </c>
      <c r="U47" s="250">
        <f>IF(DATEDIF(C47,Reference!$B$28,"Y")&gt;=1,S47+R47,0)</f>
        <v>0</v>
      </c>
      <c r="V47" s="251">
        <f>iferror(((N47*D47) - K47 + S47)/SWITCH('Summary &amp; Instructions'!$K$26, "Calculated", O47, "Manual entries", I47), 0)</f>
        <v>0</v>
      </c>
      <c r="W47" s="171">
        <f>(Reference!$B$10-V47)*((SWITCH('Summary &amp; Instructions'!$K$26, "Calculated", O47, "Manual entries", I47)) - Q47)</f>
        <v>0</v>
      </c>
      <c r="X47" s="171">
        <f t="shared" si="5"/>
        <v>0</v>
      </c>
      <c r="Y47" s="266">
        <f t="shared" si="6"/>
        <v>0</v>
      </c>
    </row>
    <row r="48">
      <c r="A48" s="273"/>
      <c r="B48" s="267"/>
      <c r="C48" s="274">
        <v>44075.0</v>
      </c>
      <c r="D48" s="254">
        <v>0.0</v>
      </c>
      <c r="E48" s="268">
        <v>141.28</v>
      </c>
      <c r="F48" s="269">
        <v>0.0</v>
      </c>
      <c r="G48" s="260">
        <f t="shared" si="1"/>
        <v>0</v>
      </c>
      <c r="H48" s="258">
        <f t="shared" si="2"/>
        <v>0</v>
      </c>
      <c r="I48" s="163">
        <v>0.0</v>
      </c>
      <c r="J48" s="270" t="b">
        <v>0</v>
      </c>
      <c r="K48" s="257">
        <f>Reference!$B$4*Reference!$B$3*D48</f>
        <v>0</v>
      </c>
      <c r="L48" s="260">
        <f>IF(C48&lt;Reference!$B$26,Reference!$C$26,0)</f>
        <v>0</v>
      </c>
      <c r="M48" s="260">
        <f>IF(C48&lt;Reference!$B$27,Reference!$C$27,0)</f>
        <v>16.87</v>
      </c>
      <c r="N48" s="260">
        <f t="shared" si="3"/>
        <v>124.41</v>
      </c>
      <c r="O48" s="261">
        <f>SWITCH('Summary &amp; Instructions'!$K$26,"Calculated", D48*Reference!$B$5*Reference!$B$6, "Manual entries",I48)</f>
        <v>0</v>
      </c>
      <c r="P48" s="262">
        <f>MAX(K48+(O48*Reference!$B$18)-(D48*N48),0)</f>
        <v>0</v>
      </c>
      <c r="Q48" s="166">
        <f>IF(J48,'Summary &amp; Instructions'!$C$39/ (J$84+ESPP!$N$26), 0)</f>
        <v>0</v>
      </c>
      <c r="R48" s="247">
        <f>IF(J48,(Reference!$B$23 - V48) * Q48, 0)</f>
        <v>0</v>
      </c>
      <c r="S48" s="248">
        <f t="shared" si="4"/>
        <v>0</v>
      </c>
      <c r="T48" s="265">
        <f>IF(DATEDIF(C48,Reference!$B$28,"Y")&gt;=1,0,S48+R48)</f>
        <v>0</v>
      </c>
      <c r="U48" s="250">
        <f>IF(DATEDIF(C48,Reference!$B$28,"Y")&gt;=1,S48+R48,0)</f>
        <v>0</v>
      </c>
      <c r="V48" s="251">
        <f>iferror(((N48*D48) - K48 + S48)/SWITCH('Summary &amp; Instructions'!$K$26, "Calculated", O48, "Manual entries", I48), 0)</f>
        <v>0</v>
      </c>
      <c r="W48" s="171">
        <f>(Reference!$B$10-V48)*((SWITCH('Summary &amp; Instructions'!$K$26, "Calculated", O48, "Manual entries", I48)) - Q48)</f>
        <v>0</v>
      </c>
      <c r="X48" s="171">
        <f t="shared" si="5"/>
        <v>0</v>
      </c>
      <c r="Y48" s="266">
        <f t="shared" si="6"/>
        <v>0</v>
      </c>
    </row>
    <row r="49">
      <c r="A49" s="253"/>
      <c r="B49" s="267"/>
      <c r="C49" s="158">
        <v>44166.0</v>
      </c>
      <c r="D49" s="254">
        <v>0.0</v>
      </c>
      <c r="E49" s="268">
        <v>140.75</v>
      </c>
      <c r="F49" s="269">
        <v>0.0</v>
      </c>
      <c r="G49" s="260">
        <f t="shared" si="1"/>
        <v>0</v>
      </c>
      <c r="H49" s="258">
        <f t="shared" si="2"/>
        <v>0</v>
      </c>
      <c r="I49" s="163">
        <v>0.0</v>
      </c>
      <c r="J49" s="270" t="b">
        <v>0</v>
      </c>
      <c r="K49" s="257">
        <f>Reference!$B$4*Reference!$B$3*D49</f>
        <v>0</v>
      </c>
      <c r="L49" s="260">
        <f>IF(C49&lt;Reference!$B$26,Reference!$C$26,0)</f>
        <v>0</v>
      </c>
      <c r="M49" s="260">
        <f>IF(C49&lt;Reference!$B$27,Reference!$C$27,0)</f>
        <v>16.87</v>
      </c>
      <c r="N49" s="260">
        <f t="shared" si="3"/>
        <v>123.88</v>
      </c>
      <c r="O49" s="261">
        <f>SWITCH('Summary &amp; Instructions'!$K$26,"Calculated", D49*Reference!$B$5*Reference!$B$6, "Manual entries",I49)</f>
        <v>0</v>
      </c>
      <c r="P49" s="262">
        <f>MAX(K49+(O49*Reference!$B$18)-(D49*N49),0)</f>
        <v>0</v>
      </c>
      <c r="Q49" s="166">
        <f>IF(J49,'Summary &amp; Instructions'!$C$39/ (J$84+ESPP!$N$26), 0)</f>
        <v>0</v>
      </c>
      <c r="R49" s="247">
        <f>IF(J49,(Reference!$B$23 - V49) * Q49, 0)</f>
        <v>0</v>
      </c>
      <c r="S49" s="248">
        <f t="shared" si="4"/>
        <v>0</v>
      </c>
      <c r="T49" s="265">
        <f>IF(DATEDIF(C49,Reference!$B$28,"Y")&gt;=1,0,S49+R49)</f>
        <v>0</v>
      </c>
      <c r="U49" s="250">
        <f>IF(DATEDIF(C49,Reference!$B$28,"Y")&gt;=1,S49+R49,0)</f>
        <v>0</v>
      </c>
      <c r="V49" s="251">
        <f>iferror(((N49*D49) - K49 + S49)/SWITCH('Summary &amp; Instructions'!$K$26, "Calculated", O49, "Manual entries", I49), 0)</f>
        <v>0</v>
      </c>
      <c r="W49" s="171">
        <f>(Reference!$B$10-V49)*((SWITCH('Summary &amp; Instructions'!$K$26, "Calculated", O49, "Manual entries", I49)) - Q49)</f>
        <v>0</v>
      </c>
      <c r="X49" s="171">
        <f t="shared" si="5"/>
        <v>0</v>
      </c>
      <c r="Y49" s="266">
        <f t="shared" si="6"/>
        <v>0</v>
      </c>
    </row>
    <row r="50">
      <c r="A50" s="273"/>
      <c r="B50" s="267"/>
      <c r="C50" s="158">
        <v>44166.0</v>
      </c>
      <c r="D50" s="254">
        <v>0.0</v>
      </c>
      <c r="E50" s="268">
        <v>140.75</v>
      </c>
      <c r="F50" s="269">
        <v>0.0</v>
      </c>
      <c r="G50" s="260">
        <f t="shared" si="1"/>
        <v>0</v>
      </c>
      <c r="H50" s="258">
        <f t="shared" si="2"/>
        <v>0</v>
      </c>
      <c r="I50" s="163">
        <v>0.0</v>
      </c>
      <c r="J50" s="270" t="b">
        <v>0</v>
      </c>
      <c r="K50" s="257">
        <f>Reference!$B$4*Reference!$B$3*D50</f>
        <v>0</v>
      </c>
      <c r="L50" s="260">
        <f>IF(C50&lt;Reference!$B$26,Reference!$C$26,0)</f>
        <v>0</v>
      </c>
      <c r="M50" s="260">
        <f>IF(C50&lt;Reference!$B$27,Reference!$C$27,0)</f>
        <v>16.87</v>
      </c>
      <c r="N50" s="260">
        <f t="shared" si="3"/>
        <v>123.88</v>
      </c>
      <c r="O50" s="261">
        <f>SWITCH('Summary &amp; Instructions'!$K$26,"Calculated", D50*Reference!$B$5*Reference!$B$6, "Manual entries",I50)</f>
        <v>0</v>
      </c>
      <c r="P50" s="262">
        <f>MAX(K50+(O50*Reference!$B$18)-(D50*N50),0)</f>
        <v>0</v>
      </c>
      <c r="Q50" s="166">
        <f>IF(J50,'Summary &amp; Instructions'!$C$39/ (J$84+ESPP!$N$26), 0)</f>
        <v>0</v>
      </c>
      <c r="R50" s="247">
        <f>IF(J50,(Reference!$B$23 - V50) * Q50, 0)</f>
        <v>0</v>
      </c>
      <c r="S50" s="248">
        <f t="shared" si="4"/>
        <v>0</v>
      </c>
      <c r="T50" s="265">
        <f>IF(DATEDIF(C50,Reference!$B$28,"Y")&gt;=1,0,S50+R50)</f>
        <v>0</v>
      </c>
      <c r="U50" s="250">
        <f>IF(DATEDIF(C50,Reference!$B$28,"Y")&gt;=1,S50+R50,0)</f>
        <v>0</v>
      </c>
      <c r="V50" s="251">
        <f>iferror(((N50*D50) - K50 + S50)/SWITCH('Summary &amp; Instructions'!$K$26, "Calculated", O50, "Manual entries", I50), 0)</f>
        <v>0</v>
      </c>
      <c r="W50" s="171">
        <f>(Reference!$B$10-V50)*((SWITCH('Summary &amp; Instructions'!$K$26, "Calculated", O50, "Manual entries", I50)) - Q50)</f>
        <v>0</v>
      </c>
      <c r="X50" s="171">
        <f t="shared" si="5"/>
        <v>0</v>
      </c>
      <c r="Y50" s="266">
        <f t="shared" si="6"/>
        <v>0</v>
      </c>
    </row>
    <row r="51">
      <c r="A51" s="273"/>
      <c r="B51" s="267"/>
      <c r="C51" s="158">
        <v>44197.0</v>
      </c>
      <c r="D51" s="254">
        <v>0.0</v>
      </c>
      <c r="E51" s="268">
        <v>140.26</v>
      </c>
      <c r="F51" s="269">
        <v>0.0</v>
      </c>
      <c r="G51" s="260">
        <f t="shared" si="1"/>
        <v>0</v>
      </c>
      <c r="H51" s="258">
        <f t="shared" si="2"/>
        <v>0</v>
      </c>
      <c r="I51" s="163">
        <v>0.0</v>
      </c>
      <c r="J51" s="270" t="b">
        <v>0</v>
      </c>
      <c r="K51" s="257">
        <f>Reference!$B$4*Reference!$B$3*D51</f>
        <v>0</v>
      </c>
      <c r="L51" s="260">
        <f>IF(C51&lt;Reference!$B$26,Reference!$C$26,0)</f>
        <v>0</v>
      </c>
      <c r="M51" s="260">
        <f>IF(C51&lt;Reference!$B$27,Reference!$C$27,0)</f>
        <v>16.87</v>
      </c>
      <c r="N51" s="260">
        <f t="shared" si="3"/>
        <v>123.39</v>
      </c>
      <c r="O51" s="261">
        <f>SWITCH('Summary &amp; Instructions'!$K$26,"Calculated", D51*Reference!$B$5*Reference!$B$6, "Manual entries",I51)</f>
        <v>0</v>
      </c>
      <c r="P51" s="262">
        <f>MAX(K51+(O51*Reference!$B$18)-(D51*N51),0)</f>
        <v>0</v>
      </c>
      <c r="Q51" s="166">
        <f>IF(J51,'Summary &amp; Instructions'!$C$39/ (J$84+ESPP!$N$26), 0)</f>
        <v>0</v>
      </c>
      <c r="R51" s="247">
        <f>IF(J51,(Reference!$B$23 - V51) * Q51, 0)</f>
        <v>0</v>
      </c>
      <c r="S51" s="248">
        <f t="shared" si="4"/>
        <v>0</v>
      </c>
      <c r="T51" s="265">
        <f>IF(DATEDIF(C51,Reference!$B$28,"Y")&gt;=1,0,S51+R51)</f>
        <v>0</v>
      </c>
      <c r="U51" s="250">
        <f>IF(DATEDIF(C51,Reference!$B$28,"Y")&gt;=1,S51+R51,0)</f>
        <v>0</v>
      </c>
      <c r="V51" s="251">
        <f>iferror(((N51*D51) - K51 + S51)/SWITCH('Summary &amp; Instructions'!$K$26, "Calculated", O51, "Manual entries", I51), 0)</f>
        <v>0</v>
      </c>
      <c r="W51" s="171">
        <f>(Reference!$B$10-V51)*((SWITCH('Summary &amp; Instructions'!$K$26, "Calculated", O51, "Manual entries", I51)) - Q51)</f>
        <v>0</v>
      </c>
      <c r="X51" s="171">
        <f t="shared" si="5"/>
        <v>0</v>
      </c>
      <c r="Y51" s="266">
        <f t="shared" si="6"/>
        <v>0</v>
      </c>
    </row>
    <row r="52">
      <c r="A52" s="273"/>
      <c r="B52" s="267"/>
      <c r="C52" s="274">
        <v>44256.0</v>
      </c>
      <c r="D52" s="254">
        <v>0.0</v>
      </c>
      <c r="E52" s="268">
        <v>140.41</v>
      </c>
      <c r="F52" s="269">
        <v>0.0</v>
      </c>
      <c r="G52" s="260">
        <f t="shared" si="1"/>
        <v>0</v>
      </c>
      <c r="H52" s="258">
        <f t="shared" si="2"/>
        <v>0</v>
      </c>
      <c r="I52" s="163">
        <v>0.0</v>
      </c>
      <c r="J52" s="270" t="b">
        <v>0</v>
      </c>
      <c r="K52" s="257">
        <f>Reference!$B$4*Reference!$B$3*D52</f>
        <v>0</v>
      </c>
      <c r="L52" s="260">
        <f>IF(C52&lt;Reference!$B$26,Reference!$C$26,0)</f>
        <v>0</v>
      </c>
      <c r="M52" s="260">
        <f>IF(C52&lt;Reference!$B$27,Reference!$C$27,0)</f>
        <v>16.87</v>
      </c>
      <c r="N52" s="260">
        <f t="shared" si="3"/>
        <v>123.54</v>
      </c>
      <c r="O52" s="261">
        <f>SWITCH('Summary &amp; Instructions'!$K$26,"Calculated", D52*Reference!$B$5*Reference!$B$6, "Manual entries",I52)</f>
        <v>0</v>
      </c>
      <c r="P52" s="262">
        <f>MAX(K52+(O52*Reference!$B$18)-(D52*N52),0)</f>
        <v>0</v>
      </c>
      <c r="Q52" s="166">
        <f>IF(J52,'Summary &amp; Instructions'!$C$39/ (J$84+ESPP!$N$26), 0)</f>
        <v>0</v>
      </c>
      <c r="R52" s="247">
        <f>IF(J52,(Reference!$B$23 - V52) * Q52, 0)</f>
        <v>0</v>
      </c>
      <c r="S52" s="248">
        <f t="shared" si="4"/>
        <v>0</v>
      </c>
      <c r="T52" s="265">
        <f>IF(DATEDIF(C52,Reference!$B$28,"Y")&gt;=1,0,S52+R52)</f>
        <v>0</v>
      </c>
      <c r="U52" s="250">
        <f>IF(DATEDIF(C52,Reference!$B$28,"Y")&gt;=1,S52+R52,0)</f>
        <v>0</v>
      </c>
      <c r="V52" s="251">
        <f>iferror(((N52*D52) - K52 + S52)/SWITCH('Summary &amp; Instructions'!$K$26, "Calculated", O52, "Manual entries", I52), 0)</f>
        <v>0</v>
      </c>
      <c r="W52" s="171">
        <f>(Reference!$B$10-V52)*((SWITCH('Summary &amp; Instructions'!$K$26, "Calculated", O52, "Manual entries", I52)) - Q52)</f>
        <v>0</v>
      </c>
      <c r="X52" s="171">
        <f t="shared" si="5"/>
        <v>0</v>
      </c>
      <c r="Y52" s="266">
        <f t="shared" si="6"/>
        <v>0</v>
      </c>
    </row>
    <row r="53">
      <c r="A53" s="253"/>
      <c r="B53" s="267"/>
      <c r="C53" s="158">
        <v>44317.0</v>
      </c>
      <c r="D53" s="254">
        <v>0.0</v>
      </c>
      <c r="E53" s="268">
        <v>160.83</v>
      </c>
      <c r="F53" s="269">
        <v>0.0</v>
      </c>
      <c r="G53" s="260">
        <f t="shared" si="1"/>
        <v>0</v>
      </c>
      <c r="H53" s="258">
        <f t="shared" si="2"/>
        <v>0</v>
      </c>
      <c r="I53" s="163">
        <v>0.0</v>
      </c>
      <c r="J53" s="270" t="b">
        <v>0</v>
      </c>
      <c r="K53" s="257">
        <f>Reference!$B$4*Reference!$B$3*D53</f>
        <v>0</v>
      </c>
      <c r="L53" s="260">
        <f>IF(C53&lt;Reference!$B$26,Reference!$C$26,0)</f>
        <v>0</v>
      </c>
      <c r="M53" s="260">
        <f>IF(C53&lt;Reference!$B$27,Reference!$C$27,0)</f>
        <v>16.87</v>
      </c>
      <c r="N53" s="260">
        <f t="shared" si="3"/>
        <v>143.96</v>
      </c>
      <c r="O53" s="261">
        <f>SWITCH('Summary &amp; Instructions'!$K$26,"Calculated", D53*Reference!$B$5*Reference!$B$6, "Manual entries",I53)</f>
        <v>0</v>
      </c>
      <c r="P53" s="262">
        <f>MAX(K53+(O53*Reference!$B$18)-(D53*N53),0)</f>
        <v>0</v>
      </c>
      <c r="Q53" s="166">
        <f>IF(J53,'Summary &amp; Instructions'!$C$39/ (J$84+ESPP!$N$26), 0)</f>
        <v>0</v>
      </c>
      <c r="R53" s="247">
        <f>IF(J53,(Reference!$B$23 - V53) * Q53, 0)</f>
        <v>0</v>
      </c>
      <c r="S53" s="248">
        <f t="shared" si="4"/>
        <v>0</v>
      </c>
      <c r="T53" s="265">
        <f>IF(DATEDIF(C53,Reference!$B$28,"Y")&gt;=1,0,S53+R53)</f>
        <v>0</v>
      </c>
      <c r="U53" s="250">
        <f>IF(DATEDIF(C53,Reference!$B$28,"Y")&gt;=1,S53+R53,0)</f>
        <v>0</v>
      </c>
      <c r="V53" s="251">
        <f>iferror(((N53*D53) - K53 + S53)/SWITCH('Summary &amp; Instructions'!$K$26, "Calculated", O53, "Manual entries", I53), 0)</f>
        <v>0</v>
      </c>
      <c r="W53" s="171">
        <f>(Reference!$B$10-V53)*((SWITCH('Summary &amp; Instructions'!$K$26, "Calculated", O53, "Manual entries", I53)) - Q53)</f>
        <v>0</v>
      </c>
      <c r="X53" s="171">
        <f t="shared" si="5"/>
        <v>0</v>
      </c>
      <c r="Y53" s="266">
        <f t="shared" si="6"/>
        <v>0</v>
      </c>
    </row>
    <row r="54">
      <c r="A54" s="253"/>
      <c r="B54" s="267"/>
      <c r="C54" s="158">
        <v>44348.0</v>
      </c>
      <c r="D54" s="254">
        <v>0.0</v>
      </c>
      <c r="E54" s="268">
        <v>161.26</v>
      </c>
      <c r="F54" s="269">
        <v>0.0</v>
      </c>
      <c r="G54" s="260">
        <f t="shared" si="1"/>
        <v>0</v>
      </c>
      <c r="H54" s="258">
        <f t="shared" si="2"/>
        <v>0</v>
      </c>
      <c r="I54" s="163">
        <v>0.0</v>
      </c>
      <c r="J54" s="270" t="b">
        <v>0</v>
      </c>
      <c r="K54" s="257">
        <f>Reference!$B$4*Reference!$B$3*D54</f>
        <v>0</v>
      </c>
      <c r="L54" s="260">
        <f>IF(C54&lt;Reference!$B$26,Reference!$C$26,0)</f>
        <v>0</v>
      </c>
      <c r="M54" s="260">
        <f>IF(C54&lt;Reference!$B$27,Reference!$C$27,0)</f>
        <v>16.87</v>
      </c>
      <c r="N54" s="260">
        <f t="shared" si="3"/>
        <v>144.39</v>
      </c>
      <c r="O54" s="261">
        <f>SWITCH('Summary &amp; Instructions'!$K$26,"Calculated", D54*Reference!$B$5*Reference!$B$6, "Manual entries",I54)</f>
        <v>0</v>
      </c>
      <c r="P54" s="262">
        <f>MAX(K54+(O54*Reference!$B$18)-(D54*N54),0)</f>
        <v>0</v>
      </c>
      <c r="Q54" s="166">
        <f>IF(J54,'Summary &amp; Instructions'!$C$39/ (J$84+ESPP!$N$26), 0)</f>
        <v>0</v>
      </c>
      <c r="R54" s="247">
        <f>IF(J54,(Reference!$B$23 - V54) * Q54, 0)</f>
        <v>0</v>
      </c>
      <c r="S54" s="248">
        <f t="shared" si="4"/>
        <v>0</v>
      </c>
      <c r="T54" s="265">
        <f>IF(DATEDIF(C54,Reference!$B$28,"Y")&gt;=1,0,S54+R54)</f>
        <v>0</v>
      </c>
      <c r="U54" s="250">
        <f>IF(DATEDIF(C54,Reference!$B$28,"Y")&gt;=1,S54+R54,0)</f>
        <v>0</v>
      </c>
      <c r="V54" s="251">
        <f>iferror(((N54*D54) - K54 + S54)/SWITCH('Summary &amp; Instructions'!$K$26, "Calculated", O54, "Manual entries", I54), 0)</f>
        <v>0</v>
      </c>
      <c r="W54" s="171">
        <f>(Reference!$B$10-V54)*((SWITCH('Summary &amp; Instructions'!$K$26, "Calculated", O54, "Manual entries", I54)) - Q54)</f>
        <v>0</v>
      </c>
      <c r="X54" s="171">
        <f t="shared" si="5"/>
        <v>0</v>
      </c>
      <c r="Y54" s="266">
        <f t="shared" si="6"/>
        <v>0</v>
      </c>
    </row>
    <row r="55">
      <c r="A55" s="273"/>
      <c r="B55" s="267"/>
      <c r="C55" s="158">
        <v>44348.0</v>
      </c>
      <c r="D55" s="254">
        <v>0.0</v>
      </c>
      <c r="E55" s="268">
        <v>161.26</v>
      </c>
      <c r="F55" s="269">
        <v>0.0</v>
      </c>
      <c r="G55" s="260">
        <f t="shared" si="1"/>
        <v>0</v>
      </c>
      <c r="H55" s="258">
        <f t="shared" si="2"/>
        <v>0</v>
      </c>
      <c r="I55" s="163">
        <v>0.0</v>
      </c>
      <c r="J55" s="270" t="b">
        <v>0</v>
      </c>
      <c r="K55" s="257">
        <f>Reference!$B$4*Reference!$B$3*D55</f>
        <v>0</v>
      </c>
      <c r="L55" s="260">
        <f>IF(C55&lt;Reference!$B$26,Reference!$C$26,0)</f>
        <v>0</v>
      </c>
      <c r="M55" s="260">
        <f>IF(C55&lt;Reference!$B$27,Reference!$C$27,0)</f>
        <v>16.87</v>
      </c>
      <c r="N55" s="260">
        <f t="shared" si="3"/>
        <v>144.39</v>
      </c>
      <c r="O55" s="261">
        <f>SWITCH('Summary &amp; Instructions'!$K$26,"Calculated", D55*Reference!$B$5*Reference!$B$6, "Manual entries",I55)</f>
        <v>0</v>
      </c>
      <c r="P55" s="262">
        <f>MAX(K55+(O55*Reference!$B$18)-(D55*N55),0)</f>
        <v>0</v>
      </c>
      <c r="Q55" s="166">
        <f>IF(J55,'Summary &amp; Instructions'!$C$39/ (J$84+ESPP!$N$26), 0)</f>
        <v>0</v>
      </c>
      <c r="R55" s="247">
        <f>IF(J55,(Reference!$B$23 - V55) * Q55, 0)</f>
        <v>0</v>
      </c>
      <c r="S55" s="248">
        <f t="shared" si="4"/>
        <v>0</v>
      </c>
      <c r="T55" s="265">
        <f>IF(DATEDIF(C55,Reference!$B$28,"Y")&gt;=1,0,S55+R55)</f>
        <v>0</v>
      </c>
      <c r="U55" s="250">
        <f>IF(DATEDIF(C55,Reference!$B$28,"Y")&gt;=1,S55+R55,0)</f>
        <v>0</v>
      </c>
      <c r="V55" s="251">
        <f>iferror(((N55*D55) - K55 + S55)/SWITCH('Summary &amp; Instructions'!$K$26, "Calculated", O55, "Manual entries", I55), 0)</f>
        <v>0</v>
      </c>
      <c r="W55" s="171">
        <f>(Reference!$B$10-V55)*((SWITCH('Summary &amp; Instructions'!$K$26, "Calculated", O55, "Manual entries", I55)) - Q55)</f>
        <v>0</v>
      </c>
      <c r="X55" s="171">
        <f t="shared" si="5"/>
        <v>0</v>
      </c>
      <c r="Y55" s="266">
        <f t="shared" si="6"/>
        <v>0</v>
      </c>
    </row>
    <row r="56">
      <c r="A56" s="273"/>
      <c r="B56" s="267"/>
      <c r="C56" s="158">
        <v>44378.0</v>
      </c>
      <c r="D56" s="254">
        <v>0.0</v>
      </c>
      <c r="E56" s="268">
        <v>156.13</v>
      </c>
      <c r="F56" s="269">
        <v>0.0</v>
      </c>
      <c r="G56" s="260">
        <f t="shared" si="1"/>
        <v>0</v>
      </c>
      <c r="H56" s="258">
        <f t="shared" si="2"/>
        <v>0</v>
      </c>
      <c r="I56" s="163">
        <v>0.0</v>
      </c>
      <c r="J56" s="270" t="b">
        <v>0</v>
      </c>
      <c r="K56" s="257">
        <f>Reference!$B$4*Reference!$B$3*D56</f>
        <v>0</v>
      </c>
      <c r="L56" s="260">
        <f>IF(C56&lt;Reference!$B$26,Reference!$C$26,0)</f>
        <v>0</v>
      </c>
      <c r="M56" s="260">
        <f>IF(C56&lt;Reference!$B$27,Reference!$C$27,0)</f>
        <v>16.87</v>
      </c>
      <c r="N56" s="260">
        <f t="shared" si="3"/>
        <v>139.26</v>
      </c>
      <c r="O56" s="261">
        <f>SWITCH('Summary &amp; Instructions'!$K$26,"Calculated", D56*Reference!$B$5*Reference!$B$6, "Manual entries",I56)</f>
        <v>0</v>
      </c>
      <c r="P56" s="262">
        <f>MAX(K56+(O56*Reference!$B$18)-(D56*N56),0)</f>
        <v>0</v>
      </c>
      <c r="Q56" s="166">
        <f>IF(J56,'Summary &amp; Instructions'!$C$39/ (J$84+ESPP!$N$26), 0)</f>
        <v>0</v>
      </c>
      <c r="R56" s="247">
        <f>IF(J56,(Reference!$B$23 - V56) * Q56, 0)</f>
        <v>0</v>
      </c>
      <c r="S56" s="248">
        <f t="shared" si="4"/>
        <v>0</v>
      </c>
      <c r="T56" s="265">
        <f>IF(DATEDIF(C56,Reference!$B$28,"Y")&gt;=1,0,S56+R56)</f>
        <v>0</v>
      </c>
      <c r="U56" s="250">
        <f>IF(DATEDIF(C56,Reference!$B$28,"Y")&gt;=1,S56+R56,0)</f>
        <v>0</v>
      </c>
      <c r="V56" s="251">
        <f>iferror(((N56*D56) - K56 + S56)/SWITCH('Summary &amp; Instructions'!$K$26, "Calculated", O56, "Manual entries", I56), 0)</f>
        <v>0</v>
      </c>
      <c r="W56" s="171">
        <f>(Reference!$B$10-V56)*((SWITCH('Summary &amp; Instructions'!$K$26, "Calculated", O56, "Manual entries", I56)) - Q56)</f>
        <v>0</v>
      </c>
      <c r="X56" s="171">
        <f t="shared" si="5"/>
        <v>0</v>
      </c>
      <c r="Y56" s="266">
        <f t="shared" si="6"/>
        <v>0</v>
      </c>
    </row>
    <row r="57">
      <c r="A57" s="273"/>
      <c r="B57" s="267"/>
      <c r="C57" s="274">
        <v>44440.0</v>
      </c>
      <c r="D57" s="254">
        <v>0.0</v>
      </c>
      <c r="E57" s="268">
        <v>146.86</v>
      </c>
      <c r="F57" s="269">
        <v>0.0</v>
      </c>
      <c r="G57" s="260">
        <f t="shared" si="1"/>
        <v>0</v>
      </c>
      <c r="H57" s="258">
        <f t="shared" si="2"/>
        <v>0</v>
      </c>
      <c r="I57" s="163">
        <v>0.0</v>
      </c>
      <c r="J57" s="270" t="b">
        <v>0</v>
      </c>
      <c r="K57" s="257">
        <f>Reference!$B$4*Reference!$B$3*D57</f>
        <v>0</v>
      </c>
      <c r="L57" s="260">
        <f>IF(C57&lt;Reference!$B$26,Reference!$C$26,0)</f>
        <v>0</v>
      </c>
      <c r="M57" s="260">
        <f>IF(C57&lt;Reference!$B$27,Reference!$C$27,0)</f>
        <v>16.87</v>
      </c>
      <c r="N57" s="260">
        <f t="shared" si="3"/>
        <v>129.99</v>
      </c>
      <c r="O57" s="261">
        <f>SWITCH('Summary &amp; Instructions'!$K$26,"Calculated", D57*Reference!$B$5*Reference!$B$6, "Manual entries",I57)</f>
        <v>0</v>
      </c>
      <c r="P57" s="262">
        <f>MAX(K57+(O57*Reference!$B$18)-(D57*N57),0)</f>
        <v>0</v>
      </c>
      <c r="Q57" s="166">
        <f>IF(J57,'Summary &amp; Instructions'!$C$39/ (J$84+ESPP!$N$26), 0)</f>
        <v>0</v>
      </c>
      <c r="R57" s="247">
        <f>IF(J57,(Reference!$B$23 - V57) * Q57, 0)</f>
        <v>0</v>
      </c>
      <c r="S57" s="248">
        <f t="shared" si="4"/>
        <v>0</v>
      </c>
      <c r="T57" s="265">
        <f>IF(DATEDIF(C57,Reference!$B$28,"Y")&gt;=1,0,S57+R57)</f>
        <v>0</v>
      </c>
      <c r="U57" s="250">
        <f>IF(DATEDIF(C57,Reference!$B$28,"Y")&gt;=1,S57+R57,0)</f>
        <v>0</v>
      </c>
      <c r="V57" s="251">
        <f>iferror(((N57*D57) - K57 + S57)/SWITCH('Summary &amp; Instructions'!$K$26, "Calculated", O57, "Manual entries", I57), 0)</f>
        <v>0</v>
      </c>
      <c r="W57" s="171">
        <f>(Reference!$B$10-V57)*((SWITCH('Summary &amp; Instructions'!$K$26, "Calculated", O57, "Manual entries", I57)) - Q57)</f>
        <v>0</v>
      </c>
      <c r="X57" s="171">
        <f t="shared" si="5"/>
        <v>0</v>
      </c>
      <c r="Y57" s="266">
        <f t="shared" si="6"/>
        <v>0</v>
      </c>
    </row>
    <row r="58">
      <c r="A58" s="273"/>
      <c r="B58" s="267"/>
      <c r="C58" s="158">
        <v>44511.0</v>
      </c>
      <c r="D58" s="254">
        <v>0.0</v>
      </c>
      <c r="E58" s="268">
        <v>124.18</v>
      </c>
      <c r="F58" s="269">
        <v>0.0</v>
      </c>
      <c r="G58" s="260">
        <f t="shared" si="1"/>
        <v>0</v>
      </c>
      <c r="H58" s="258">
        <f t="shared" si="2"/>
        <v>0</v>
      </c>
      <c r="I58" s="163">
        <v>0.0</v>
      </c>
      <c r="J58" s="270" t="b">
        <v>0</v>
      </c>
      <c r="K58" s="257">
        <f>Reference!$B$4*Reference!$B$3*D58</f>
        <v>0</v>
      </c>
      <c r="L58" s="260">
        <f>IF(C58&lt;Reference!$B$26,Reference!$C$26,0)</f>
        <v>0</v>
      </c>
      <c r="M58" s="260">
        <f>IF(C58&lt;Reference!$B$27,Reference!$C$27,0)</f>
        <v>0</v>
      </c>
      <c r="N58" s="260">
        <f t="shared" si="3"/>
        <v>124.18</v>
      </c>
      <c r="O58" s="261">
        <f>SWITCH('Summary &amp; Instructions'!$K$26,"Calculated", D58*Reference!$B$5*Reference!$B$6, "Manual entries",I58)</f>
        <v>0</v>
      </c>
      <c r="P58" s="262">
        <f>MAX(K58+(O58*Reference!$B$18)-(D58*N58),0)</f>
        <v>0</v>
      </c>
      <c r="Q58" s="166">
        <f>IF(J58,'Summary &amp; Instructions'!$C$39/ (J$84+ESPP!$N$26), 0)</f>
        <v>0</v>
      </c>
      <c r="R58" s="247">
        <f>IF(J58,(Reference!$B$23 - V58) * Q58, 0)</f>
        <v>0</v>
      </c>
      <c r="S58" s="248">
        <f t="shared" si="4"/>
        <v>0</v>
      </c>
      <c r="T58" s="265">
        <f>IF(DATEDIF(C58,Reference!$B$28,"Y")&gt;=1,0,S58+R58)</f>
        <v>0</v>
      </c>
      <c r="U58" s="250">
        <f>IF(DATEDIF(C58,Reference!$B$28,"Y")&gt;=1,S58+R58,0)</f>
        <v>0</v>
      </c>
      <c r="V58" s="251">
        <f>iferror(((N58*D58) - K58 + S58)/SWITCH('Summary &amp; Instructions'!$K$26, "Calculated", O58, "Manual entries", I58), 0)</f>
        <v>0</v>
      </c>
      <c r="W58" s="171">
        <f>(Reference!$B$10-V58)*((SWITCH('Summary &amp; Instructions'!$K$26, "Calculated", O58, "Manual entries", I58)) - Q58)</f>
        <v>0</v>
      </c>
      <c r="X58" s="171">
        <f t="shared" si="5"/>
        <v>0</v>
      </c>
      <c r="Y58" s="266">
        <f t="shared" si="6"/>
        <v>0</v>
      </c>
    </row>
    <row r="59">
      <c r="A59" s="273"/>
      <c r="B59" s="267"/>
      <c r="C59" s="158">
        <v>44531.0</v>
      </c>
      <c r="D59" s="254">
        <v>0.0</v>
      </c>
      <c r="E59" s="268">
        <v>114.0</v>
      </c>
      <c r="F59" s="269">
        <v>0.0</v>
      </c>
      <c r="G59" s="260">
        <f t="shared" si="1"/>
        <v>0</v>
      </c>
      <c r="H59" s="258">
        <f t="shared" si="2"/>
        <v>0</v>
      </c>
      <c r="I59" s="163">
        <v>0.0</v>
      </c>
      <c r="J59" s="270" t="b">
        <v>0</v>
      </c>
      <c r="K59" s="257">
        <f>Reference!$B$4*Reference!$B$3*D59</f>
        <v>0</v>
      </c>
      <c r="L59" s="260">
        <f>IF(C59&lt;Reference!$B$26,Reference!$C$26,0)</f>
        <v>0</v>
      </c>
      <c r="M59" s="260">
        <f>IF(C59&lt;Reference!$B$27,Reference!$C$27,0)</f>
        <v>0</v>
      </c>
      <c r="N59" s="260">
        <f t="shared" si="3"/>
        <v>114</v>
      </c>
      <c r="O59" s="261">
        <f>SWITCH('Summary &amp; Instructions'!$K$26,"Calculated", D59*Reference!$B$5*Reference!$B$6, "Manual entries",I59)</f>
        <v>0</v>
      </c>
      <c r="P59" s="262">
        <f>MAX(K59+(O59*Reference!$B$18)-(D59*N59),0)</f>
        <v>0</v>
      </c>
      <c r="Q59" s="166">
        <f>IF(J59,'Summary &amp; Instructions'!$C$39/ (J$84+ESPP!$N$26), 0)</f>
        <v>0</v>
      </c>
      <c r="R59" s="247">
        <f>IF(J59,(Reference!$B$23 - V59) * Q59, 0)</f>
        <v>0</v>
      </c>
      <c r="S59" s="248">
        <f t="shared" si="4"/>
        <v>0</v>
      </c>
      <c r="T59" s="265">
        <f>IF(DATEDIF(C59,Reference!$B$28,"Y")&gt;=1,0,S59+R59)</f>
        <v>0</v>
      </c>
      <c r="U59" s="250">
        <f>IF(DATEDIF(C59,Reference!$B$28,"Y")&gt;=1,S59+R59,0)</f>
        <v>0</v>
      </c>
      <c r="V59" s="251">
        <f>iferror(((N59*D59) - K59 + S59)/SWITCH('Summary &amp; Instructions'!$K$26, "Calculated", O59, "Manual entries", I59), 0)</f>
        <v>0</v>
      </c>
      <c r="W59" s="171">
        <f>(Reference!$B$10-V59)*((SWITCH('Summary &amp; Instructions'!$K$26, "Calculated", O59, "Manual entries", I59)) - Q59)</f>
        <v>0</v>
      </c>
      <c r="X59" s="171">
        <f t="shared" si="5"/>
        <v>0</v>
      </c>
      <c r="Y59" s="266">
        <f t="shared" si="6"/>
        <v>0</v>
      </c>
    </row>
    <row r="60">
      <c r="A60" s="273"/>
      <c r="B60" s="267"/>
      <c r="C60" s="158">
        <v>44531.0</v>
      </c>
      <c r="D60" s="254">
        <v>0.0</v>
      </c>
      <c r="E60" s="268">
        <v>114.0</v>
      </c>
      <c r="F60" s="269">
        <v>0.0</v>
      </c>
      <c r="G60" s="260">
        <f t="shared" si="1"/>
        <v>0</v>
      </c>
      <c r="H60" s="258">
        <f t="shared" si="2"/>
        <v>0</v>
      </c>
      <c r="I60" s="163">
        <v>0.0</v>
      </c>
      <c r="J60" s="270" t="b">
        <v>0</v>
      </c>
      <c r="K60" s="257">
        <f>Reference!$B$4*Reference!$B$3*D60</f>
        <v>0</v>
      </c>
      <c r="L60" s="260">
        <f>IF(C60&lt;Reference!$B$26,Reference!$C$26,0)</f>
        <v>0</v>
      </c>
      <c r="M60" s="260">
        <f>IF(C60&lt;Reference!$B$27,Reference!$C$27,0)</f>
        <v>0</v>
      </c>
      <c r="N60" s="260">
        <f t="shared" si="3"/>
        <v>114</v>
      </c>
      <c r="O60" s="261">
        <f>SWITCH('Summary &amp; Instructions'!$K$26,"Calculated", D60*Reference!$B$5*Reference!$B$6, "Manual entries",I60)</f>
        <v>0</v>
      </c>
      <c r="P60" s="262">
        <f>MAX(K60+(O60*Reference!$B$18)-(D60*N60),0)</f>
        <v>0</v>
      </c>
      <c r="Q60" s="166">
        <f>IF(J60,'Summary &amp; Instructions'!$C$39/ (J$84+ESPP!$N$26), 0)</f>
        <v>0</v>
      </c>
      <c r="R60" s="247">
        <f>IF(J60,(Reference!$B$23 - V60) * Q60, 0)</f>
        <v>0</v>
      </c>
      <c r="S60" s="248">
        <f t="shared" si="4"/>
        <v>0</v>
      </c>
      <c r="T60" s="265">
        <f>IF(DATEDIF(C60,Reference!$B$28,"Y")&gt;=1,0,S60+R60)</f>
        <v>0</v>
      </c>
      <c r="U60" s="250">
        <f>IF(DATEDIF(C60,Reference!$B$28,"Y")&gt;=1,S60+R60,0)</f>
        <v>0</v>
      </c>
      <c r="V60" s="251">
        <f>iferror(((N60*D60) - K60 + S60)/SWITCH('Summary &amp; Instructions'!$K$26, "Calculated", O60, "Manual entries", I60), 0)</f>
        <v>0</v>
      </c>
      <c r="W60" s="171">
        <f>(Reference!$B$10-V60)*((SWITCH('Summary &amp; Instructions'!$K$26, "Calculated", O60, "Manual entries", I60)) - Q60)</f>
        <v>0</v>
      </c>
      <c r="X60" s="171">
        <f t="shared" si="5"/>
        <v>0</v>
      </c>
      <c r="Y60" s="266">
        <f t="shared" si="6"/>
        <v>0</v>
      </c>
    </row>
    <row r="61">
      <c r="A61" s="273"/>
      <c r="B61" s="267"/>
      <c r="C61" s="274">
        <v>44562.0</v>
      </c>
      <c r="D61" s="254">
        <v>0.0</v>
      </c>
      <c r="E61" s="268">
        <v>115.88</v>
      </c>
      <c r="F61" s="269">
        <v>0.0</v>
      </c>
      <c r="G61" s="260">
        <f t="shared" si="1"/>
        <v>0</v>
      </c>
      <c r="H61" s="258">
        <f t="shared" si="2"/>
        <v>0</v>
      </c>
      <c r="I61" s="163">
        <v>0.0</v>
      </c>
      <c r="J61" s="270" t="b">
        <v>0</v>
      </c>
      <c r="K61" s="257">
        <f>Reference!$B$4*Reference!$B$3*D61</f>
        <v>0</v>
      </c>
      <c r="L61" s="260">
        <f>IF(C61&lt;Reference!$B$26,Reference!$C$26,0)</f>
        <v>0</v>
      </c>
      <c r="M61" s="260">
        <f>IF(C61&lt;Reference!$B$27,Reference!$C$27,0)</f>
        <v>0</v>
      </c>
      <c r="N61" s="260">
        <f t="shared" si="3"/>
        <v>115.88</v>
      </c>
      <c r="O61" s="261">
        <f>SWITCH('Summary &amp; Instructions'!$K$26,"Calculated", D61*Reference!$B$5*Reference!$B$6, "Manual entries",I61)</f>
        <v>0</v>
      </c>
      <c r="P61" s="262">
        <f>MAX(K61+(O61*Reference!$B$18)-(D61*N61),0)</f>
        <v>0</v>
      </c>
      <c r="Q61" s="166">
        <f>IF(J61,'Summary &amp; Instructions'!$C$39/ (J$84+ESPP!$N$26), 0)</f>
        <v>0</v>
      </c>
      <c r="R61" s="247">
        <f>IF(J61,(Reference!$B$23 - V61) * Q61, 0)</f>
        <v>0</v>
      </c>
      <c r="S61" s="248">
        <f t="shared" si="4"/>
        <v>0</v>
      </c>
      <c r="T61" s="265">
        <f>IF(DATEDIF(C61,Reference!$B$28,"Y")&gt;=1,0,S61+R61)</f>
        <v>0</v>
      </c>
      <c r="U61" s="250">
        <f>IF(DATEDIF(C61,Reference!$B$28,"Y")&gt;=1,S61+R61,0)</f>
        <v>0</v>
      </c>
      <c r="V61" s="251">
        <f>iferror(((N61*D61) - K61 + S61)/SWITCH('Summary &amp; Instructions'!$K$26, "Calculated", O61, "Manual entries", I61), 0)</f>
        <v>0</v>
      </c>
      <c r="W61" s="171">
        <f>(Reference!$B$10-V61)*((SWITCH('Summary &amp; Instructions'!$K$26, "Calculated", O61, "Manual entries", I61)) - Q61)</f>
        <v>0</v>
      </c>
      <c r="X61" s="171">
        <f t="shared" si="5"/>
        <v>0</v>
      </c>
      <c r="Y61" s="266">
        <f t="shared" si="6"/>
        <v>0</v>
      </c>
    </row>
    <row r="62">
      <c r="A62" s="273"/>
      <c r="B62" s="267"/>
      <c r="C62" s="158">
        <v>44593.0</v>
      </c>
      <c r="D62" s="254">
        <v>0.0</v>
      </c>
      <c r="E62" s="268">
        <v>128.47</v>
      </c>
      <c r="F62" s="269">
        <v>0.0</v>
      </c>
      <c r="G62" s="260">
        <f t="shared" si="1"/>
        <v>0</v>
      </c>
      <c r="H62" s="258">
        <f t="shared" si="2"/>
        <v>0</v>
      </c>
      <c r="I62" s="163">
        <v>0.0</v>
      </c>
      <c r="J62" s="270" t="b">
        <v>0</v>
      </c>
      <c r="K62" s="257">
        <f>Reference!$B$4*Reference!$B$3*D62</f>
        <v>0</v>
      </c>
      <c r="L62" s="260">
        <f>IF(C62&lt;Reference!$B$26,Reference!$C$26,0)</f>
        <v>0</v>
      </c>
      <c r="M62" s="260">
        <f>IF(C62&lt;Reference!$B$27,Reference!$C$27,0)</f>
        <v>0</v>
      </c>
      <c r="N62" s="260">
        <f t="shared" si="3"/>
        <v>128.47</v>
      </c>
      <c r="O62" s="261">
        <f>SWITCH('Summary &amp; Instructions'!$K$26,"Calculated", D62*Reference!$B$5*Reference!$B$6, "Manual entries",I62)</f>
        <v>0</v>
      </c>
      <c r="P62" s="262">
        <f>MAX(K62+(O62*Reference!$B$18)-(D62*N62),0)</f>
        <v>0</v>
      </c>
      <c r="Q62" s="166">
        <f>IF(J62,'Summary &amp; Instructions'!$C$39/ (J$84+ESPP!$N$26), 0)</f>
        <v>0</v>
      </c>
      <c r="R62" s="247">
        <f>IF(J62,(Reference!$B$23 - V62) * Q62, 0)</f>
        <v>0</v>
      </c>
      <c r="S62" s="248">
        <f t="shared" si="4"/>
        <v>0</v>
      </c>
      <c r="T62" s="265">
        <f>IF(DATEDIF(C62,Reference!$B$28,"Y")&gt;=1,0,S62+R62)</f>
        <v>0</v>
      </c>
      <c r="U62" s="250">
        <f>IF(DATEDIF(C62,Reference!$B$28,"Y")&gt;=1,S62+R62,0)</f>
        <v>0</v>
      </c>
      <c r="V62" s="251">
        <f>iferror(((N62*D62) - K62 + S62)/SWITCH('Summary &amp; Instructions'!$K$26, "Calculated", O62, "Manual entries", I62), 0)</f>
        <v>0</v>
      </c>
      <c r="W62" s="171">
        <f>(Reference!$B$10-V62)*((SWITCH('Summary &amp; Instructions'!$K$26, "Calculated", O62, "Manual entries", I62)) - Q62)</f>
        <v>0</v>
      </c>
      <c r="X62" s="171">
        <f t="shared" si="5"/>
        <v>0</v>
      </c>
      <c r="Y62" s="266">
        <f t="shared" si="6"/>
        <v>0</v>
      </c>
    </row>
    <row r="63">
      <c r="A63" s="273"/>
      <c r="B63" s="267"/>
      <c r="C63" s="274">
        <v>44621.0</v>
      </c>
      <c r="D63" s="254">
        <v>0.0</v>
      </c>
      <c r="E63" s="268">
        <v>115.91</v>
      </c>
      <c r="F63" s="269">
        <v>0.0</v>
      </c>
      <c r="G63" s="260">
        <f t="shared" si="1"/>
        <v>0</v>
      </c>
      <c r="H63" s="258">
        <f t="shared" si="2"/>
        <v>0</v>
      </c>
      <c r="I63" s="163">
        <v>0.0</v>
      </c>
      <c r="J63" s="270" t="b">
        <v>0</v>
      </c>
      <c r="K63" s="257">
        <f>Reference!$B$4*Reference!$B$3*D63</f>
        <v>0</v>
      </c>
      <c r="L63" s="260">
        <f>IF(C63&lt;Reference!$B$26,Reference!$C$26,0)</f>
        <v>0</v>
      </c>
      <c r="M63" s="260">
        <f>IF(C63&lt;Reference!$B$27,Reference!$C$27,0)</f>
        <v>0</v>
      </c>
      <c r="N63" s="260">
        <f t="shared" si="3"/>
        <v>115.91</v>
      </c>
      <c r="O63" s="261">
        <f>SWITCH('Summary &amp; Instructions'!$K$26,"Calculated", D63*Reference!$B$5*Reference!$B$6, "Manual entries",I63)</f>
        <v>0</v>
      </c>
      <c r="P63" s="262">
        <f>MAX(K63+(O63*Reference!$B$18)-(D63*N63),0)</f>
        <v>0</v>
      </c>
      <c r="Q63" s="166">
        <f>IF(J63,'Summary &amp; Instructions'!$C$39/ (J$84+ESPP!$N$26), 0)</f>
        <v>0</v>
      </c>
      <c r="R63" s="247">
        <f>IF(J63,(Reference!$B$23 - V63) * Q63, 0)</f>
        <v>0</v>
      </c>
      <c r="S63" s="248">
        <f t="shared" si="4"/>
        <v>0</v>
      </c>
      <c r="T63" s="265">
        <f>IF(DATEDIF(C63,Reference!$B$28,"Y")&gt;=1,0,S63+R63)</f>
        <v>0</v>
      </c>
      <c r="U63" s="250">
        <f>IF(DATEDIF(C63,Reference!$B$28,"Y")&gt;=1,S63+R63,0)</f>
        <v>0</v>
      </c>
      <c r="V63" s="251">
        <f>iferror(((N63*D63) - K63 + S63)/SWITCH('Summary &amp; Instructions'!$K$26, "Calculated", O63, "Manual entries", I63), 0)</f>
        <v>0</v>
      </c>
      <c r="W63" s="171">
        <f>(Reference!$B$10-V63)*((SWITCH('Summary &amp; Instructions'!$K$26, "Calculated", O63, "Manual entries", I63)) - Q63)</f>
        <v>0</v>
      </c>
      <c r="X63" s="171">
        <f t="shared" si="5"/>
        <v>0</v>
      </c>
      <c r="Y63" s="266">
        <f t="shared" si="6"/>
        <v>0</v>
      </c>
    </row>
    <row r="64">
      <c r="A64" s="273"/>
      <c r="B64" s="267"/>
      <c r="C64" s="158">
        <v>44682.0</v>
      </c>
      <c r="D64" s="254">
        <v>0.0</v>
      </c>
      <c r="E64" s="268">
        <v>108.04</v>
      </c>
      <c r="F64" s="269">
        <v>0.0</v>
      </c>
      <c r="G64" s="260">
        <f t="shared" si="1"/>
        <v>0</v>
      </c>
      <c r="H64" s="258">
        <f t="shared" si="2"/>
        <v>0</v>
      </c>
      <c r="I64" s="163">
        <v>0.0</v>
      </c>
      <c r="J64" s="270" t="b">
        <v>0</v>
      </c>
      <c r="K64" s="257">
        <f>Reference!$B$4*Reference!$B$3*D64</f>
        <v>0</v>
      </c>
      <c r="L64" s="260">
        <f>IF(C64&lt;Reference!$B$26,Reference!$C$26,0)</f>
        <v>0</v>
      </c>
      <c r="M64" s="260">
        <f>IF(C64&lt;Reference!$B$27,Reference!$C$27,0)</f>
        <v>0</v>
      </c>
      <c r="N64" s="260">
        <f t="shared" si="3"/>
        <v>108.04</v>
      </c>
      <c r="O64" s="261">
        <f>SWITCH('Summary &amp; Instructions'!$K$26,"Calculated", D64*Reference!$B$5*Reference!$B$6, "Manual entries",I64)</f>
        <v>0</v>
      </c>
      <c r="P64" s="262">
        <f>MAX(K64+(O64*Reference!$B$18)-(D64*N64),0)</f>
        <v>0</v>
      </c>
      <c r="Q64" s="166">
        <f>IF(J64,'Summary &amp; Instructions'!$C$39/ (J$84+ESPP!$N$26), 0)</f>
        <v>0</v>
      </c>
      <c r="R64" s="247">
        <f>IF(J64,(Reference!$B$23 - V64) * Q64, 0)</f>
        <v>0</v>
      </c>
      <c r="S64" s="248">
        <f t="shared" si="4"/>
        <v>0</v>
      </c>
      <c r="T64" s="265">
        <f>IF(DATEDIF(C64,Reference!$B$28,"Y")&gt;=1,0,S64+R64)</f>
        <v>0</v>
      </c>
      <c r="U64" s="250">
        <f>IF(DATEDIF(C64,Reference!$B$28,"Y")&gt;=1,S64+R64,0)</f>
        <v>0</v>
      </c>
      <c r="V64" s="251">
        <f>iferror(((N64*D64) - K64 + S64)/SWITCH('Summary &amp; Instructions'!$K$26, "Calculated", O64, "Manual entries", I64), 0)</f>
        <v>0</v>
      </c>
      <c r="W64" s="171">
        <f>(Reference!$B$10-V64)*((SWITCH('Summary &amp; Instructions'!$K$26, "Calculated", O64, "Manual entries", I64)) - Q64)</f>
        <v>0</v>
      </c>
      <c r="X64" s="171">
        <f t="shared" si="5"/>
        <v>0</v>
      </c>
      <c r="Y64" s="266">
        <f t="shared" si="6"/>
        <v>0</v>
      </c>
    </row>
    <row r="65">
      <c r="A65" s="273"/>
      <c r="B65" s="267"/>
      <c r="C65" s="158">
        <v>44682.0</v>
      </c>
      <c r="D65" s="254">
        <v>0.0</v>
      </c>
      <c r="E65" s="268">
        <v>108.04</v>
      </c>
      <c r="F65" s="269">
        <v>0.0</v>
      </c>
      <c r="G65" s="260">
        <f t="shared" si="1"/>
        <v>0</v>
      </c>
      <c r="H65" s="258">
        <f t="shared" si="2"/>
        <v>0</v>
      </c>
      <c r="I65" s="163">
        <v>0.0</v>
      </c>
      <c r="J65" s="270" t="b">
        <v>0</v>
      </c>
      <c r="K65" s="257">
        <f>Reference!$B$4*Reference!$B$3*D65</f>
        <v>0</v>
      </c>
      <c r="L65" s="260">
        <f>IF(C65&lt;Reference!$B$26,Reference!$C$26,0)</f>
        <v>0</v>
      </c>
      <c r="M65" s="260">
        <f>IF(C65&lt;Reference!$B$27,Reference!$C$27,0)</f>
        <v>0</v>
      </c>
      <c r="N65" s="260">
        <f t="shared" si="3"/>
        <v>108.04</v>
      </c>
      <c r="O65" s="261">
        <f>SWITCH('Summary &amp; Instructions'!$K$26,"Calculated", D65*Reference!$B$5*Reference!$B$6, "Manual entries",I65)</f>
        <v>0</v>
      </c>
      <c r="P65" s="262">
        <f>MAX(K65+(O65*Reference!$B$18)-(D65*N65),0)</f>
        <v>0</v>
      </c>
      <c r="Q65" s="166">
        <f>IF(J65,'Summary &amp; Instructions'!$C$39/ (J$84+ESPP!$N$26), 0)</f>
        <v>0</v>
      </c>
      <c r="R65" s="247">
        <f>IF(J65,(Reference!$B$23 - V65) * Q65, 0)</f>
        <v>0</v>
      </c>
      <c r="S65" s="248">
        <f t="shared" si="4"/>
        <v>0</v>
      </c>
      <c r="T65" s="265">
        <f>IF(DATEDIF(C65,Reference!$B$28,"Y")&gt;=1,0,S65+R65)</f>
        <v>0</v>
      </c>
      <c r="U65" s="250">
        <f>IF(DATEDIF(C65,Reference!$B$28,"Y")&gt;=1,S65+R65,0)</f>
        <v>0</v>
      </c>
      <c r="V65" s="251">
        <f>iferror(((N65*D65) - K65 + S65)/SWITCH('Summary &amp; Instructions'!$K$26, "Calculated", O65, "Manual entries", I65), 0)</f>
        <v>0</v>
      </c>
      <c r="W65" s="171">
        <f>(Reference!$B$10-V65)*((SWITCH('Summary &amp; Instructions'!$K$26, "Calculated", O65, "Manual entries", I65)) - Q65)</f>
        <v>0</v>
      </c>
      <c r="X65" s="171">
        <f t="shared" si="5"/>
        <v>0</v>
      </c>
      <c r="Y65" s="266">
        <f t="shared" si="6"/>
        <v>0</v>
      </c>
    </row>
    <row r="66">
      <c r="A66" s="273"/>
      <c r="B66" s="267"/>
      <c r="C66" s="158">
        <v>44713.0</v>
      </c>
      <c r="D66" s="254">
        <v>0.0</v>
      </c>
      <c r="E66" s="268">
        <v>129.41</v>
      </c>
      <c r="F66" s="269">
        <v>0.0</v>
      </c>
      <c r="G66" s="260">
        <f t="shared" si="1"/>
        <v>0</v>
      </c>
      <c r="H66" s="258">
        <f t="shared" si="2"/>
        <v>0</v>
      </c>
      <c r="I66" s="163">
        <v>0.0</v>
      </c>
      <c r="J66" s="270" t="b">
        <v>0</v>
      </c>
      <c r="K66" s="257">
        <f>Reference!$B$4*Reference!$B$3*D66</f>
        <v>0</v>
      </c>
      <c r="L66" s="260">
        <f>IF(C66&lt;Reference!$B$26,Reference!$C$26,0)</f>
        <v>0</v>
      </c>
      <c r="M66" s="260">
        <f>IF(C66&lt;Reference!$B$27,Reference!$C$27,0)</f>
        <v>0</v>
      </c>
      <c r="N66" s="260">
        <f t="shared" si="3"/>
        <v>129.41</v>
      </c>
      <c r="O66" s="261">
        <f>SWITCH('Summary &amp; Instructions'!$K$26,"Calculated", D66*Reference!$B$5*Reference!$B$6, "Manual entries",I66)</f>
        <v>0</v>
      </c>
      <c r="P66" s="262">
        <f>MAX(K66+(O66*Reference!$B$18)-(D66*N66),0)</f>
        <v>0</v>
      </c>
      <c r="Q66" s="166">
        <f>IF(J66,'Summary &amp; Instructions'!$C$39/ (J$84+ESPP!$N$26), 0)</f>
        <v>0</v>
      </c>
      <c r="R66" s="247">
        <f>IF(J66,(Reference!$B$23 - V66) * Q66, 0)</f>
        <v>0</v>
      </c>
      <c r="S66" s="248">
        <f t="shared" si="4"/>
        <v>0</v>
      </c>
      <c r="T66" s="265">
        <f>IF(DATEDIF(C66,Reference!$B$28,"Y")&gt;=1,0,S66+R66)</f>
        <v>0</v>
      </c>
      <c r="U66" s="250">
        <f>IF(DATEDIF(C66,Reference!$B$28,"Y")&gt;=1,S66+R66,0)</f>
        <v>0</v>
      </c>
      <c r="V66" s="251">
        <f>iferror(((N66*D66) - K66 + S66)/SWITCH('Summary &amp; Instructions'!$K$26, "Calculated", O66, "Manual entries", I66), 0)</f>
        <v>0</v>
      </c>
      <c r="W66" s="171">
        <f>(Reference!$B$10-V66)*((SWITCH('Summary &amp; Instructions'!$K$26, "Calculated", O66, "Manual entries", I66)) - Q66)</f>
        <v>0</v>
      </c>
      <c r="X66" s="171">
        <f t="shared" si="5"/>
        <v>0</v>
      </c>
      <c r="Y66" s="266">
        <f t="shared" si="6"/>
        <v>0</v>
      </c>
    </row>
    <row r="67">
      <c r="A67" s="273"/>
      <c r="B67" s="267"/>
      <c r="C67" s="158">
        <v>44713.0</v>
      </c>
      <c r="D67" s="254">
        <v>0.0</v>
      </c>
      <c r="E67" s="268">
        <v>129.41</v>
      </c>
      <c r="F67" s="269">
        <v>0.0</v>
      </c>
      <c r="G67" s="260">
        <f t="shared" si="1"/>
        <v>0</v>
      </c>
      <c r="H67" s="258">
        <f t="shared" si="2"/>
        <v>0</v>
      </c>
      <c r="I67" s="163">
        <v>0.0</v>
      </c>
      <c r="J67" s="270" t="b">
        <v>0</v>
      </c>
      <c r="K67" s="257">
        <f>Reference!$B$4*Reference!$B$3*D67</f>
        <v>0</v>
      </c>
      <c r="L67" s="260">
        <f>IF(C67&lt;Reference!$B$26,Reference!$C$26,0)</f>
        <v>0</v>
      </c>
      <c r="M67" s="260">
        <f>IF(C67&lt;Reference!$B$27,Reference!$C$27,0)</f>
        <v>0</v>
      </c>
      <c r="N67" s="260">
        <f t="shared" si="3"/>
        <v>129.41</v>
      </c>
      <c r="O67" s="261">
        <f>SWITCH('Summary &amp; Instructions'!$K$26,"Calculated", D67*Reference!$B$5*Reference!$B$6, "Manual entries",I67)</f>
        <v>0</v>
      </c>
      <c r="P67" s="262">
        <f>MAX(K67+(O67*Reference!$B$18)-(D67*N67),0)</f>
        <v>0</v>
      </c>
      <c r="Q67" s="166">
        <f>IF(J67,'Summary &amp; Instructions'!$C$39/ (J$84+ESPP!$N$26), 0)</f>
        <v>0</v>
      </c>
      <c r="R67" s="247">
        <f>IF(J67,(Reference!$B$23 - V67) * Q67, 0)</f>
        <v>0</v>
      </c>
      <c r="S67" s="248">
        <f t="shared" si="4"/>
        <v>0</v>
      </c>
      <c r="T67" s="265">
        <f>IF(DATEDIF(C67,Reference!$B$28,"Y")&gt;=1,0,S67+R67)</f>
        <v>0</v>
      </c>
      <c r="U67" s="250">
        <f>IF(DATEDIF(C67,Reference!$B$28,"Y")&gt;=1,S67+R67,0)</f>
        <v>0</v>
      </c>
      <c r="V67" s="251">
        <f>iferror(((N67*D67) - K67 + S67)/SWITCH('Summary &amp; Instructions'!$K$26, "Calculated", O67, "Manual entries", I67), 0)</f>
        <v>0</v>
      </c>
      <c r="W67" s="171">
        <f>(Reference!$B$10-V67)*((SWITCH('Summary &amp; Instructions'!$K$26, "Calculated", O67, "Manual entries", I67)) - Q67)</f>
        <v>0</v>
      </c>
      <c r="X67" s="171">
        <f t="shared" si="5"/>
        <v>0</v>
      </c>
      <c r="Y67" s="266">
        <f t="shared" si="6"/>
        <v>0</v>
      </c>
    </row>
    <row r="68">
      <c r="A68" s="273"/>
      <c r="B68" s="267"/>
      <c r="C68" s="274">
        <v>44743.0</v>
      </c>
      <c r="D68" s="254">
        <v>0.0</v>
      </c>
      <c r="E68" s="268">
        <v>114.06</v>
      </c>
      <c r="F68" s="269">
        <v>0.0</v>
      </c>
      <c r="G68" s="260">
        <f t="shared" si="1"/>
        <v>0</v>
      </c>
      <c r="H68" s="258">
        <f t="shared" si="2"/>
        <v>0</v>
      </c>
      <c r="I68" s="163">
        <v>0.0</v>
      </c>
      <c r="J68" s="270" t="b">
        <v>0</v>
      </c>
      <c r="K68" s="257">
        <f>Reference!$B$4*Reference!$B$3*D68</f>
        <v>0</v>
      </c>
      <c r="L68" s="260">
        <f>IF(C68&lt;Reference!$B$26,Reference!$C$26,0)</f>
        <v>0</v>
      </c>
      <c r="M68" s="260">
        <f>IF(C68&lt;Reference!$B$27,Reference!$C$27,0)</f>
        <v>0</v>
      </c>
      <c r="N68" s="260">
        <f t="shared" si="3"/>
        <v>114.06</v>
      </c>
      <c r="O68" s="261">
        <f>SWITCH('Summary &amp; Instructions'!$K$26,"Calculated", D68*Reference!$B$5*Reference!$B$6, "Manual entries",I68)</f>
        <v>0</v>
      </c>
      <c r="P68" s="262">
        <f>MAX(K68+(O68*Reference!$B$18)-(D68*N68),0)</f>
        <v>0</v>
      </c>
      <c r="Q68" s="166">
        <f>IF(J68,'Summary &amp; Instructions'!$C$39/ (J$84+ESPP!$N$26), 0)</f>
        <v>0</v>
      </c>
      <c r="R68" s="247">
        <f>IF(J68,(Reference!$B$23 - V68) * Q68, 0)</f>
        <v>0</v>
      </c>
      <c r="S68" s="248">
        <f t="shared" si="4"/>
        <v>0</v>
      </c>
      <c r="T68" s="265">
        <f>IF(DATEDIF(C68,Reference!$B$28,"Y")&gt;=1,0,S68+R68)</f>
        <v>0</v>
      </c>
      <c r="U68" s="250">
        <f>IF(DATEDIF(C68,Reference!$B$28,"Y")&gt;=1,S68+R68,0)</f>
        <v>0</v>
      </c>
      <c r="V68" s="251">
        <f>iferror(((N68*D68) - K68 + S68)/SWITCH('Summary &amp; Instructions'!$K$26, "Calculated", O68, "Manual entries", I68), 0)</f>
        <v>0</v>
      </c>
      <c r="W68" s="171">
        <f>(Reference!$B$10-V68)*((SWITCH('Summary &amp; Instructions'!$K$26, "Calculated", O68, "Manual entries", I68)) - Q68)</f>
        <v>0</v>
      </c>
      <c r="X68" s="171">
        <f t="shared" si="5"/>
        <v>0</v>
      </c>
      <c r="Y68" s="266">
        <f t="shared" si="6"/>
        <v>0</v>
      </c>
    </row>
    <row r="69">
      <c r="A69" s="273"/>
      <c r="B69" s="267"/>
      <c r="C69" s="158">
        <v>44774.0</v>
      </c>
      <c r="D69" s="254">
        <v>0.0</v>
      </c>
      <c r="E69" s="268">
        <v>116.17</v>
      </c>
      <c r="F69" s="269">
        <v>0.0</v>
      </c>
      <c r="G69" s="260">
        <f t="shared" si="1"/>
        <v>0</v>
      </c>
      <c r="H69" s="258">
        <f t="shared" si="2"/>
        <v>0</v>
      </c>
      <c r="I69" s="163">
        <v>0.0</v>
      </c>
      <c r="J69" s="270" t="b">
        <v>0</v>
      </c>
      <c r="K69" s="257">
        <f>Reference!$B$4*Reference!$B$3*D69</f>
        <v>0</v>
      </c>
      <c r="L69" s="260">
        <f>IF(C69&lt;Reference!$B$26,Reference!$C$26,0)</f>
        <v>0</v>
      </c>
      <c r="M69" s="260">
        <f>IF(C69&lt;Reference!$B$27,Reference!$C$27,0)</f>
        <v>0</v>
      </c>
      <c r="N69" s="260">
        <f t="shared" si="3"/>
        <v>116.17</v>
      </c>
      <c r="O69" s="261">
        <f>SWITCH('Summary &amp; Instructions'!$K$26,"Calculated", D69*Reference!$B$5*Reference!$B$6, "Manual entries",I69)</f>
        <v>0</v>
      </c>
      <c r="P69" s="262">
        <f>MAX(K69+(O69*Reference!$B$18)-(D69*N69),0)</f>
        <v>0</v>
      </c>
      <c r="Q69" s="166">
        <f>IF(J69,'Summary &amp; Instructions'!$C$39/ (J$84+ESPP!$N$26), 0)</f>
        <v>0</v>
      </c>
      <c r="R69" s="247">
        <f>IF(J69,(Reference!$B$23 - V69) * Q69, 0)</f>
        <v>0</v>
      </c>
      <c r="S69" s="248">
        <f t="shared" si="4"/>
        <v>0</v>
      </c>
      <c r="T69" s="265">
        <f>IF(DATEDIF(C69,Reference!$B$28,"Y")&gt;=1,0,S69+R69)</f>
        <v>0</v>
      </c>
      <c r="U69" s="250">
        <f>IF(DATEDIF(C69,Reference!$B$28,"Y")&gt;=1,S69+R69,0)</f>
        <v>0</v>
      </c>
      <c r="V69" s="251">
        <f>iferror(((N69*D69) - K69 + S69)/SWITCH('Summary &amp; Instructions'!$K$26, "Calculated", O69, "Manual entries", I69), 0)</f>
        <v>0</v>
      </c>
      <c r="W69" s="171">
        <f>(Reference!$B$10-V69)*((SWITCH('Summary &amp; Instructions'!$K$26, "Calculated", O69, "Manual entries", I69)) - Q69)</f>
        <v>0</v>
      </c>
      <c r="X69" s="171">
        <f t="shared" si="5"/>
        <v>0</v>
      </c>
      <c r="Y69" s="266">
        <f t="shared" si="6"/>
        <v>0</v>
      </c>
    </row>
    <row r="70">
      <c r="A70" s="273"/>
      <c r="B70" s="267"/>
      <c r="C70" s="274">
        <v>44805.0</v>
      </c>
      <c r="D70" s="254">
        <v>0.0</v>
      </c>
      <c r="E70" s="268">
        <v>114.82</v>
      </c>
      <c r="F70" s="269">
        <v>0.0</v>
      </c>
      <c r="G70" s="260">
        <f t="shared" si="1"/>
        <v>0</v>
      </c>
      <c r="H70" s="258">
        <f t="shared" si="2"/>
        <v>0</v>
      </c>
      <c r="I70" s="163">
        <v>0.0</v>
      </c>
      <c r="J70" s="270" t="b">
        <v>0</v>
      </c>
      <c r="K70" s="257">
        <f>Reference!$B$4*Reference!$B$3*D70</f>
        <v>0</v>
      </c>
      <c r="L70" s="260">
        <f>IF(C70&lt;Reference!$B$26,Reference!$C$26,0)</f>
        <v>0</v>
      </c>
      <c r="M70" s="260">
        <f>IF(C70&lt;Reference!$B$27,Reference!$C$27,0)</f>
        <v>0</v>
      </c>
      <c r="N70" s="260">
        <f t="shared" si="3"/>
        <v>114.82</v>
      </c>
      <c r="O70" s="261">
        <f>SWITCH('Summary &amp; Instructions'!$K$26,"Calculated", D70*Reference!$B$5*Reference!$B$6, "Manual entries",I70)</f>
        <v>0</v>
      </c>
      <c r="P70" s="262">
        <f>MAX(K70+(O70*Reference!$B$18)-(D70*N70),0)</f>
        <v>0</v>
      </c>
      <c r="Q70" s="166">
        <f>IF(J70,'Summary &amp; Instructions'!$C$39/ (J$84+ESPP!$N$26), 0)</f>
        <v>0</v>
      </c>
      <c r="R70" s="247">
        <f>IF(J70,(Reference!$B$23 - V70) * Q70, 0)</f>
        <v>0</v>
      </c>
      <c r="S70" s="248">
        <f t="shared" si="4"/>
        <v>0</v>
      </c>
      <c r="T70" s="265">
        <f>IF(DATEDIF(C70,Reference!$B$28,"Y")&gt;=1,0,S70+R70)</f>
        <v>0</v>
      </c>
      <c r="U70" s="250">
        <f>IF(DATEDIF(C70,Reference!$B$28,"Y")&gt;=1,S70+R70,0)</f>
        <v>0</v>
      </c>
      <c r="V70" s="251">
        <f>iferror(((N70*D70) - K70 + S70)/SWITCH('Summary &amp; Instructions'!$K$26, "Calculated", O70, "Manual entries", I70), 0)</f>
        <v>0</v>
      </c>
      <c r="W70" s="171">
        <f>(Reference!$B$10-V70)*((SWITCH('Summary &amp; Instructions'!$K$26, "Calculated", O70, "Manual entries", I70)) - Q70)</f>
        <v>0</v>
      </c>
      <c r="X70" s="171">
        <f t="shared" si="5"/>
        <v>0</v>
      </c>
      <c r="Y70" s="266">
        <f t="shared" si="6"/>
        <v>0</v>
      </c>
    </row>
    <row r="71">
      <c r="A71" s="273"/>
      <c r="B71" s="267"/>
      <c r="C71" s="158">
        <v>44866.0</v>
      </c>
      <c r="D71" s="254">
        <v>0.0</v>
      </c>
      <c r="E71" s="268">
        <v>112.62</v>
      </c>
      <c r="F71" s="269">
        <v>0.0</v>
      </c>
      <c r="G71" s="260">
        <f t="shared" si="1"/>
        <v>0</v>
      </c>
      <c r="H71" s="258">
        <f t="shared" si="2"/>
        <v>0</v>
      </c>
      <c r="I71" s="163">
        <v>0.0</v>
      </c>
      <c r="J71" s="270" t="b">
        <v>0</v>
      </c>
      <c r="K71" s="257">
        <f>Reference!$B$4*Reference!$B$3*D71</f>
        <v>0</v>
      </c>
      <c r="L71" s="260">
        <f>IF(C71&lt;Reference!$B$26,Reference!$C$26,0)</f>
        <v>0</v>
      </c>
      <c r="M71" s="260">
        <f>IF(C71&lt;Reference!$B$27,Reference!$C$27,0)</f>
        <v>0</v>
      </c>
      <c r="N71" s="260">
        <f t="shared" si="3"/>
        <v>112.62</v>
      </c>
      <c r="O71" s="261">
        <f>SWITCH('Summary &amp; Instructions'!$K$26,"Calculated", D71*Reference!$B$5*Reference!$B$6, "Manual entries",I71)</f>
        <v>0</v>
      </c>
      <c r="P71" s="262">
        <f>MAX(K71+(O71*Reference!$B$18)-(D71*N71),0)</f>
        <v>0</v>
      </c>
      <c r="Q71" s="166">
        <f>IF(J71,'Summary &amp; Instructions'!$C$39/ (J$84+ESPP!$N$26), 0)</f>
        <v>0</v>
      </c>
      <c r="R71" s="247">
        <f>IF(J71,(Reference!$B$23 - V71) * Q71, 0)</f>
        <v>0</v>
      </c>
      <c r="S71" s="248">
        <f t="shared" si="4"/>
        <v>0</v>
      </c>
      <c r="T71" s="265">
        <f>IF(DATEDIF(C71,Reference!$B$28,"Y")&gt;=1,0,S71+R71)</f>
        <v>0</v>
      </c>
      <c r="U71" s="250">
        <f>IF(DATEDIF(C71,Reference!$B$28,"Y")&gt;=1,S71+R71,0)</f>
        <v>0</v>
      </c>
      <c r="V71" s="251">
        <f>iferror(((N71*D71) - K71 + S71)/SWITCH('Summary &amp; Instructions'!$K$26, "Calculated", O71, "Manual entries", I71), 0)</f>
        <v>0</v>
      </c>
      <c r="W71" s="171">
        <f>(Reference!$B$10-V71)*((SWITCH('Summary &amp; Instructions'!$K$26, "Calculated", O71, "Manual entries", I71)) - Q71)</f>
        <v>0</v>
      </c>
      <c r="X71" s="171">
        <f t="shared" si="5"/>
        <v>0</v>
      </c>
      <c r="Y71" s="266">
        <f t="shared" si="6"/>
        <v>0</v>
      </c>
    </row>
    <row r="72">
      <c r="A72" s="273"/>
      <c r="B72" s="267"/>
      <c r="C72" s="158">
        <v>44866.0</v>
      </c>
      <c r="D72" s="254">
        <v>0.0</v>
      </c>
      <c r="E72" s="268">
        <v>112.62</v>
      </c>
      <c r="F72" s="269">
        <v>0.0</v>
      </c>
      <c r="G72" s="260">
        <f t="shared" si="1"/>
        <v>0</v>
      </c>
      <c r="H72" s="258">
        <f t="shared" si="2"/>
        <v>0</v>
      </c>
      <c r="I72" s="163">
        <v>0.0</v>
      </c>
      <c r="J72" s="270" t="b">
        <v>0</v>
      </c>
      <c r="K72" s="257">
        <f>Reference!$B$4*Reference!$B$3*D72</f>
        <v>0</v>
      </c>
      <c r="L72" s="260">
        <f>IF(C72&lt;Reference!$B$26,Reference!$C$26,0)</f>
        <v>0</v>
      </c>
      <c r="M72" s="260">
        <f>IF(C72&lt;Reference!$B$27,Reference!$C$27,0)</f>
        <v>0</v>
      </c>
      <c r="N72" s="260">
        <f t="shared" si="3"/>
        <v>112.62</v>
      </c>
      <c r="O72" s="261">
        <f>SWITCH('Summary &amp; Instructions'!$K$26,"Calculated", D72*Reference!$B$5*Reference!$B$6, "Manual entries",I72)</f>
        <v>0</v>
      </c>
      <c r="P72" s="262">
        <f>MAX(K72+(O72*Reference!$B$18)-(D72*N72),0)</f>
        <v>0</v>
      </c>
      <c r="Q72" s="166">
        <f>IF(J72,'Summary &amp; Instructions'!$C$39/ (J$84+ESPP!$N$26), 0)</f>
        <v>0</v>
      </c>
      <c r="R72" s="247">
        <f>IF(J72,(Reference!$B$23 - V72) * Q72, 0)</f>
        <v>0</v>
      </c>
      <c r="S72" s="248">
        <f t="shared" si="4"/>
        <v>0</v>
      </c>
      <c r="T72" s="265">
        <f>IF(DATEDIF(C72,Reference!$B$28,"Y")&gt;=1,0,S72+R72)</f>
        <v>0</v>
      </c>
      <c r="U72" s="250">
        <f>IF(DATEDIF(C72,Reference!$B$28,"Y")&gt;=1,S72+R72,0)</f>
        <v>0</v>
      </c>
      <c r="V72" s="251">
        <f>iferror(((N72*D72) - K72 + S72)/SWITCH('Summary &amp; Instructions'!$K$26, "Calculated", O72, "Manual entries", I72), 0)</f>
        <v>0</v>
      </c>
      <c r="W72" s="171">
        <f>(Reference!$B$10-V72)*((SWITCH('Summary &amp; Instructions'!$K$26, "Calculated", O72, "Manual entries", I72)) - Q72)</f>
        <v>0</v>
      </c>
      <c r="X72" s="171">
        <f t="shared" si="5"/>
        <v>0</v>
      </c>
      <c r="Y72" s="266">
        <f t="shared" si="6"/>
        <v>0</v>
      </c>
    </row>
    <row r="73">
      <c r="A73" s="273"/>
      <c r="B73" s="267"/>
      <c r="C73" s="158">
        <v>44896.0</v>
      </c>
      <c r="D73" s="254">
        <v>0.0</v>
      </c>
      <c r="E73" s="268">
        <v>121.68</v>
      </c>
      <c r="F73" s="269">
        <v>0.0</v>
      </c>
      <c r="G73" s="260">
        <f t="shared" si="1"/>
        <v>0</v>
      </c>
      <c r="H73" s="258">
        <f t="shared" si="2"/>
        <v>0</v>
      </c>
      <c r="I73" s="163">
        <v>0.0</v>
      </c>
      <c r="J73" s="270" t="b">
        <v>0</v>
      </c>
      <c r="K73" s="257">
        <f>Reference!$B$4*Reference!$B$3*D73</f>
        <v>0</v>
      </c>
      <c r="L73" s="260">
        <f>IF(C73&lt;Reference!$B$26,Reference!$C$26,0)</f>
        <v>0</v>
      </c>
      <c r="M73" s="260">
        <f>IF(C73&lt;Reference!$B$27,Reference!$C$27,0)</f>
        <v>0</v>
      </c>
      <c r="N73" s="260">
        <f t="shared" si="3"/>
        <v>121.68</v>
      </c>
      <c r="O73" s="261">
        <f>SWITCH('Summary &amp; Instructions'!$K$26,"Calculated", D73*Reference!$B$5*Reference!$B$6, "Manual entries",I73)</f>
        <v>0</v>
      </c>
      <c r="P73" s="262">
        <f>MAX(K73+(O73*Reference!$B$18)-(D73*N73),0)</f>
        <v>0</v>
      </c>
      <c r="Q73" s="166">
        <f>IF(J73,'Summary &amp; Instructions'!$C$39/ (J$84+ESPP!$N$26), 0)</f>
        <v>0</v>
      </c>
      <c r="R73" s="247">
        <f>IF(J73,(Reference!$B$23 - V73) * Q73, 0)</f>
        <v>0</v>
      </c>
      <c r="S73" s="248">
        <f t="shared" si="4"/>
        <v>0</v>
      </c>
      <c r="T73" s="265">
        <f>IF(DATEDIF(C73,Reference!$B$28,"Y")&gt;=1,0,S73+R73)</f>
        <v>0</v>
      </c>
      <c r="U73" s="250">
        <f>IF(DATEDIF(C73,Reference!$B$28,"Y")&gt;=1,S73+R73,0)</f>
        <v>0</v>
      </c>
      <c r="V73" s="251">
        <f>iferror(((N73*D73) - K73 + S73)/SWITCH('Summary &amp; Instructions'!$K$26, "Calculated", O73, "Manual entries", I73), 0)</f>
        <v>0</v>
      </c>
      <c r="W73" s="171">
        <f>(Reference!$B$10-V73)*((SWITCH('Summary &amp; Instructions'!$K$26, "Calculated", O73, "Manual entries", I73)) - Q73)</f>
        <v>0</v>
      </c>
      <c r="X73" s="171">
        <f t="shared" si="5"/>
        <v>0</v>
      </c>
      <c r="Y73" s="266">
        <f t="shared" si="6"/>
        <v>0</v>
      </c>
    </row>
    <row r="74">
      <c r="A74" s="273"/>
      <c r="B74" s="267"/>
      <c r="C74" s="274">
        <v>44927.0</v>
      </c>
      <c r="D74" s="254">
        <v>0.0</v>
      </c>
      <c r="E74" s="268">
        <v>122.76</v>
      </c>
      <c r="F74" s="269">
        <v>0.0</v>
      </c>
      <c r="G74" s="260">
        <f t="shared" si="1"/>
        <v>0</v>
      </c>
      <c r="H74" s="258">
        <f t="shared" si="2"/>
        <v>0</v>
      </c>
      <c r="I74" s="163">
        <v>0.0</v>
      </c>
      <c r="J74" s="270" t="b">
        <v>0</v>
      </c>
      <c r="K74" s="257">
        <f>Reference!$B$4*Reference!$B$3*D74</f>
        <v>0</v>
      </c>
      <c r="L74" s="260">
        <f>IF(C74&lt;Reference!$B$26,Reference!$C$26,0)</f>
        <v>0</v>
      </c>
      <c r="M74" s="260">
        <f>IF(C74&lt;Reference!$B$27,Reference!$C$27,0)</f>
        <v>0</v>
      </c>
      <c r="N74" s="260">
        <f t="shared" si="3"/>
        <v>122.76</v>
      </c>
      <c r="O74" s="261">
        <f>SWITCH('Summary &amp; Instructions'!$K$26,"Calculated", D74*Reference!$B$5*Reference!$B$6, "Manual entries",I74)</f>
        <v>0</v>
      </c>
      <c r="P74" s="262">
        <f>MAX(K74+(O74*Reference!$B$18)-(D74*N74),0)</f>
        <v>0</v>
      </c>
      <c r="Q74" s="166">
        <f>IF(J74,'Summary &amp; Instructions'!$C$39/ (J$84+ESPP!$N$26), 0)</f>
        <v>0</v>
      </c>
      <c r="R74" s="247">
        <f>IF(J74,(Reference!$B$23 - V74) * Q74, 0)</f>
        <v>0</v>
      </c>
      <c r="S74" s="248">
        <f t="shared" si="4"/>
        <v>0</v>
      </c>
      <c r="T74" s="265">
        <f>IF(DATEDIF(C74,Reference!$B$28,"Y")&gt;=1,0,S74+R74)</f>
        <v>0</v>
      </c>
      <c r="U74" s="250">
        <f>IF(DATEDIF(C74,Reference!$B$28,"Y")&gt;=1,S74+R74,0)</f>
        <v>0</v>
      </c>
      <c r="V74" s="251">
        <f>iferror(((N74*D74) - K74 + S74)/SWITCH('Summary &amp; Instructions'!$K$26, "Calculated", O74, "Manual entries", I74), 0)</f>
        <v>0</v>
      </c>
      <c r="W74" s="171">
        <f>(Reference!$B$10-V74)*((SWITCH('Summary &amp; Instructions'!$K$26, "Calculated", O74, "Manual entries", I74)) - Q74)</f>
        <v>0</v>
      </c>
      <c r="X74" s="171">
        <f t="shared" si="5"/>
        <v>0</v>
      </c>
      <c r="Y74" s="266">
        <f t="shared" si="6"/>
        <v>0</v>
      </c>
    </row>
    <row r="75">
      <c r="A75" s="273"/>
      <c r="B75" s="267"/>
      <c r="C75" s="158">
        <v>44958.0</v>
      </c>
      <c r="D75" s="254">
        <v>0.0</v>
      </c>
      <c r="E75" s="268">
        <v>123.34</v>
      </c>
      <c r="F75" s="269">
        <v>0.0</v>
      </c>
      <c r="G75" s="260">
        <f t="shared" si="1"/>
        <v>0</v>
      </c>
      <c r="H75" s="258">
        <f t="shared" si="2"/>
        <v>0</v>
      </c>
      <c r="I75" s="163">
        <v>0.0</v>
      </c>
      <c r="J75" s="270" t="b">
        <v>0</v>
      </c>
      <c r="K75" s="257">
        <f>Reference!$B$4*Reference!$B$3*D75</f>
        <v>0</v>
      </c>
      <c r="L75" s="260">
        <f>IF(C75&lt;Reference!$B$26,Reference!$C$26,0)</f>
        <v>0</v>
      </c>
      <c r="M75" s="260">
        <f>IF(C75&lt;Reference!$B$27,Reference!$C$27,0)</f>
        <v>0</v>
      </c>
      <c r="N75" s="260">
        <f t="shared" si="3"/>
        <v>123.34</v>
      </c>
      <c r="O75" s="261">
        <f>SWITCH('Summary &amp; Instructions'!$K$26,"Calculated", D75*Reference!$B$5*Reference!$B$6, "Manual entries",I75)</f>
        <v>0</v>
      </c>
      <c r="P75" s="262">
        <f>MAX(K75+(O75*Reference!$B$18)-(D75*N75),0)</f>
        <v>0</v>
      </c>
      <c r="Q75" s="166">
        <f>IF(J75,'Summary &amp; Instructions'!$C$39/ (J$84+ESPP!$N$26), 0)</f>
        <v>0</v>
      </c>
      <c r="R75" s="247">
        <f>IF(J75,(Reference!$B$23 - V75) * Q75, 0)</f>
        <v>0</v>
      </c>
      <c r="S75" s="248">
        <f t="shared" si="4"/>
        <v>0</v>
      </c>
      <c r="T75" s="265">
        <f>IF(DATEDIF(C75,Reference!$B$28,"Y")&gt;=1,0,S75+R75)</f>
        <v>0</v>
      </c>
      <c r="U75" s="250">
        <f>IF(DATEDIF(C75,Reference!$B$28,"Y")&gt;=1,S75+R75,0)</f>
        <v>0</v>
      </c>
      <c r="V75" s="251">
        <f>iferror(((N75*D75) - K75 + S75)/SWITCH('Summary &amp; Instructions'!$K$26, "Calculated", O75, "Manual entries", I75), 0)</f>
        <v>0</v>
      </c>
      <c r="W75" s="171">
        <f>(Reference!$B$10-V75)*((SWITCH('Summary &amp; Instructions'!$K$26, "Calculated", O75, "Manual entries", I75)) - Q75)</f>
        <v>0</v>
      </c>
      <c r="X75" s="171">
        <f t="shared" si="5"/>
        <v>0</v>
      </c>
      <c r="Y75" s="266">
        <f t="shared" si="6"/>
        <v>0</v>
      </c>
    </row>
    <row r="76">
      <c r="A76" s="253"/>
      <c r="B76" s="267"/>
      <c r="C76" s="158">
        <v>44986.0</v>
      </c>
      <c r="D76" s="254">
        <v>0.0</v>
      </c>
      <c r="E76" s="268">
        <v>110.09</v>
      </c>
      <c r="F76" s="269">
        <v>0.0</v>
      </c>
      <c r="G76" s="260">
        <f t="shared" si="1"/>
        <v>0</v>
      </c>
      <c r="H76" s="258">
        <f t="shared" si="2"/>
        <v>0</v>
      </c>
      <c r="I76" s="163">
        <v>0.0</v>
      </c>
      <c r="J76" s="270" t="b">
        <v>0</v>
      </c>
      <c r="K76" s="257">
        <f>Reference!$B$4*Reference!$B$3*D76</f>
        <v>0</v>
      </c>
      <c r="L76" s="260">
        <f>IF(C76&lt;Reference!$B$26,Reference!$C$26,0)</f>
        <v>0</v>
      </c>
      <c r="M76" s="260">
        <f>IF(C76&lt;Reference!$B$27,Reference!$C$27,0)</f>
        <v>0</v>
      </c>
      <c r="N76" s="260">
        <f t="shared" si="3"/>
        <v>110.09</v>
      </c>
      <c r="O76" s="261">
        <f>SWITCH('Summary &amp; Instructions'!$K$26,"Calculated", D76*Reference!$B$5*Reference!$B$6, "Manual entries",I76)</f>
        <v>0</v>
      </c>
      <c r="P76" s="262">
        <f>MAX(K76+(O76*Reference!$B$18)-(D76*N76),0)</f>
        <v>0</v>
      </c>
      <c r="Q76" s="166">
        <f>IF(J76,'Summary &amp; Instructions'!$C$39/ (J$84+ESPP!$N$26), 0)</f>
        <v>0</v>
      </c>
      <c r="R76" s="247">
        <f>IF(J76,(Reference!$B$23 - V76) * Q76, 0)</f>
        <v>0</v>
      </c>
      <c r="S76" s="248">
        <f t="shared" si="4"/>
        <v>0</v>
      </c>
      <c r="T76" s="265">
        <f>IF(DATEDIF(C76,Reference!$B$28,"Y")&gt;=1,0,S76+R76)</f>
        <v>0</v>
      </c>
      <c r="U76" s="250">
        <f>IF(DATEDIF(C76,Reference!$B$28,"Y")&gt;=1,S76+R76,0)</f>
        <v>0</v>
      </c>
      <c r="V76" s="251">
        <f>iferror(((N76*D76) - K76 + S76)/SWITCH('Summary &amp; Instructions'!$K$26, "Calculated", O76, "Manual entries", I76), 0)</f>
        <v>0</v>
      </c>
      <c r="W76" s="171">
        <f>(Reference!$B$10-V76)*((SWITCH('Summary &amp; Instructions'!$K$26, "Calculated", O76, "Manual entries", I76)) - Q76)</f>
        <v>0</v>
      </c>
      <c r="X76" s="171">
        <f t="shared" si="5"/>
        <v>0</v>
      </c>
      <c r="Y76" s="266">
        <f t="shared" si="6"/>
        <v>0</v>
      </c>
    </row>
    <row r="77">
      <c r="A77" s="273"/>
      <c r="B77" s="267"/>
      <c r="C77" s="158">
        <v>45047.0</v>
      </c>
      <c r="D77" s="254">
        <v>0.0</v>
      </c>
      <c r="E77" s="268">
        <v>126.98</v>
      </c>
      <c r="F77" s="269">
        <v>0.0</v>
      </c>
      <c r="G77" s="260">
        <f t="shared" si="1"/>
        <v>0</v>
      </c>
      <c r="H77" s="258">
        <f t="shared" si="2"/>
        <v>0</v>
      </c>
      <c r="I77" s="163">
        <v>0.0</v>
      </c>
      <c r="J77" s="270" t="b">
        <v>0</v>
      </c>
      <c r="K77" s="257">
        <f>Reference!$B$4*Reference!$B$3*D77</f>
        <v>0</v>
      </c>
      <c r="L77" s="260">
        <f>IF(C77&lt;Reference!$B$26,Reference!$C$26,0)</f>
        <v>0</v>
      </c>
      <c r="M77" s="260">
        <f>IF(C77&lt;Reference!$B$27,Reference!$C$27,0)</f>
        <v>0</v>
      </c>
      <c r="N77" s="260">
        <f t="shared" si="3"/>
        <v>126.98</v>
      </c>
      <c r="O77" s="261">
        <f>SWITCH('Summary &amp; Instructions'!$K$26,"Calculated", D77*Reference!$B$5*Reference!$B$6, "Manual entries",I77)</f>
        <v>0</v>
      </c>
      <c r="P77" s="262">
        <f>MAX(K77+(O77*Reference!$B$18)-(D77*N77),0)</f>
        <v>0</v>
      </c>
      <c r="Q77" s="166">
        <f>IF(J77,'Summary &amp; Instructions'!$C$39/ (J$84+ESPP!$N$26), 0)</f>
        <v>0</v>
      </c>
      <c r="R77" s="247">
        <f>IF(J77,(Reference!$B$23 - V77) * Q77, 0)</f>
        <v>0</v>
      </c>
      <c r="S77" s="248">
        <f t="shared" si="4"/>
        <v>0</v>
      </c>
      <c r="T77" s="265">
        <f>IF(DATEDIF(C77,Reference!$B$28,"Y")&gt;=1,0,S77+R77)</f>
        <v>0</v>
      </c>
      <c r="U77" s="250">
        <f>IF(DATEDIF(C77,Reference!$B$28,"Y")&gt;=1,S77+R77,0)</f>
        <v>0</v>
      </c>
      <c r="V77" s="251">
        <f>iferror(((N77*D77) - K77 + S77)/SWITCH('Summary &amp; Instructions'!$K$26, "Calculated", O77, "Manual entries", I77), 0)</f>
        <v>0</v>
      </c>
      <c r="W77" s="171">
        <f>(Reference!$B$10-V77)*((SWITCH('Summary &amp; Instructions'!$K$26, "Calculated", O77, "Manual entries", I77)) - Q77)</f>
        <v>0</v>
      </c>
      <c r="X77" s="171">
        <f t="shared" si="5"/>
        <v>0</v>
      </c>
      <c r="Y77" s="266">
        <f t="shared" si="6"/>
        <v>0</v>
      </c>
    </row>
    <row r="78">
      <c r="A78" s="273"/>
      <c r="B78" s="267"/>
      <c r="C78" s="158">
        <v>45047.0</v>
      </c>
      <c r="D78" s="254">
        <v>0.0</v>
      </c>
      <c r="E78" s="268">
        <v>126.98</v>
      </c>
      <c r="F78" s="269">
        <v>0.0</v>
      </c>
      <c r="G78" s="260">
        <f t="shared" si="1"/>
        <v>0</v>
      </c>
      <c r="H78" s="258">
        <f t="shared" si="2"/>
        <v>0</v>
      </c>
      <c r="I78" s="163">
        <v>0.0</v>
      </c>
      <c r="J78" s="270" t="b">
        <v>0</v>
      </c>
      <c r="K78" s="257">
        <f>Reference!$B$4*Reference!$B$3*D78</f>
        <v>0</v>
      </c>
      <c r="L78" s="260">
        <f>IF(C78&lt;Reference!$B$26,Reference!$C$26,0)</f>
        <v>0</v>
      </c>
      <c r="M78" s="260">
        <f>IF(C78&lt;Reference!$B$27,Reference!$C$27,0)</f>
        <v>0</v>
      </c>
      <c r="N78" s="260">
        <f t="shared" si="3"/>
        <v>126.98</v>
      </c>
      <c r="O78" s="261">
        <f>SWITCH('Summary &amp; Instructions'!$K$26,"Calculated", D78*Reference!$B$5*Reference!$B$6, "Manual entries",I78)</f>
        <v>0</v>
      </c>
      <c r="P78" s="262">
        <f>MAX(K78+(O78*Reference!$B$18)-(D78*N78),0)</f>
        <v>0</v>
      </c>
      <c r="Q78" s="166">
        <f>IF(J78,'Summary &amp; Instructions'!$C$39/ (J$84+ESPP!$N$26), 0)</f>
        <v>0</v>
      </c>
      <c r="R78" s="247">
        <f>IF(J78,(Reference!$B$23 - V78) * Q78, 0)</f>
        <v>0</v>
      </c>
      <c r="S78" s="248">
        <f t="shared" si="4"/>
        <v>0</v>
      </c>
      <c r="T78" s="265">
        <f>IF(DATEDIF(C78,Reference!$B$28,"Y")&gt;=1,0,S78+R78)</f>
        <v>0</v>
      </c>
      <c r="U78" s="250">
        <f>IF(DATEDIF(C78,Reference!$B$28,"Y")&gt;=1,S78+R78,0)</f>
        <v>0</v>
      </c>
      <c r="V78" s="251">
        <f>iferror(((N78*D78) - K78 + S78)/SWITCH('Summary &amp; Instructions'!$K$26, "Calculated", O78, "Manual entries", I78), 0)</f>
        <v>0</v>
      </c>
      <c r="W78" s="171">
        <f>(Reference!$B$10-V78)*((SWITCH('Summary &amp; Instructions'!$K$26, "Calculated", O78, "Manual entries", I78)) - Q78)</f>
        <v>0</v>
      </c>
      <c r="X78" s="171">
        <f t="shared" si="5"/>
        <v>0</v>
      </c>
      <c r="Y78" s="266">
        <f t="shared" si="6"/>
        <v>0</v>
      </c>
    </row>
    <row r="79">
      <c r="A79" s="253"/>
      <c r="B79" s="267"/>
      <c r="C79" s="158">
        <v>45078.0</v>
      </c>
      <c r="D79" s="254">
        <v>0.0</v>
      </c>
      <c r="E79" s="268">
        <v>133.94</v>
      </c>
      <c r="F79" s="269">
        <v>0.0</v>
      </c>
      <c r="G79" s="260">
        <f t="shared" si="1"/>
        <v>0</v>
      </c>
      <c r="H79" s="258">
        <f t="shared" si="2"/>
        <v>0</v>
      </c>
      <c r="I79" s="163">
        <v>0.0</v>
      </c>
      <c r="J79" s="270" t="b">
        <v>0</v>
      </c>
      <c r="K79" s="257">
        <f>Reference!$B$4*Reference!$B$3*D79</f>
        <v>0</v>
      </c>
      <c r="L79" s="260">
        <f>IF(C79&lt;Reference!$B$26,Reference!$C$26,0)</f>
        <v>0</v>
      </c>
      <c r="M79" s="260">
        <f>IF(C79&lt;Reference!$B$27,Reference!$C$27,0)</f>
        <v>0</v>
      </c>
      <c r="N79" s="260">
        <f t="shared" si="3"/>
        <v>133.94</v>
      </c>
      <c r="O79" s="261">
        <f>SWITCH('Summary &amp; Instructions'!$K$26,"Calculated", D79*Reference!$B$5*Reference!$B$6, "Manual entries",I79)</f>
        <v>0</v>
      </c>
      <c r="P79" s="262">
        <f>MAX(K79+(O79*Reference!$B$18)-(D79*N79),0)</f>
        <v>0</v>
      </c>
      <c r="Q79" s="166">
        <f>IF(J79,'Summary &amp; Instructions'!$C$39/ (J$84+ESPP!$N$26), 0)</f>
        <v>0</v>
      </c>
      <c r="R79" s="247">
        <f>IF(J79,(Reference!$B$23 - V79) * Q79, 0)</f>
        <v>0</v>
      </c>
      <c r="S79" s="248">
        <f t="shared" si="4"/>
        <v>0</v>
      </c>
      <c r="T79" s="265">
        <f>IF(DATEDIF(C79,Reference!$B$28,"Y")&gt;=1,0,S79+R79)</f>
        <v>0</v>
      </c>
      <c r="U79" s="250">
        <f>IF(DATEDIF(C79,Reference!$B$28,"Y")&gt;=1,S79+R79,0)</f>
        <v>0</v>
      </c>
      <c r="V79" s="251">
        <f>iferror(((N79*D79) - K79 + S79)/SWITCH('Summary &amp; Instructions'!$K$26, "Calculated", O79, "Manual entries", I79), 0)</f>
        <v>0</v>
      </c>
      <c r="W79" s="171">
        <f>(Reference!$B$10-V79)*((SWITCH('Summary &amp; Instructions'!$K$26, "Calculated", O79, "Manual entries", I79)) - Q79)</f>
        <v>0</v>
      </c>
      <c r="X79" s="171">
        <f t="shared" si="5"/>
        <v>0</v>
      </c>
      <c r="Y79" s="266">
        <f t="shared" si="6"/>
        <v>0</v>
      </c>
    </row>
    <row r="80">
      <c r="A80" s="273"/>
      <c r="B80" s="267"/>
      <c r="C80" s="158">
        <v>45078.0</v>
      </c>
      <c r="D80" s="254">
        <v>0.0</v>
      </c>
      <c r="E80" s="268">
        <v>133.94</v>
      </c>
      <c r="F80" s="269">
        <v>0.0</v>
      </c>
      <c r="G80" s="260">
        <f t="shared" si="1"/>
        <v>0</v>
      </c>
      <c r="H80" s="258">
        <f t="shared" si="2"/>
        <v>0</v>
      </c>
      <c r="I80" s="163">
        <v>0.0</v>
      </c>
      <c r="J80" s="270" t="b">
        <v>0</v>
      </c>
      <c r="K80" s="257">
        <f>Reference!$B$4*Reference!$B$3*D80</f>
        <v>0</v>
      </c>
      <c r="L80" s="260">
        <f>IF(C80&lt;Reference!$B$26,Reference!$C$26,0)</f>
        <v>0</v>
      </c>
      <c r="M80" s="260">
        <f>IF(C80&lt;Reference!$B$27,Reference!$C$27,0)</f>
        <v>0</v>
      </c>
      <c r="N80" s="260">
        <f t="shared" si="3"/>
        <v>133.94</v>
      </c>
      <c r="O80" s="261">
        <f>SWITCH('Summary &amp; Instructions'!$K$26,"Calculated", D80*Reference!$B$5*Reference!$B$6, "Manual entries",I80)</f>
        <v>0</v>
      </c>
      <c r="P80" s="262">
        <f>MAX(K80+(O80*Reference!$B$18)-(D80*N80),0)</f>
        <v>0</v>
      </c>
      <c r="Q80" s="166">
        <f>IF(J80,'Summary &amp; Instructions'!$C$39/ (J$84+ESPP!$N$26), 0)</f>
        <v>0</v>
      </c>
      <c r="R80" s="247">
        <f>IF(J80,(Reference!$B$23 - V80) * Q80, 0)</f>
        <v>0</v>
      </c>
      <c r="S80" s="248">
        <f t="shared" si="4"/>
        <v>0</v>
      </c>
      <c r="T80" s="265">
        <f>IF(DATEDIF(C80,Reference!$B$28,"Y")&gt;=1,0,S80+R80)</f>
        <v>0</v>
      </c>
      <c r="U80" s="250">
        <f>IF(DATEDIF(C80,Reference!$B$28,"Y")&gt;=1,S80+R80,0)</f>
        <v>0</v>
      </c>
      <c r="V80" s="251">
        <f>iferror(((N80*D80) - K80 + S80)/SWITCH('Summary &amp; Instructions'!$K$26, "Calculated", O80, "Manual entries", I80), 0)</f>
        <v>0</v>
      </c>
      <c r="W80" s="171">
        <f>(Reference!$B$10-V80)*((SWITCH('Summary &amp; Instructions'!$K$26, "Calculated", O80, "Manual entries", I80)) - Q80)</f>
        <v>0</v>
      </c>
      <c r="X80" s="171">
        <f t="shared" si="5"/>
        <v>0</v>
      </c>
      <c r="Y80" s="266">
        <f t="shared" si="6"/>
        <v>0</v>
      </c>
    </row>
    <row r="81">
      <c r="A81" s="273"/>
      <c r="B81" s="267"/>
      <c r="C81" s="158">
        <v>45139.0</v>
      </c>
      <c r="D81" s="254">
        <v>0.0</v>
      </c>
      <c r="E81" s="268">
        <v>158.96</v>
      </c>
      <c r="F81" s="269">
        <v>0.0</v>
      </c>
      <c r="G81" s="260">
        <f t="shared" si="1"/>
        <v>0</v>
      </c>
      <c r="H81" s="258">
        <f t="shared" si="2"/>
        <v>0</v>
      </c>
      <c r="I81" s="163">
        <v>0.0</v>
      </c>
      <c r="J81" s="270" t="b">
        <v>0</v>
      </c>
      <c r="K81" s="257">
        <f>Reference!$B$4*Reference!$B$3*D81</f>
        <v>0</v>
      </c>
      <c r="L81" s="260">
        <f>IF(C81&lt;Reference!$B$26,Reference!$C$26,0)</f>
        <v>0</v>
      </c>
      <c r="M81" s="260">
        <f>IF(C81&lt;Reference!$B$27,Reference!$C$27,0)</f>
        <v>0</v>
      </c>
      <c r="N81" s="260">
        <f t="shared" si="3"/>
        <v>158.96</v>
      </c>
      <c r="O81" s="261">
        <f>SWITCH('Summary &amp; Instructions'!$K$26,"Calculated", D81*Reference!$B$5*Reference!$B$6, "Manual entries",I81)</f>
        <v>0</v>
      </c>
      <c r="P81" s="262">
        <f>MAX(K81+(O81*Reference!$B$18)-(D81*N81),0)</f>
        <v>0</v>
      </c>
      <c r="Q81" s="166">
        <f>IF(J81,'Summary &amp; Instructions'!$C$39/ (J$84+ESPP!$N$26), 0)</f>
        <v>0</v>
      </c>
      <c r="R81" s="247">
        <f>IF(J81,(Reference!$B$23 - V81) * Q81, 0)</f>
        <v>0</v>
      </c>
      <c r="S81" s="248">
        <f t="shared" si="4"/>
        <v>0</v>
      </c>
      <c r="T81" s="265">
        <f>IF(DATEDIF(C81,Reference!$B$28,"Y")&gt;=1,0,S81+R81)</f>
        <v>0</v>
      </c>
      <c r="U81" s="250">
        <f>IF(DATEDIF(C81,Reference!$B$28,"Y")&gt;=1,S81+R81,0)</f>
        <v>0</v>
      </c>
      <c r="V81" s="251">
        <f>iferror(((N81*D81) - K81 + S81)/SWITCH('Summary &amp; Instructions'!$K$26, "Calculated", O81, "Manual entries", I81), 0)</f>
        <v>0</v>
      </c>
      <c r="W81" s="171">
        <f>(Reference!$B$10-V81)*((SWITCH('Summary &amp; Instructions'!$K$26, "Calculated", O81, "Manual entries", I81)) - Q81)</f>
        <v>0</v>
      </c>
      <c r="X81" s="171">
        <f t="shared" si="5"/>
        <v>0</v>
      </c>
      <c r="Y81" s="266">
        <f t="shared" si="6"/>
        <v>0</v>
      </c>
    </row>
    <row r="82">
      <c r="A82" s="275"/>
      <c r="B82" s="276"/>
      <c r="C82" s="277">
        <v>45170.0</v>
      </c>
      <c r="D82" s="278">
        <v>0.0</v>
      </c>
      <c r="E82" s="279">
        <v>164.1</v>
      </c>
      <c r="F82" s="269">
        <v>0.0</v>
      </c>
      <c r="G82" s="280">
        <f t="shared" si="1"/>
        <v>0</v>
      </c>
      <c r="H82" s="281">
        <f t="shared" si="2"/>
        <v>0</v>
      </c>
      <c r="I82" s="187">
        <v>0.0</v>
      </c>
      <c r="J82" s="282" t="b">
        <v>0</v>
      </c>
      <c r="K82" s="283">
        <f>Reference!$B$4*Reference!$B$3*D82</f>
        <v>0</v>
      </c>
      <c r="L82" s="280">
        <f>IF(C82&lt;Reference!$B$26,Reference!$C$26,0)</f>
        <v>0</v>
      </c>
      <c r="M82" s="280">
        <f>IF(C82&lt;Reference!$B$27,Reference!$C$27,0)</f>
        <v>0</v>
      </c>
      <c r="N82" s="280">
        <f t="shared" si="3"/>
        <v>164.1</v>
      </c>
      <c r="O82" s="284">
        <f>SWITCH('Summary &amp; Instructions'!$K$26,"Calculated", D82*Reference!$B$5*Reference!$B$6, "Manual entries",I82)</f>
        <v>0</v>
      </c>
      <c r="P82" s="285">
        <f>MAX(K82+(O82*Reference!$B$18)-(D82*N82),0)</f>
        <v>0</v>
      </c>
      <c r="Q82" s="190">
        <f>IF(J82,'Summary &amp; Instructions'!$C$39/ (J$84+ESPP!$N$26), 0)</f>
        <v>0</v>
      </c>
      <c r="R82" s="286">
        <f>IF(J82,(Reference!$B$23 - V82) * Q82, 0)</f>
        <v>0</v>
      </c>
      <c r="S82" s="287">
        <f t="shared" si="4"/>
        <v>0</v>
      </c>
      <c r="T82" s="288">
        <f>IF(DATEDIF(C82,Reference!$B$28,"Y")&gt;=1,0,S82+R82)</f>
        <v>0</v>
      </c>
      <c r="U82" s="289">
        <f>IF(DATEDIF(C82,Reference!$B$28,"Y")&gt;=1,S82+R82,0)</f>
        <v>0</v>
      </c>
      <c r="V82" s="251">
        <f>iferror(((N82*D82) - K82 + S82)/SWITCH('Summary &amp; Instructions'!$K$26, "Calculated", O82, "Manual entries", I82), 0)</f>
        <v>0</v>
      </c>
      <c r="W82" s="196">
        <f>(Reference!$B$10-V82)*((SWITCH('Summary &amp; Instructions'!$K$26, "Calculated", O82, "Manual entries", I82)) - Q82)</f>
        <v>0</v>
      </c>
      <c r="X82" s="196">
        <f t="shared" si="5"/>
        <v>0</v>
      </c>
      <c r="Y82" s="290">
        <f t="shared" si="6"/>
        <v>0</v>
      </c>
    </row>
    <row r="83">
      <c r="G83" s="85"/>
      <c r="I83" s="27"/>
      <c r="K83" s="27"/>
      <c r="Q83" s="27"/>
      <c r="T83" s="27"/>
      <c r="V83" s="27"/>
    </row>
    <row r="84">
      <c r="A84" s="84"/>
      <c r="B84" s="85"/>
      <c r="C84" s="85"/>
      <c r="D84" s="199">
        <f>SUM(D5:D82)</f>
        <v>0</v>
      </c>
      <c r="E84" s="85"/>
      <c r="F84" s="85"/>
      <c r="G84" s="291">
        <f t="shared" ref="G84:H84" si="7">SUM(G3:G82)</f>
        <v>0</v>
      </c>
      <c r="H84" s="201">
        <f t="shared" si="7"/>
        <v>0</v>
      </c>
      <c r="I84" s="202">
        <f>SUM(I5:I82)</f>
        <v>0</v>
      </c>
      <c r="J84" s="85">
        <f>COUNTIF(J5:J82, TRUE)</f>
        <v>0</v>
      </c>
      <c r="K84" s="110">
        <f>SUM(K5:K82)</f>
        <v>0</v>
      </c>
      <c r="L84" s="85"/>
      <c r="M84" s="85"/>
      <c r="N84" s="85"/>
      <c r="O84" s="203">
        <f t="shared" ref="O84:U84" si="8">SUM(O5:O82)</f>
        <v>0</v>
      </c>
      <c r="P84" s="201">
        <f t="shared" si="8"/>
        <v>0</v>
      </c>
      <c r="Q84" s="292">
        <f t="shared" si="8"/>
        <v>0</v>
      </c>
      <c r="R84" s="205">
        <f t="shared" si="8"/>
        <v>0</v>
      </c>
      <c r="S84" s="201">
        <f t="shared" si="8"/>
        <v>0</v>
      </c>
      <c r="T84" s="110">
        <f t="shared" si="8"/>
        <v>0</v>
      </c>
      <c r="U84" s="205">
        <f t="shared" si="8"/>
        <v>0</v>
      </c>
      <c r="V84" s="84"/>
      <c r="W84" s="86">
        <f t="shared" ref="W84:Y84" si="9">SUM(W5:W82)</f>
        <v>0</v>
      </c>
      <c r="X84" s="86">
        <f t="shared" si="9"/>
        <v>0</v>
      </c>
      <c r="Y84" s="87">
        <f t="shared" si="9"/>
        <v>0</v>
      </c>
    </row>
  </sheetData>
  <mergeCells count="13">
    <mergeCell ref="B3:E3"/>
    <mergeCell ref="G3:H3"/>
    <mergeCell ref="L3:M3"/>
    <mergeCell ref="R3:S3"/>
    <mergeCell ref="T3:U3"/>
    <mergeCell ref="V3:Y3"/>
    <mergeCell ref="A1:J1"/>
    <mergeCell ref="K1:Y1"/>
    <mergeCell ref="A2:H2"/>
    <mergeCell ref="I2:J2"/>
    <mergeCell ref="K2:P2"/>
    <mergeCell ref="R2:U2"/>
    <mergeCell ref="V2:Y2"/>
  </mergeCells>
  <conditionalFormatting sqref="I5:I82">
    <cfRule type="containsBlanks" dxfId="3" priority="1">
      <formula>LEN(TRIM(I5))=0</formula>
    </cfRule>
  </conditionalFormatting>
  <conditionalFormatting sqref="I5:I82">
    <cfRule type="cellIs" dxfId="4" priority="2" operator="notEqual">
      <formula>ROUND(O5,3)</formula>
    </cfRule>
  </conditionalFormatting>
  <conditionalFormatting sqref="S5:S82">
    <cfRule type="containsBlanks" dxfId="3" priority="3">
      <formula>LEN(TRIM(S5))=0</formula>
    </cfRule>
  </conditionalFormatting>
  <conditionalFormatting sqref="S5:S82">
    <cfRule type="cellIs" dxfId="5" priority="4" operator="notEqual">
      <formula>K5</formula>
    </cfRule>
  </conditionalFormatting>
  <conditionalFormatting sqref="R5:R82">
    <cfRule type="cellIs" dxfId="6" priority="5" operator="equal">
      <formula>0</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0"/>
    <col customWidth="1" min="3" max="3" width="14.75"/>
    <col customWidth="1" min="4" max="4" width="15.0"/>
  </cols>
  <sheetData>
    <row r="1">
      <c r="A1" s="122" t="s">
        <v>153</v>
      </c>
      <c r="B1" s="55"/>
      <c r="C1" s="51"/>
      <c r="D1" s="51"/>
      <c r="E1" s="51"/>
      <c r="F1" s="51"/>
    </row>
    <row r="2">
      <c r="A2" s="122"/>
      <c r="B2" s="55"/>
      <c r="C2" s="51"/>
      <c r="D2" s="51"/>
      <c r="E2" s="51"/>
      <c r="F2" s="51"/>
    </row>
    <row r="3">
      <c r="A3" s="122" t="s">
        <v>154</v>
      </c>
      <c r="B3" s="41">
        <v>142.5</v>
      </c>
      <c r="C3" s="51"/>
      <c r="D3" s="55" t="s">
        <v>155</v>
      </c>
      <c r="E3" s="175">
        <f>B3*B4 + B18*B5*B6</f>
        <v>142.5</v>
      </c>
      <c r="F3" s="51"/>
    </row>
    <row r="4">
      <c r="A4" s="122" t="s">
        <v>156</v>
      </c>
      <c r="B4" s="293">
        <f>iferror('Summary &amp; Instructions'!B25/('Summary &amp; Instructions'!B25+'Summary &amp; Instructions'!B26),1)</f>
        <v>1</v>
      </c>
      <c r="C4" s="53"/>
      <c r="D4" s="53"/>
      <c r="E4" s="53"/>
      <c r="F4" s="53"/>
      <c r="G4" s="35"/>
      <c r="H4" s="35"/>
    </row>
    <row r="5">
      <c r="A5" s="122" t="s">
        <v>157</v>
      </c>
      <c r="B5" s="293">
        <f>iferror('Summary &amp; Instructions'!B26/('Summary &amp; Instructions'!B26+'Summary &amp; Instructions'!B25),0)</f>
        <v>0</v>
      </c>
      <c r="C5" s="55"/>
      <c r="D5" s="55"/>
      <c r="E5" s="55"/>
      <c r="F5" s="55"/>
      <c r="G5" s="55"/>
      <c r="H5" s="55"/>
    </row>
    <row r="6">
      <c r="A6" s="122" t="s">
        <v>158</v>
      </c>
      <c r="B6" s="50">
        <v>0.252</v>
      </c>
      <c r="C6" s="55"/>
      <c r="D6" s="55"/>
      <c r="E6" s="55"/>
      <c r="F6" s="55"/>
      <c r="G6" s="55"/>
      <c r="H6" s="55"/>
    </row>
    <row r="7">
      <c r="A7" s="122"/>
      <c r="B7" s="123"/>
      <c r="C7" s="55"/>
      <c r="D7" s="55"/>
      <c r="E7" s="55"/>
      <c r="F7" s="55"/>
      <c r="G7" s="55"/>
      <c r="H7" s="55"/>
    </row>
    <row r="8">
      <c r="A8" s="122" t="s">
        <v>159</v>
      </c>
      <c r="B8" s="294">
        <v>0.2</v>
      </c>
      <c r="C8" s="55"/>
      <c r="D8" s="55"/>
      <c r="E8" s="55"/>
      <c r="F8" s="55"/>
      <c r="G8" s="55"/>
      <c r="H8" s="55"/>
    </row>
    <row r="9">
      <c r="C9" s="51"/>
      <c r="D9" s="51"/>
      <c r="E9" s="51"/>
      <c r="F9" s="51"/>
    </row>
    <row r="10">
      <c r="A10" s="2" t="s">
        <v>160</v>
      </c>
      <c r="B10" s="51">
        <f>IFERROR(__xludf.DUMMYFUNCTION("GOOGLEFINANCE(""AVGO"")"),1265.07)</f>
        <v>1265.07</v>
      </c>
      <c r="C10" s="51"/>
      <c r="D10" s="51"/>
      <c r="E10" s="51"/>
      <c r="F10" s="51"/>
    </row>
    <row r="11">
      <c r="B11" s="51"/>
      <c r="C11" s="51"/>
      <c r="D11" s="51"/>
      <c r="E11" s="51"/>
      <c r="F11" s="51"/>
    </row>
    <row r="12">
      <c r="A12" s="295" t="s">
        <v>161</v>
      </c>
      <c r="F12" s="51"/>
      <c r="G12" s="51"/>
    </row>
    <row r="13">
      <c r="A13" s="295" t="s">
        <v>162</v>
      </c>
      <c r="B13" s="41">
        <v>981.2</v>
      </c>
      <c r="F13" s="51"/>
      <c r="G13" s="51"/>
    </row>
    <row r="14">
      <c r="A14" s="295" t="s">
        <v>45</v>
      </c>
      <c r="B14" s="41">
        <v>979.5</v>
      </c>
      <c r="C14" s="51"/>
      <c r="D14" s="51"/>
      <c r="E14" s="51"/>
      <c r="F14" s="51"/>
    </row>
    <row r="16">
      <c r="A16" s="295" t="s">
        <v>163</v>
      </c>
      <c r="B16" s="41">
        <v>987.99</v>
      </c>
      <c r="C16" s="51"/>
      <c r="D16" s="51"/>
      <c r="E16" s="51"/>
      <c r="F16" s="51"/>
    </row>
    <row r="17">
      <c r="A17" s="296" t="s">
        <v>164</v>
      </c>
      <c r="B17" s="41">
        <v>971.0</v>
      </c>
      <c r="C17" s="51"/>
      <c r="D17" s="51"/>
      <c r="E17" s="51"/>
      <c r="F17" s="51"/>
    </row>
    <row r="18">
      <c r="A18" s="297" t="s">
        <v>39</v>
      </c>
      <c r="B18" s="298">
        <f>SWITCH('Summary &amp; Instructions'!K25,"Close",B13,"Mean",B14,"High",B16, "Low",B17, "Custom",'Summary &amp; Instructions'!M25)</f>
        <v>979.5</v>
      </c>
      <c r="C18" s="51"/>
      <c r="D18" s="51"/>
      <c r="E18" s="51"/>
      <c r="F18" s="51"/>
    </row>
    <row r="19">
      <c r="A19" s="122"/>
      <c r="B19" s="51"/>
      <c r="C19" s="51"/>
      <c r="D19" s="51"/>
      <c r="E19" s="51"/>
      <c r="F19" s="51"/>
    </row>
    <row r="20">
      <c r="A20" s="2" t="s">
        <v>165</v>
      </c>
      <c r="B20" s="55"/>
      <c r="C20" s="51"/>
      <c r="D20" s="51"/>
      <c r="E20" s="51"/>
      <c r="F20" s="51"/>
    </row>
    <row r="21">
      <c r="A21" s="2" t="s">
        <v>53</v>
      </c>
      <c r="B21" s="160">
        <v>904.79</v>
      </c>
      <c r="C21" s="51"/>
      <c r="D21" s="51"/>
      <c r="E21" s="51"/>
      <c r="F21" s="51"/>
    </row>
    <row r="22">
      <c r="A22" s="2" t="s">
        <v>166</v>
      </c>
      <c r="B22" s="41">
        <v>981.2</v>
      </c>
      <c r="C22" s="51"/>
      <c r="D22" s="51"/>
      <c r="E22" s="51"/>
      <c r="F22" s="51"/>
    </row>
    <row r="23">
      <c r="A23" s="297" t="s">
        <v>39</v>
      </c>
      <c r="B23" s="299">
        <f>SWITCH('Summary &amp; Instructions'!K27,"eTrade",B21,"Form 8937",B22,"Custom",'Summary &amp; Instructions'!M27)</f>
        <v>904.79</v>
      </c>
      <c r="C23" s="51"/>
      <c r="D23" s="51"/>
      <c r="E23" s="51"/>
      <c r="F23" s="51"/>
    </row>
    <row r="24">
      <c r="C24" s="55"/>
      <c r="E24" s="51"/>
      <c r="F24" s="51"/>
    </row>
    <row r="25">
      <c r="A25" s="2" t="s">
        <v>167</v>
      </c>
      <c r="B25" s="125"/>
      <c r="C25" s="300" t="s">
        <v>168</v>
      </c>
    </row>
    <row r="26">
      <c r="A26" s="122" t="s">
        <v>169</v>
      </c>
      <c r="B26" s="301">
        <v>43461.0</v>
      </c>
      <c r="C26" s="50">
        <v>10.18</v>
      </c>
    </row>
    <row r="27">
      <c r="A27" s="122" t="s">
        <v>169</v>
      </c>
      <c r="B27" s="301">
        <v>44498.0</v>
      </c>
      <c r="C27" s="302">
        <v>16.87</v>
      </c>
      <c r="E27" s="55"/>
      <c r="F27" s="122"/>
      <c r="G27" s="122"/>
    </row>
    <row r="28">
      <c r="A28" s="122" t="s">
        <v>170</v>
      </c>
      <c r="B28" s="303">
        <v>45252.0</v>
      </c>
    </row>
    <row r="29">
      <c r="A29" s="122" t="s">
        <v>171</v>
      </c>
      <c r="B29" s="303">
        <v>45252.0</v>
      </c>
      <c r="C29" s="300"/>
      <c r="D29" s="300"/>
      <c r="E29" s="2"/>
      <c r="F29" s="300"/>
      <c r="G29" s="300"/>
    </row>
    <row r="30">
      <c r="A30" s="2"/>
      <c r="B30" s="51"/>
      <c r="C30" s="51"/>
      <c r="D30" s="51"/>
      <c r="F30" s="55"/>
      <c r="G30" s="55"/>
    </row>
    <row r="31">
      <c r="A31" s="2" t="s">
        <v>172</v>
      </c>
      <c r="B31" s="304">
        <f>'Summary &amp; Instructions'!K31+'Summary &amp; Instructions'!K29+'Summary &amp; Instructions'!G26+ESPP!X26+RSU!T84</f>
        <v>0</v>
      </c>
      <c r="C31" s="81"/>
      <c r="D31" s="81"/>
      <c r="E31" s="55"/>
      <c r="F31" s="55"/>
      <c r="G31" s="55"/>
    </row>
    <row r="32">
      <c r="A32" s="2" t="s">
        <v>173</v>
      </c>
      <c r="B32" s="305">
        <f>ESPP!Y26+RSU!U84</f>
        <v>0</v>
      </c>
      <c r="C32" s="81"/>
      <c r="D32" s="81"/>
      <c r="E32" s="55"/>
      <c r="F32" s="55"/>
      <c r="G32" s="55"/>
    </row>
    <row r="33">
      <c r="A33" s="122"/>
      <c r="B33" s="306"/>
      <c r="C33" s="81"/>
      <c r="D33" s="81"/>
      <c r="E33" s="55"/>
      <c r="F33" s="55"/>
      <c r="G33" s="55"/>
    </row>
    <row r="34">
      <c r="A34" s="122"/>
      <c r="B34" s="307" t="s">
        <v>64</v>
      </c>
      <c r="C34" s="70" t="s">
        <v>174</v>
      </c>
      <c r="D34" s="70" t="s">
        <v>175</v>
      </c>
      <c r="E34" s="55"/>
      <c r="F34" s="55"/>
      <c r="G34" s="55"/>
    </row>
    <row r="35">
      <c r="A35" s="2" t="s">
        <v>176</v>
      </c>
      <c r="B35" s="308">
        <v>13850.0</v>
      </c>
      <c r="C35" s="308">
        <v>27700.0</v>
      </c>
      <c r="D35" s="308">
        <v>20800.0</v>
      </c>
      <c r="E35" s="55"/>
      <c r="F35" s="55"/>
      <c r="G35" s="55"/>
    </row>
    <row r="36">
      <c r="E36" s="51"/>
      <c r="F36" s="51"/>
    </row>
    <row r="37">
      <c r="A37" s="2" t="s">
        <v>177</v>
      </c>
      <c r="B37" s="309">
        <v>0.0</v>
      </c>
      <c r="C37" s="309">
        <v>0.15</v>
      </c>
      <c r="D37" s="309">
        <v>0.2</v>
      </c>
      <c r="E37" s="51"/>
      <c r="F37" s="51"/>
    </row>
    <row r="38">
      <c r="A38" s="2" t="s">
        <v>64</v>
      </c>
      <c r="B38" s="55">
        <v>0.0</v>
      </c>
      <c r="C38" s="55">
        <v>44625.0</v>
      </c>
      <c r="D38" s="55">
        <v>492300.0</v>
      </c>
      <c r="E38" s="51"/>
      <c r="F38" s="51"/>
    </row>
    <row r="39">
      <c r="A39" s="2" t="s">
        <v>174</v>
      </c>
      <c r="B39" s="55">
        <v>0.0</v>
      </c>
      <c r="C39" s="55">
        <v>89250.0</v>
      </c>
      <c r="D39" s="55">
        <v>553850.0</v>
      </c>
      <c r="E39" s="51"/>
      <c r="F39" s="51"/>
    </row>
    <row r="40">
      <c r="A40" s="2" t="s">
        <v>175</v>
      </c>
      <c r="B40" s="55">
        <v>0.0</v>
      </c>
      <c r="C40" s="55">
        <v>59750.0</v>
      </c>
      <c r="D40" s="55">
        <v>523050.0</v>
      </c>
      <c r="E40" s="51"/>
      <c r="F40" s="51"/>
    </row>
    <row r="41">
      <c r="A41" s="122" t="s">
        <v>39</v>
      </c>
      <c r="B41" s="51">
        <f>SWITCH('Summary &amp; Instructions'!$K$32,"Single",B38,"Joint",B39,"Head of household",B40)</f>
        <v>0</v>
      </c>
      <c r="C41" s="51">
        <f>SWITCH('Summary &amp; Instructions'!$K$32,"Single",C38,"Joint",C39,"Head of household",C40)</f>
        <v>44625</v>
      </c>
      <c r="D41" s="51">
        <f>SWITCH('Summary &amp; Instructions'!$K$32,"Single",D38,"Joint",D39,"Head of household",D40)</f>
        <v>492300</v>
      </c>
      <c r="E41" s="51"/>
      <c r="F41" s="51"/>
    </row>
    <row r="42">
      <c r="E42" s="51"/>
      <c r="F42" s="51"/>
    </row>
    <row r="43">
      <c r="A43" s="2" t="s">
        <v>178</v>
      </c>
      <c r="B43" s="310">
        <f>LET(agi,B31+B32,if(agi&lt;C41,0%,if(agi&lt;D41,15%,20%)))</f>
        <v>0</v>
      </c>
      <c r="E43" s="51"/>
      <c r="F43" s="51"/>
    </row>
    <row r="44">
      <c r="E44" s="51"/>
      <c r="F44" s="51"/>
    </row>
    <row r="45">
      <c r="A45" s="2" t="s">
        <v>179</v>
      </c>
      <c r="B45" s="309">
        <v>0.1</v>
      </c>
      <c r="C45" s="309">
        <v>0.12</v>
      </c>
      <c r="D45" s="309">
        <v>0.22</v>
      </c>
      <c r="E45" s="309">
        <v>0.24</v>
      </c>
      <c r="F45" s="309">
        <v>0.32</v>
      </c>
      <c r="G45" s="309">
        <v>0.35</v>
      </c>
      <c r="H45" s="309">
        <v>0.37</v>
      </c>
    </row>
    <row r="46">
      <c r="A46" s="2" t="s">
        <v>64</v>
      </c>
      <c r="B46" s="55">
        <v>0.0</v>
      </c>
      <c r="C46" s="55">
        <v>11000.0</v>
      </c>
      <c r="D46" s="55">
        <v>44725.0</v>
      </c>
      <c r="E46" s="55">
        <v>95375.0</v>
      </c>
      <c r="F46" s="55">
        <v>182100.0</v>
      </c>
      <c r="G46" s="55">
        <v>231250.0</v>
      </c>
      <c r="H46" s="55">
        <v>578125.0</v>
      </c>
    </row>
    <row r="47">
      <c r="A47" s="2" t="s">
        <v>174</v>
      </c>
      <c r="B47" s="55">
        <v>0.0</v>
      </c>
      <c r="C47" s="55">
        <v>22000.0</v>
      </c>
      <c r="D47" s="55">
        <v>89450.0</v>
      </c>
      <c r="E47" s="55">
        <v>190750.0</v>
      </c>
      <c r="F47" s="55">
        <v>364200.0</v>
      </c>
      <c r="G47" s="55">
        <v>462500.0</v>
      </c>
      <c r="H47" s="55">
        <v>693750.0</v>
      </c>
    </row>
    <row r="48">
      <c r="A48" s="122" t="s">
        <v>39</v>
      </c>
      <c r="B48" s="59">
        <f>SWITCH('Summary &amp; Instructions'!$K$32,"Single",B46,"Head of household",B46,"Joint",B47)</f>
        <v>0</v>
      </c>
      <c r="C48" s="59">
        <f>SWITCH('Summary &amp; Instructions'!$K$32,"Single",C46,"Head of household",C46,"Joint",C47)</f>
        <v>11000</v>
      </c>
      <c r="D48" s="59">
        <f>SWITCH('Summary &amp; Instructions'!$K$32,"Single",D46,"Head of household",D46,"Joint",D47)</f>
        <v>44725</v>
      </c>
      <c r="E48" s="59">
        <f>SWITCH('Summary &amp; Instructions'!$K$32,"Single",E46,"Head of household",E46,"Joint",E47)</f>
        <v>95375</v>
      </c>
      <c r="F48" s="59">
        <f>SWITCH('Summary &amp; Instructions'!$K$32,"Single",F46,"Head of household",F46,"Joint",F47)</f>
        <v>182100</v>
      </c>
      <c r="G48" s="59">
        <f>SWITCH('Summary &amp; Instructions'!$K$32,"Single",G46,"Head of household",G46,"Joint",G47)</f>
        <v>231250</v>
      </c>
      <c r="H48" s="59">
        <f>SWITCH('Summary &amp; Instructions'!$K$32,"Single",H46,"Head of household",H46,"Joint",H47)</f>
        <v>578125</v>
      </c>
    </row>
    <row r="49">
      <c r="A49" s="2"/>
      <c r="B49" s="53"/>
      <c r="C49" s="300"/>
      <c r="D49" s="309"/>
      <c r="E49" s="309"/>
      <c r="F49" s="55"/>
    </row>
    <row r="50">
      <c r="A50" s="2" t="s">
        <v>180</v>
      </c>
      <c r="B50" s="311">
        <v>0.01</v>
      </c>
      <c r="C50" s="309">
        <v>0.02</v>
      </c>
      <c r="D50" s="309">
        <v>0.04</v>
      </c>
      <c r="E50" s="309">
        <v>0.06</v>
      </c>
      <c r="F50" s="312">
        <v>0.08</v>
      </c>
      <c r="G50" s="313">
        <v>0.093</v>
      </c>
      <c r="H50" s="313">
        <v>0.103</v>
      </c>
      <c r="I50" s="313">
        <v>0.113</v>
      </c>
      <c r="J50" s="313">
        <v>0.123</v>
      </c>
      <c r="K50" s="313">
        <v>0.133</v>
      </c>
    </row>
    <row r="51">
      <c r="A51" s="2" t="s">
        <v>64</v>
      </c>
      <c r="B51" s="59">
        <v>0.0</v>
      </c>
      <c r="C51" s="55">
        <v>10412.0</v>
      </c>
      <c r="D51" s="55">
        <v>24684.0</v>
      </c>
      <c r="E51" s="55">
        <v>38959.0</v>
      </c>
      <c r="F51" s="55">
        <v>54081.0</v>
      </c>
      <c r="G51" s="314">
        <v>68350.0</v>
      </c>
      <c r="H51" s="55">
        <v>349137.0</v>
      </c>
      <c r="I51" s="55">
        <v>418961.0</v>
      </c>
      <c r="J51" s="55">
        <v>698271.0</v>
      </c>
      <c r="K51" s="55">
        <v>1000000.0</v>
      </c>
    </row>
    <row r="52">
      <c r="A52" s="2" t="s">
        <v>174</v>
      </c>
      <c r="B52" s="59">
        <v>0.0</v>
      </c>
      <c r="C52" s="55">
        <v>20824.0</v>
      </c>
      <c r="D52" s="55">
        <v>49368.0</v>
      </c>
      <c r="E52" s="55">
        <v>77918.0</v>
      </c>
      <c r="F52" s="314">
        <v>108162.0</v>
      </c>
      <c r="G52" s="55">
        <v>136700.0</v>
      </c>
      <c r="H52" s="55">
        <v>698274.0</v>
      </c>
      <c r="I52" s="55">
        <v>837922.0</v>
      </c>
      <c r="J52" s="55">
        <v>1396542.0</v>
      </c>
      <c r="K52" s="55">
        <v>2000000.0</v>
      </c>
    </row>
    <row r="53">
      <c r="A53" s="2" t="s">
        <v>175</v>
      </c>
      <c r="B53" s="59">
        <v>0.0</v>
      </c>
      <c r="C53" s="55">
        <v>20839.0</v>
      </c>
      <c r="D53" s="55">
        <v>49371.0</v>
      </c>
      <c r="E53" s="55">
        <v>63644.0</v>
      </c>
      <c r="F53" s="314">
        <v>78765.0</v>
      </c>
      <c r="G53" s="55">
        <v>93037.0</v>
      </c>
      <c r="H53" s="55">
        <v>474824.0</v>
      </c>
      <c r="I53" s="55">
        <v>569790.0</v>
      </c>
      <c r="J53" s="55">
        <v>949649.0</v>
      </c>
      <c r="K53" s="55">
        <v>1000000.0</v>
      </c>
    </row>
    <row r="54">
      <c r="A54" s="122" t="s">
        <v>39</v>
      </c>
      <c r="B54" s="59">
        <f>SWITCH('Summary &amp; Instructions'!$K$32,"Single",B51,"Head of household",B53,"Joint",B52)</f>
        <v>0</v>
      </c>
      <c r="C54" s="59">
        <f>SWITCH('Summary &amp; Instructions'!$K$32,"Single",C51,"Head of household",C53,"Joint",C52)</f>
        <v>10412</v>
      </c>
      <c r="D54" s="59">
        <f>SWITCH('Summary &amp; Instructions'!$K$32,"Single",D51,"Head of household",D53,"Joint",D52)</f>
        <v>24684</v>
      </c>
      <c r="E54" s="59">
        <f>SWITCH('Summary &amp; Instructions'!$K$32,"Single",E51,"Head of household",E53,"Joint",E52)</f>
        <v>38959</v>
      </c>
      <c r="F54" s="59">
        <f>SWITCH('Summary &amp; Instructions'!$K$32,"Single",F51,"Head of household",F53,"Joint",F52)</f>
        <v>54081</v>
      </c>
      <c r="G54" s="59">
        <f>SWITCH('Summary &amp; Instructions'!$K$32,"Single",G51,"Head of household",G53,"Joint",G52)</f>
        <v>68350</v>
      </c>
      <c r="H54" s="59">
        <f>SWITCH('Summary &amp; Instructions'!$K$32,"Single",H51,"Head of household",H53,"Joint",H52)</f>
        <v>349137</v>
      </c>
      <c r="I54" s="59">
        <f>SWITCH('Summary &amp; Instructions'!$K$32,"Single",I51,"Head of household",I53,"Joint",I52)</f>
        <v>418961</v>
      </c>
      <c r="J54" s="59">
        <f>SWITCH('Summary &amp; Instructions'!$K$32,"Single",J51,"Head of household",J53,"Joint",J52)</f>
        <v>698271</v>
      </c>
      <c r="K54" s="59">
        <f>SWITCH('Summary &amp; Instructions'!$K$32,"Single",K51,"Head of household",K53,"Joint",K52)</f>
        <v>1000000</v>
      </c>
    </row>
    <row r="55">
      <c r="A55" s="2"/>
      <c r="B55" s="59"/>
      <c r="C55" s="55"/>
      <c r="D55" s="51"/>
      <c r="E55" s="55"/>
      <c r="F55" s="314"/>
    </row>
    <row r="56">
      <c r="A56" s="2" t="s">
        <v>181</v>
      </c>
      <c r="B56" s="59">
        <f>LET(income, B31-'Summary &amp; Instructions'!L33, 
(0.1*(MIN(MAX(income-B48,0), C48-B48))) +
(0.12*(MIN(MAX(income-C48,0),D48-C48))) +
(0.22*(MIN(MAX(income-D48,0),E48-D48))) +
(0.24*(MIN(MAX(income-E48,0),F48-E48))) +
(0.32*(MIN(MAX(income-F48,0),G48-F48))) +
(0.35*(MIN(MAX(income-G48,0),H48-G48))) +
(0.37*MAX(income-H48,0)))</f>
        <v>0</v>
      </c>
      <c r="C56" s="55"/>
      <c r="D56" s="51"/>
      <c r="E56" s="55"/>
      <c r="F56" s="314"/>
    </row>
    <row r="57">
      <c r="A57" s="2" t="s">
        <v>182</v>
      </c>
      <c r="B57" s="221">
        <f>B32*B43</f>
        <v>0</v>
      </c>
      <c r="C57" s="55"/>
      <c r="D57" s="51"/>
      <c r="E57" s="51"/>
      <c r="F57" s="314"/>
    </row>
    <row r="58">
      <c r="A58" s="2" t="s">
        <v>183</v>
      </c>
      <c r="B58" s="221">
        <f>LET(income,B31+B32,
(0.01*(MIN(MAX(income,B54),C54-B54)))+
(0.02*(MIN(MAX(income-C54,0),D54-C54)))+
(0.04*(MIN(MAX(income-D54,0),E54-D54)))+
(0.06*(MIN(MAX(income-E54,0),F54-E54)))+
(0.08*(MIN(MAX(income-F54,0),G54-F54)))+
(0.093*(MIN(MAX(income-G54,0),H54-G54)))+
(0.103*(MIN(MAX(income-H54,0),I54-H54)))+
(0.113*(MIN(MAX(income-I54,0),J54-I54)))+
(0.123*(MIN(MAX(income-J54,0),K54-J54)))+
(0.133*MAX(income-K54,0)))</f>
        <v>0</v>
      </c>
      <c r="C58" s="55"/>
      <c r="D58" s="51"/>
      <c r="E58" s="51"/>
      <c r="F58" s="314"/>
    </row>
  </sheetData>
  <drawing r:id="rId2"/>
  <legacyDrawing r:id="rId3"/>
</worksheet>
</file>