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3">
      <text>
        <t xml:space="preserve">Use by individuals for tax purposes is explicitly noted in the README as acceptable non-commercial use, including providing the sheet to a CPA for application to their personal tax situation for past and present VMware and Broadcom employees.
The non-commercial limitation is present because I see a difference between helping colleagues with an unexpectedly complex tax event and helping someone who's literal job is to know this stuff already.</t>
      </text>
    </comment>
    <comment authorId="0" ref="J3">
      <text>
        <t xml:space="preserve">Check off the inputs here as you gather them.
Details on how to get each input are in the usage doc linked from the steps</t>
      </text>
    </comment>
    <comment authorId="0" ref="L3">
      <text>
        <t xml:space="preserve">Actions to complete in the sheet
Details on how to get each input are in the usage doc linked from the steps</t>
      </text>
    </commen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C11">
      <text>
        <t xml:space="preserve">Mostly complete for gathering necessary information and input into the Summary page.
Entry into RSU and ESPP sheets, along with, more advanced tweaks and how to interpret Output are pending</t>
      </text>
    </comment>
    <comment authorId="0" ref="C12">
      <text>
        <t xml:space="preserve">Experimental - I've never used this feature before so there'll likely be teething pains
</t>
      </text>
    </comment>
    <comment authorId="0" ref="C16">
      <text>
        <t xml:space="preserve">Hopefully this is obvious that the responsibility for using the numbers this sheet produces is on you. Assume there are errors.
I plan to refine this sheet until I can use it for my personal filing, but there's a reason I'm trying to find CPAs to validate.</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A32">
      <text>
        <t xml:space="preserve">Should match the Shares total in the Outputs-&gt;Merger section</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B46">
      <text>
        <t xml:space="preserve">This is "tax" basis not cost basis and is the sum of:
1. the money deducted from your paycheck for ESPP purchases (approximately)
2. the "tax" already paid on vesting RSUs, some of which would be through shares that were sold-to-cover, some from additional W2 withholding and makeup tax payments.
Remember that RSUs are considered income when they vest so you pay tax at the point they're released to you.</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This is the value from "Shares Purchased" and NOT from "Total shares Purchased for Offering"</t>
      </text>
    </comment>
    <comment authorId="0" ref="M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N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 on sale.
Working on the assumption that the merger does not count as a sale for non-cash lots, the basis shouldn't be adjusted here. HOWEVER.... we do want to consider the basis adjustment from the perspective of lot selection.</t>
      </text>
    </comment>
    <comment authorId="0" ref="AG4">
      <text>
        <t xml:space="preserve">This should exactly equal the value in the "AVGO qty from eTrade" column as it's literally inverted the calc.
This column is here purely for consistency so we can see all three stock columns together
</t>
      </text>
    </comment>
    <comment authorId="0" ref="AN4">
      <text>
        <t xml:space="preserve">This pulls in the ordinary income portion for the fractional share if associated with the lot.
If there are no AVGO shares received for the lot, then the ordinary income cannot be deferred to future sale and must be counted.</t>
      </text>
    </comment>
    <comment authorId="0" ref="AR4">
      <text>
        <t xml:space="preserve">This is the pro-rata cash portion that eTrade have used per lot and reported on the 1099-B.
This is useful to disambiguate which lot is which when there are multiple on a single date.
</t>
      </text>
    </comment>
    <comment authorId="0" ref="AS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V4">
      <text>
        <t xml:space="preserve">Using calc from https://www.irs.gov/instructions/i8949#en_US_2022_publink1000114401
It's negative because the Form instructions require gain to be:
d - e + g</t>
      </text>
    </comment>
    <comment authorId="0" ref="AW4">
      <text>
        <t xml:space="preserve">Not allowed to recognize a loss. I'm assuming that applies at a share level rather than the aggregate holding absent explicit indication otherwise.</t>
      </text>
    </comment>
    <comment authorId="0" ref="AX4">
      <text>
        <t xml:space="preserve">This is the pure adjusted basis without Ordinary Income factored in.
The only time I can think of that you'd need this is if you need to give it to a broker to update basis in their systems.
On sale, you should be using the basis with Ordinary Income added in.</t>
      </text>
    </comment>
    <comment authorId="0" ref="AY4">
      <text>
        <t xml:space="preserve">When selling ESPP shares, the tax basis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J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 authorId="0" ref="C27">
      <text>
        <t xml:space="preserve">This is NOT the value from the Form 8937 on broadcom's investor site.
Going back to the 2021 1099-DIV it's apparent that eTrade used the estimated number (16.58) instead of the final number.
Form 8937 with the estimate has been added into the repo documents.
Check https://github.com/hickeng/financial/issues/83 for status of the question regarding the specific "correct" way to address this.</t>
      </text>
    </comment>
  </commentList>
</comments>
</file>

<file path=xl/sharedStrings.xml><?xml version="1.0" encoding="utf-8"?>
<sst xmlns="http://schemas.openxmlformats.org/spreadsheetml/2006/main" count="521" uniqueCount="279">
  <si>
    <t>Instructions</t>
  </si>
  <si>
    <t>Checklist</t>
  </si>
  <si>
    <t>Input</t>
  </si>
  <si>
    <t>Input - optional</t>
  </si>
  <si>
    <r>
      <rPr/>
      <t xml:space="preserve">Github Release: </t>
    </r>
    <r>
      <rPr>
        <color rgb="FF1155CC"/>
        <u/>
      </rPr>
      <t>v0.1.6</t>
    </r>
  </si>
  <si>
    <r>
      <rPr/>
      <t xml:space="preserve">Donate via </t>
    </r>
    <r>
      <rPr>
        <color rgb="FF1155CC"/>
        <u/>
      </rPr>
      <t>github sponsors</t>
    </r>
    <r>
      <rPr/>
      <t xml:space="preserve"> or </t>
    </r>
    <r>
      <rPr>
        <color rgb="FF1155CC"/>
        <u/>
      </rPr>
      <t>ko-fi</t>
    </r>
  </si>
  <si>
    <r>
      <rPr/>
      <t xml:space="preserve">License: </t>
    </r>
    <r>
      <rPr>
        <color rgb="FF1155CC"/>
        <u/>
      </rPr>
      <t>Creative Commons Non-Commercial 4.0</t>
    </r>
  </si>
  <si>
    <t>Gather Input data</t>
  </si>
  <si>
    <t>Populate sheet</t>
  </si>
  <si>
    <t>Filing</t>
  </si>
  <si>
    <t>Input - necessary but prepopulated where available</t>
  </si>
  <si>
    <t>Input - reference only, not used for calc</t>
  </si>
  <si>
    <t>This sheet is read only. Use File-&gt;Make a Copy to get a copy for your personal use.</t>
  </si>
  <si>
    <t>eTrade Stock Plan confirmations</t>
  </si>
  <si>
    <t>Enter Necessary inputs from eTrade transaction log (Summary!B24)</t>
  </si>
  <si>
    <t>Enter Form 8949 corrections for eTrade 1099</t>
  </si>
  <si>
    <t>Output - relevent immediately</t>
  </si>
  <si>
    <t>There are in-sheet notes for many things - look for the little black triangles in the top right of cells and hover over the cell to view</t>
  </si>
  <si>
    <t>ESPP purchase confirmations</t>
  </si>
  <si>
    <t>Enter details of owned ESPP shares</t>
  </si>
  <si>
    <t>Fraction - Cells from Summary sheet in section K42</t>
  </si>
  <si>
    <t>Output - relevent on future sale</t>
  </si>
  <si>
    <t>Look for horizontal paired arrows on column labels in RSU &amp; ESPP sheets. These expand hidden columns for intermediate detail.</t>
  </si>
  <si>
    <t>RSU release confirmations</t>
  </si>
  <si>
    <t>Enter details of owned RSUs shares</t>
  </si>
  <si>
    <t>ESPP - Cells from ESPP sheet in section AO3</t>
  </si>
  <si>
    <t>Use the checklist to the right to track completion</t>
  </si>
  <si>
    <t>Determine lot for fractional share</t>
  </si>
  <si>
    <t>RSU - Cells from RSU sheet in section AL3</t>
  </si>
  <si>
    <t>Labels</t>
  </si>
  <si>
    <t>Detail instructions and a discussion forum are in the github repository</t>
  </si>
  <si>
    <t>eTrade total VMW share ownership over merger</t>
  </si>
  <si>
    <t>Checked fractional lot checkbox in ESSP or RSU datasheet</t>
  </si>
  <si>
    <t>Example cell with additional note</t>
  </si>
  <si>
    <t>Getting Started overview</t>
  </si>
  <si>
    <t>eTrade transaction log</t>
  </si>
  <si>
    <t>If selling ESPP</t>
  </si>
  <si>
    <t>Detailed step-by-step with screenshots</t>
  </si>
  <si>
    <t>eTrade BenefitHistory spreadsheet</t>
  </si>
  <si>
    <t>Check if ESPP imputed income is reported via W2</t>
  </si>
  <si>
    <t>Forum</t>
  </si>
  <si>
    <t>eTrade 1099-B</t>
  </si>
  <si>
    <t>Optional</t>
  </si>
  <si>
    <t>Report imputed income directly if needed</t>
  </si>
  <si>
    <t>eTrade Supplement</t>
  </si>
  <si>
    <t>Improve estimate with other inome section (Summary!K30)</t>
  </si>
  <si>
    <t>Enter validation inputs (Summary!B28)</t>
  </si>
  <si>
    <t>Enter W2 &amp; 2022 tax info (Summary!D22)</t>
  </si>
  <si>
    <r>
      <rPr>
        <rFont val="Arial"/>
        <color theme="1"/>
        <sz val="8.0"/>
      </rPr>
      <t xml:space="preserve">Disclaimer: I'm not a CPA. At the start of December I knew effectively nothing about taxes, particularly in relation to stocks and mergers.This sheet is my best effort to get my taxes correct for 2023, but I can make no guarantees as I probably now know just enough to get into trouble. I </t>
    </r>
    <r>
      <rPr>
        <rFont val="Arial"/>
        <i/>
        <color theme="1"/>
        <sz val="8.0"/>
      </rPr>
      <t>have</t>
    </r>
    <r>
      <rPr>
        <rFont val="Arial"/>
        <color theme="1"/>
        <sz val="8.0"/>
      </rPr>
      <t xml:space="preserve"> tried to capture research, reasoning, relevant tax code fragments, etc, in the repo. Please do your own diligence, consult a CPA, etc.</t>
    </r>
  </si>
  <si>
    <t>eTrade per-lot AVGO quantities</t>
  </si>
  <si>
    <t>Enter details of AVGO shares from eTrade in RSU and ESSP sheets</t>
  </si>
  <si>
    <t>Added fraction back into AVGO qty from eTrade</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</si>
  <si>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</si>
  <si>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</si>
  <si>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</si>
  <si>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</si>
  <si>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</si>
  <si>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</si>
  <si>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</si>
  <si>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</si>
  <si>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</si>
  <si>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</si>
  <si>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</si>
  <si>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</si>
  <si>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</si>
  <si>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</si>
  <si>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</si>
  <si>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</si>
  <si>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</si>
  <si>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</si>
  <si>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</si>
  <si>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</si>
  <si>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</si>
  <si>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</si>
  <si>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Pro-rata - from Necessary Inputs</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</si>
  <si>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</si>
  <si>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</si>
  <si>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</si>
  <si>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</si>
  <si>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</si>
  <si>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</si>
  <si>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</si>
  <si>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</si>
  <si>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</si>
  <si>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</si>
  <si>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</si>
  <si>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</si>
  <si>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</si>
  <si>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</si>
  <si>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AVGO shares received</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</si>
  <si>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</si>
  <si>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</si>
  <si>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</si>
  <si>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</si>
  <si>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</si>
  <si>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</si>
  <si>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</si>
  <si>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</si>
  <si>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</si>
  <si>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</si>
  <si>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</si>
  <si>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</si>
  <si>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</si>
  <si>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</si>
  <si>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</si>
  <si>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</si>
  <si>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</si>
  <si>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Total Gain (post-tax)</t>
  </si>
  <si>
    <t>Shows up as a "Broadcom Inc" sale in 1099-B</t>
  </si>
  <si>
    <t>Shares</t>
  </si>
  <si>
    <t>Dollars</t>
  </si>
  <si>
    <t>Form 8949</t>
  </si>
  <si>
    <t>Proceeds (d)</t>
  </si>
  <si>
    <t>1099-B basis (e)</t>
  </si>
  <si>
    <t>Code (f)</t>
  </si>
  <si>
    <t>Adjustment (g)</t>
  </si>
  <si>
    <t>Gain (h)</t>
  </si>
  <si>
    <t>Post-merger sale</t>
  </si>
  <si>
    <t>B</t>
  </si>
  <si>
    <t>Pre-merger tax basis</t>
  </si>
  <si>
    <t>Use Form 8949 section in ESPP &amp; RSU sheets for the rest of the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</si>
  <si>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</si>
  <si>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</si>
  <si>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</si>
  <si>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</si>
  <si>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</si>
  <si>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</si>
  <si>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</si>
  <si>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Effective Rate</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</si>
  <si>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</si>
  <si>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</si>
  <si>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</si>
  <si>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</si>
  <si>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</si>
  <si>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</si>
  <si>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</si>
  <si>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</si>
  <si>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</si>
  <si>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</si>
  <si>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</si>
  <si>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</si>
  <si>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</si>
  <si>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</si>
  <si>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</si>
  <si>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</si>
  <si>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Post Merger</t>
  </si>
  <si>
    <t xml:space="preserve">Input </t>
  </si>
  <si>
    <t>Derived - informational only</t>
  </si>
  <si>
    <t>Derived - should match vlaues from ESPP purchase confirmation</t>
  </si>
  <si>
    <t>Input - alternate for cross check</t>
  </si>
  <si>
    <t xml:space="preserve">1099-B </t>
  </si>
  <si>
    <t>Ratio (shares)</t>
  </si>
  <si>
    <t>Cash received</t>
  </si>
  <si>
    <t>Basis adjustment for Dell dividends</t>
  </si>
  <si>
    <t>Cost basis entering merger</t>
  </si>
  <si>
    <t>Alternate gain calculation</t>
  </si>
  <si>
    <t>Gain</t>
  </si>
  <si>
    <t>Reference for sale post-merger</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</si>
  <si>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</si>
  <si>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</si>
  <si>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</si>
  <si>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</si>
  <si>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</si>
  <si>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</si>
  <si>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</si>
  <si>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</si>
  <si>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</si>
  <si>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</si>
  <si>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</si>
  <si>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</si>
  <si>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</si>
  <si>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Use for fraction</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</si>
  <si>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</si>
  <si>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</si>
  <si>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</si>
  <si>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</si>
  <si>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</si>
  <si>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</si>
  <si>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</si>
  <si>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</si>
  <si>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</si>
  <si>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</si>
  <si>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</si>
  <si>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</si>
  <si>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</si>
  <si>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</si>
  <si>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</si>
  <si>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</si>
  <si>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VMW tax-basis per lot</t>
  </si>
  <si>
    <t>eTrade derived per-lot</t>
  </si>
  <si>
    <t>active qty</t>
  </si>
  <si>
    <t>Gain (cash+FMV AVGO-basis)</t>
  </si>
  <si>
    <t>Fraction</t>
  </si>
  <si>
    <t>Income &amp; short term gain</t>
  </si>
  <si>
    <t>Long term gain</t>
  </si>
  <si>
    <t>Form Section</t>
  </si>
  <si>
    <t>Acquisition Date</t>
  </si>
  <si>
    <t>1099-B Proceeds</t>
  </si>
  <si>
    <t>AVGO tax-basis per share</t>
  </si>
  <si>
    <t>AVGO basis adjusted by Ordinary Income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</si>
  <si>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</si>
  <si>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</si>
  <si>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</si>
  <si>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</si>
  <si>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</si>
  <si>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</si>
  <si>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</si>
  <si>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 xml:space="preserve"> </t>
  </si>
  <si>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</si>
  <si>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</si>
  <si>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</si>
  <si>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</si>
  <si>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</si>
  <si>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</si>
  <si>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</si>
  <si>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</si>
  <si>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</si>
  <si>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</si>
  <si>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</si>
  <si>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</si>
  <si>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</si>
  <si>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</si>
  <si>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</si>
  <si>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</si>
  <si>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</si>
  <si>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</si>
  <si>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</si>
  <si>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</si>
  <si>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</si>
  <si>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</si>
  <si>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</si>
  <si>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</si>
  <si>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</si>
  <si>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</si>
  <si>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</si>
  <si>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</si>
  <si>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</si>
  <si>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</si>
  <si>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</si>
  <si>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</si>
  <si>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</si>
  <si>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</si>
  <si>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</si>
  <si>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</si>
  <si>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</si>
  <si>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</si>
  <si>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</si>
  <si>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</si>
  <si>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</si>
  <si>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</si>
  <si>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Probable fraction threshold</t>
  </si>
  <si>
    <t>Form 8949 proceeds</t>
  </si>
  <si>
    <t>AVGO post-merger sale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</si>
  <si>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</si>
  <si>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</si>
  <si>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</si>
  <si>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</si>
  <si>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</si>
  <si>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</si>
  <si>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</si>
  <si>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</si>
  <si>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</si>
  <si>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</si>
  <si>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</si>
  <si>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</si>
  <si>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</si>
  <si>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</si>
  <si>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</si>
  <si>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</si>
  <si>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</si>
  <si>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</si>
  <si>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</si>
  <si>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</si>
  <si>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</si>
  <si>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</si>
  <si>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Effective rate</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</si>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</sst>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0.000000000"/>
    <numFmt numFmtId="177" formatCode="yyyy-mm-dd"/>
  </numFmts>
  <fonts count="32">
    <font>
      <sz val="10.0"/>
      <color rgb="FF000000"/>
      <name val="Arial"/>
      <scheme val="minor"/>
    </font>
    <font>
      <b/>
      <color theme="1"/>
      <name val="Arial"/>
      <scheme val="minor"/>
    </font>
    <font>
      <color theme="1"/>
      <name val="Arial"/>
      <scheme val="minor"/>
    </font>
    <font/>
    <font>
      <color theme="1"/>
      <name val="Arial"/>
    </font>
    <font>
      <u/>
      <color rgb="FF0000FF"/>
    </font>
    <font>
      <u/>
      <color rgb="FF0000FF"/>
    </font>
    <font>
      <u/>
      <color rgb="FF0000FF"/>
    </font>
    <font>
      <b/>
      <sz val="10.0"/>
      <color theme="1"/>
      <name val="Arial"/>
      <scheme val="minor"/>
    </font>
    <font>
      <sz val="10.0"/>
      <color theme="1"/>
      <name val="Arial"/>
      <scheme val="minor"/>
    </font>
    <font>
      <u/>
      <color rgb="FF0000FF"/>
    </font>
    <font>
      <u/>
      <sz val="10.0"/>
      <color rgb="FF0000FF"/>
    </font>
    <font>
      <u/>
      <sz val="10.0"/>
      <color rgb="FF0000FF"/>
    </font>
    <font>
      <u/>
      <sz val="10.0"/>
      <color rgb="FF0000FF"/>
    </font>
    <font>
      <u/>
      <color rgb="FF0000FF"/>
      <name val="Arial"/>
    </font>
    <font>
      <u/>
      <color rgb="FF0000FF"/>
      <name val="Arial"/>
    </font>
    <font>
      <sz val="8.0"/>
      <color theme="1"/>
      <name val="Arial"/>
      <scheme val="minor"/>
    </font>
    <font>
      <u/>
      <sz val="10.0"/>
      <color rgb="FF0000FF"/>
    </font>
    <font>
      <sz val="11.0"/>
      <color theme="1"/>
      <name val="Arial"/>
    </font>
    <font>
      <i/>
      <color theme="1"/>
      <name val="Arial"/>
      <scheme val="minor"/>
    </font>
    <font>
      <sz val="9.0"/>
      <color rgb="FF000000"/>
      <name val="&quot;Google Sans Mono&quot;"/>
    </font>
    <font>
      <b/>
      <color theme="1"/>
      <name val="Arial"/>
    </font>
    <font>
      <b/>
      <color rgb="FFFF0000"/>
      <name val="Arial"/>
      <scheme val="minor"/>
    </font>
    <font>
      <b/>
      <sz val="9.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D5A6BD"/>
        <bgColor rgb="FFD5A6BD"/>
      </patternFill>
    </fill>
  </fills>
  <borders count="41">
    <border/>
    <border>
      <left style="thin">
        <color rgb="FF000000"/>
      </left>
      <right style="thin">
        <color rgb="FF000000"/>
      </right>
      <top style="thin">
        <color rgb="FF000000"/>
      </top>
    </border>
    <border>
      <left style="double">
        <color rgb="FF000000"/>
      </left>
      <top style="double">
        <color rgb="FF000000"/>
      </top>
    </border>
    <border>
      <top style="double">
        <color rgb="FF000000"/>
      </top>
    </border>
    <border>
      <right style="double">
        <color rgb="FF000000"/>
      </right>
      <top style="double">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right style="thin">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thick">
        <color rgb="FF000000"/>
      </left>
    </border>
    <border>
      <right style="thick">
        <color rgb="FF000000"/>
      </right>
    </border>
    <border>
      <left style="double">
        <color rgb="FF000000"/>
      </left>
    </border>
    <border>
      <left style="thin">
        <color rgb="FF000000"/>
      </left>
    </border>
    <border>
      <right style="thin">
        <color rgb="FF000000"/>
      </right>
    </border>
    <border>
      <right style="double">
        <color rgb="FF000000"/>
      </right>
    </border>
    <border>
      <left style="thick">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right style="thick">
        <color rgb="FF000000"/>
      </right>
      <top style="thin">
        <color rgb="FF000000"/>
      </top>
    </border>
    <border>
      <left style="thick">
        <color rgb="FF000000"/>
      </left>
      <right style="thin">
        <color rgb="FF000000"/>
      </right>
    </border>
    <border>
      <left style="thin">
        <color rgb="FF000000"/>
      </left>
      <right style="thin">
        <color rgb="FF000000"/>
      </right>
      <bottom style="thin">
        <color rgb="FF000000"/>
      </bottom>
    </border>
    <border>
      <left style="thick">
        <color rgb="FF000000"/>
      </left>
      <bottom style="thick">
        <color rgb="FF000000"/>
      </bottom>
    </border>
    <border>
      <right style="thin">
        <color rgb="FF000000"/>
      </right>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ttom style="thin">
        <color rgb="FF000000"/>
      </bottom>
    </border>
    <border>
      <right style="thick">
        <color rgb="FF000000"/>
      </right>
      <bottom style="thin">
        <color rgb="FF000000"/>
      </bottom>
    </border>
  </borders>
  <cellStyleXfs count="1">
    <xf borderId="0" fillId="0" fontId="0" numFmtId="0" applyAlignment="1" applyFont="1"/>
  </cellStyleXfs>
  <cellXfs count="51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2" fillId="0" fontId="1" numFmtId="49" xfId="0" applyAlignment="1" applyBorder="1" applyFont="1" applyNumberFormat="1">
      <alignment horizontal="left" readingOrder="0"/>
    </xf>
    <xf borderId="3" fillId="0" fontId="3" numFmtId="0" xfId="0" applyBorder="1" applyFont="1"/>
    <xf borderId="4" fillId="0" fontId="3" numFmtId="0" xfId="0" applyBorder="1" applyFont="1"/>
    <xf borderId="5" fillId="0" fontId="1" numFmtId="49" xfId="0" applyAlignment="1" applyBorder="1" applyFont="1" applyNumberFormat="1">
      <alignment readingOrder="0"/>
    </xf>
    <xf borderId="6" fillId="0" fontId="3" numFmtId="0" xfId="0" applyBorder="1" applyFont="1"/>
    <xf borderId="7" fillId="0" fontId="3" numFmtId="0" xfId="0" applyBorder="1" applyFont="1"/>
    <xf borderId="8" fillId="3" fontId="2" numFmtId="49" xfId="0" applyAlignment="1" applyBorder="1" applyFill="1" applyFont="1" applyNumberFormat="1">
      <alignment readingOrder="0"/>
    </xf>
    <xf borderId="9" fillId="0" fontId="4" numFmtId="49" xfId="0" applyAlignment="1" applyBorder="1" applyFont="1" applyNumberFormat="1">
      <alignment shrinkToFit="0" vertical="bottom" wrapText="0"/>
    </xf>
    <xf borderId="10" fillId="0" fontId="4" numFmtId="49" xfId="0" applyAlignment="1" applyBorder="1" applyFont="1" applyNumberFormat="1">
      <alignment vertical="bottom"/>
    </xf>
    <xf borderId="10" fillId="0" fontId="2" numFmtId="49" xfId="0" applyBorder="1" applyFont="1" applyNumberFormat="1"/>
    <xf borderId="11" fillId="0" fontId="2" numFmtId="49" xfId="0" applyBorder="1" applyFont="1" applyNumberFormat="1"/>
    <xf borderId="12" fillId="0" fontId="2" numFmtId="49" xfId="0" applyBorder="1" applyFont="1" applyNumberFormat="1"/>
    <xf borderId="13" fillId="0" fontId="2" numFmtId="0" xfId="0" applyBorder="1" applyFont="1"/>
    <xf borderId="8" fillId="4" fontId="2" numFmtId="49" xfId="0" applyAlignment="1" applyBorder="1" applyFill="1" applyFont="1" applyNumberFormat="1">
      <alignment readingOrder="0"/>
    </xf>
    <xf borderId="14" fillId="0" fontId="5" numFmtId="49" xfId="0" applyAlignment="1" applyBorder="1" applyFont="1" applyNumberFormat="1">
      <alignment horizontal="center" readingOrder="0"/>
    </xf>
    <xf borderId="15" fillId="0" fontId="6" numFmtId="49" xfId="0" applyAlignment="1" applyBorder="1" applyFont="1" applyNumberFormat="1">
      <alignment horizontal="center" readingOrder="0"/>
    </xf>
    <xf borderId="16" fillId="0" fontId="3" numFmtId="0" xfId="0" applyBorder="1" applyFont="1"/>
    <xf borderId="0" fillId="0" fontId="7" numFmtId="49" xfId="0" applyAlignment="1" applyFont="1" applyNumberFormat="1">
      <alignment horizontal="center" readingOrder="0"/>
    </xf>
    <xf borderId="17" fillId="0" fontId="3" numFmtId="0" xfId="0" applyBorder="1" applyFont="1"/>
    <xf borderId="18" fillId="0" fontId="8" numFmtId="0" xfId="0" applyAlignment="1" applyBorder="1" applyFont="1">
      <alignment readingOrder="0"/>
    </xf>
    <xf borderId="19" fillId="0" fontId="9" numFmtId="0" xfId="0" applyBorder="1" applyFont="1"/>
    <xf borderId="20" fillId="0" fontId="8" numFmtId="49" xfId="0" applyAlignment="1" applyBorder="1" applyFont="1" applyNumberFormat="1">
      <alignment readingOrder="0"/>
    </xf>
    <xf borderId="21" fillId="0" fontId="9" numFmtId="0" xfId="0" applyBorder="1" applyFont="1"/>
    <xf borderId="21" fillId="0" fontId="2" numFmtId="49" xfId="0" applyBorder="1" applyFont="1" applyNumberFormat="1"/>
    <xf borderId="19" fillId="0" fontId="2" numFmtId="49" xfId="0" applyBorder="1" applyFont="1" applyNumberFormat="1"/>
    <xf borderId="20" fillId="0" fontId="8" numFmtId="0" xfId="0" applyAlignment="1" applyBorder="1" applyFont="1">
      <alignment readingOrder="0"/>
    </xf>
    <xf borderId="21" fillId="0" fontId="2" numFmtId="0" xfId="0" applyBorder="1" applyFont="1"/>
    <xf borderId="22" fillId="0" fontId="2" numFmtId="0" xfId="0" applyBorder="1" applyFont="1"/>
    <xf borderId="8" fillId="5" fontId="2" numFmtId="49" xfId="0" applyAlignment="1" applyBorder="1" applyFill="1" applyFont="1" applyNumberFormat="1">
      <alignment readingOrder="0"/>
    </xf>
    <xf borderId="2" fillId="0" fontId="2" numFmtId="0" xfId="0" applyBorder="1" applyFont="1"/>
    <xf borderId="3" fillId="0" fontId="4" numFmtId="49" xfId="0" applyAlignment="1" applyBorder="1" applyFont="1" applyNumberFormat="1">
      <alignment vertical="bottom"/>
    </xf>
    <xf borderId="3" fillId="0" fontId="2" numFmtId="49" xfId="0" applyBorder="1" applyFont="1" applyNumberFormat="1"/>
    <xf borderId="4" fillId="0" fontId="2" numFmtId="49" xfId="0" applyBorder="1" applyFont="1" applyNumberFormat="1"/>
    <xf borderId="12" fillId="0" fontId="2" numFmtId="0" xfId="0" applyBorder="1" applyFont="1"/>
    <xf borderId="15" fillId="0" fontId="2" numFmtId="0" xfId="0" applyBorder="1" applyFont="1"/>
    <xf borderId="16" fillId="0" fontId="2" numFmtId="49" xfId="0" applyBorder="1" applyFont="1" applyNumberFormat="1"/>
    <xf borderId="8" fillId="6" fontId="2" numFmtId="49" xfId="0" applyAlignment="1" applyBorder="1" applyFill="1" applyFont="1" applyNumberFormat="1">
      <alignment readingOrder="0"/>
    </xf>
    <xf borderId="14" fillId="0" fontId="2" numFmtId="0" xfId="0" applyAlignment="1" applyBorder="1" applyFont="1">
      <alignment readingOrder="0"/>
    </xf>
    <xf borderId="23" fillId="0" fontId="9" numFmtId="49" xfId="0" applyAlignment="1" applyBorder="1" applyFont="1" applyNumberFormat="1">
      <alignment readingOrder="0"/>
    </xf>
    <xf borderId="15" fillId="0" fontId="9" numFmtId="49" xfId="0" applyAlignment="1" applyBorder="1" applyFont="1" applyNumberFormat="1">
      <alignment horizontal="right"/>
    </xf>
    <xf borderId="0" fillId="0" fontId="10" numFmtId="0" xfId="0" applyAlignment="1" applyFont="1">
      <alignment readingOrder="0"/>
    </xf>
    <xf borderId="15" fillId="7" fontId="11" numFmtId="0" xfId="0" applyAlignment="1" applyBorder="1" applyFill="1" applyFont="1">
      <alignment readingOrder="0"/>
    </xf>
    <xf borderId="8" fillId="8" fontId="2" numFmtId="49" xfId="0" applyAlignment="1" applyBorder="1" applyFill="1" applyFont="1" applyNumberFormat="1">
      <alignment readingOrder="0"/>
    </xf>
    <xf borderId="14" fillId="0" fontId="4" numFmtId="49" xfId="0" applyAlignment="1" applyBorder="1" applyFont="1" applyNumberFormat="1">
      <alignment readingOrder="0" vertical="bottom"/>
    </xf>
    <xf borderId="12" fillId="0" fontId="9" numFmtId="0" xfId="0" applyAlignment="1" applyBorder="1" applyFont="1">
      <alignment horizontal="right"/>
    </xf>
    <xf borderId="16" fillId="0" fontId="12" numFmtId="49" xfId="0" applyAlignment="1" applyBorder="1" applyFont="1" applyNumberFormat="1">
      <alignment readingOrder="0"/>
    </xf>
    <xf borderId="0" fillId="0" fontId="9" numFmtId="0" xfId="0" applyAlignment="1" applyFont="1">
      <alignment readingOrder="0"/>
    </xf>
    <xf borderId="8" fillId="9" fontId="2" numFmtId="49" xfId="0" applyAlignment="1" applyBorder="1" applyFill="1" applyFont="1" applyNumberFormat="1">
      <alignment readingOrder="0"/>
    </xf>
    <xf borderId="14" fillId="0" fontId="4" numFmtId="49" xfId="0" applyAlignment="1" applyBorder="1" applyFont="1" applyNumberFormat="1">
      <alignment readingOrder="0" shrinkToFit="0" vertical="bottom" wrapText="0"/>
    </xf>
    <xf borderId="8" fillId="2" fontId="2" numFmtId="49" xfId="0" applyAlignment="1" applyBorder="1" applyFont="1" applyNumberFormat="1">
      <alignment readingOrder="0"/>
    </xf>
    <xf borderId="0" fillId="0" fontId="13" numFmtId="49" xfId="0" applyAlignment="1" applyFont="1" applyNumberFormat="1">
      <alignment readingOrder="0"/>
    </xf>
    <xf borderId="8" fillId="0" fontId="2" numFmtId="49" xfId="0" applyAlignment="1" applyBorder="1" applyFont="1" applyNumberFormat="1">
      <alignment readingOrder="0"/>
    </xf>
    <xf borderId="14" fillId="0" fontId="4" numFmtId="49" xfId="0" applyAlignment="1" applyBorder="1" applyFont="1" applyNumberFormat="1">
      <alignment readingOrder="0" shrinkToFit="0" vertical="bottom" wrapText="0"/>
    </xf>
    <xf borderId="15" fillId="0" fontId="9" numFmtId="0" xfId="0" applyBorder="1" applyFont="1"/>
    <xf borderId="0" fillId="0" fontId="9" numFmtId="0" xfId="0" applyFont="1"/>
    <xf borderId="24" fillId="0" fontId="2" numFmtId="49" xfId="0" applyAlignment="1" applyBorder="1" applyFont="1" applyNumberFormat="1">
      <alignment readingOrder="0"/>
    </xf>
    <xf borderId="14" fillId="0" fontId="14" numFmtId="49" xfId="0" applyAlignment="1" applyBorder="1" applyFont="1" applyNumberFormat="1">
      <alignment readingOrder="0" shrinkToFit="0" vertical="bottom" wrapText="0"/>
    </xf>
    <xf borderId="15" fillId="0" fontId="9" numFmtId="0" xfId="0" applyAlignment="1" applyBorder="1" applyFont="1">
      <alignment readingOrder="0"/>
    </xf>
    <xf borderId="14" fillId="0" fontId="15" numFmtId="49" xfId="0" applyAlignment="1" applyBorder="1" applyFont="1" applyNumberFormat="1">
      <alignment readingOrder="0" vertical="bottom"/>
    </xf>
    <xf borderId="15" fillId="0" fontId="2" numFmtId="0" xfId="0" applyAlignment="1" applyBorder="1" applyFont="1">
      <alignment readingOrder="0"/>
    </xf>
    <xf borderId="14" fillId="0" fontId="2" numFmtId="0" xfId="0" applyBorder="1" applyFont="1"/>
    <xf borderId="17" fillId="0" fontId="2" numFmtId="0" xfId="0" applyBorder="1" applyFont="1"/>
    <xf borderId="12" fillId="0" fontId="9" numFmtId="49" xfId="0" applyAlignment="1" applyBorder="1" applyFont="1" applyNumberFormat="1">
      <alignment horizontal="right"/>
    </xf>
    <xf borderId="16" fillId="0" fontId="2" numFmtId="0" xfId="0" applyBorder="1" applyFont="1"/>
    <xf borderId="12" fillId="0" fontId="9" numFmtId="49" xfId="0" applyAlignment="1" applyBorder="1" applyFont="1" applyNumberFormat="1">
      <alignment readingOrder="0"/>
    </xf>
    <xf borderId="16" fillId="0" fontId="9" numFmtId="0" xfId="0" applyBorder="1" applyFont="1"/>
    <xf borderId="14" fillId="0" fontId="16" numFmtId="0" xfId="0" applyAlignment="1" applyBorder="1" applyFont="1">
      <alignment readingOrder="0" shrinkToFit="0" wrapText="1"/>
    </xf>
    <xf borderId="16" fillId="0" fontId="17" numFmtId="0" xfId="0" applyAlignment="1" applyBorder="1" applyFont="1">
      <alignment readingOrder="0"/>
    </xf>
    <xf borderId="14" fillId="0" fontId="3" numFmtId="0" xfId="0" applyBorder="1" applyFont="1"/>
    <xf borderId="9" fillId="0" fontId="3" numFmtId="0" xfId="0" applyBorder="1" applyFont="1"/>
    <xf borderId="10" fillId="0" fontId="3" numFmtId="0" xfId="0" applyBorder="1" applyFont="1"/>
    <xf borderId="11" fillId="0" fontId="3" numFmtId="0" xfId="0" applyBorder="1" applyFont="1"/>
    <xf borderId="25" fillId="0" fontId="2" numFmtId="49" xfId="0" applyBorder="1" applyFont="1" applyNumberFormat="1"/>
    <xf borderId="26" fillId="0" fontId="2" numFmtId="0" xfId="0" applyBorder="1" applyFont="1"/>
    <xf borderId="27" fillId="0" fontId="2" numFmtId="0" xfId="0" applyBorder="1" applyFont="1"/>
    <xf borderId="28" fillId="0" fontId="2" numFmtId="0" xfId="0" applyBorder="1" applyFont="1"/>
    <xf borderId="28" fillId="0" fontId="2" numFmtId="49" xfId="0" applyBorder="1" applyFont="1" applyNumberFormat="1"/>
    <xf borderId="29" fillId="0" fontId="2" numFmtId="0" xfId="0" applyBorder="1" applyFont="1"/>
    <xf borderId="0" fillId="0" fontId="4"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readingOrder="0" shrinkToFit="0" vertical="bottom" wrapText="0"/>
    </xf>
    <xf borderId="20" fillId="0" fontId="1" numFmtId="49" xfId="0" applyAlignment="1" applyBorder="1" applyFont="1" applyNumberFormat="1">
      <alignment readingOrder="0"/>
    </xf>
    <xf borderId="21" fillId="0" fontId="1" numFmtId="49" xfId="0" applyAlignment="1" applyBorder="1" applyFont="1" applyNumberFormat="1">
      <alignment horizontal="right" readingOrder="0"/>
    </xf>
    <xf borderId="19" fillId="0" fontId="1" numFmtId="49" xfId="0" applyAlignment="1" applyBorder="1" applyFont="1" applyNumberFormat="1">
      <alignment horizontal="right" readingOrder="0"/>
    </xf>
    <xf borderId="15" fillId="0" fontId="2" numFmtId="49" xfId="0" applyAlignment="1" applyBorder="1" applyFont="1" applyNumberFormat="1">
      <alignment readingOrder="0"/>
    </xf>
    <xf borderId="16" fillId="0" fontId="18" numFmtId="49" xfId="0" applyAlignment="1" applyBorder="1" applyFont="1" applyNumberFormat="1">
      <alignment horizontal="right" readingOrder="0"/>
    </xf>
    <xf borderId="15" fillId="0" fontId="2" numFmtId="49" xfId="0" applyBorder="1" applyFont="1" applyNumberFormat="1"/>
    <xf borderId="20" fillId="0" fontId="19" numFmtId="49" xfId="0" applyAlignment="1" applyBorder="1" applyFont="1" applyNumberFormat="1">
      <alignment readingOrder="0"/>
    </xf>
    <xf borderId="19" fillId="0" fontId="18" numFmtId="49" xfId="0" applyAlignment="1" applyBorder="1" applyFont="1" applyNumberFormat="1">
      <alignment horizontal="right" readingOrder="0"/>
    </xf>
    <xf borderId="30" fillId="0" fontId="19" numFmtId="49" xfId="0" applyAlignment="1" applyBorder="1" applyFont="1" applyNumberFormat="1">
      <alignment readingOrder="0"/>
    </xf>
    <xf borderId="31" fillId="0" fontId="19" numFmtId="49" xfId="0" applyAlignment="1" applyBorder="1" applyFont="1" applyNumberFormat="1">
      <alignment readingOrder="0"/>
    </xf>
    <xf borderId="32" fillId="4" fontId="19" numFmtId="49" xfId="0" applyAlignment="1" applyBorder="1" applyFont="1" applyNumberFormat="1">
      <alignment readingOrder="0"/>
    </xf>
    <xf borderId="33" fillId="0" fontId="19" numFmtId="49" xfId="0" applyAlignment="1" applyBorder="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right" readingOrder="0"/>
    </xf>
    <xf borderId="16" fillId="3" fontId="18" numFmtId="3" xfId="0" applyAlignment="1" applyBorder="1" applyFont="1" applyNumberFormat="1">
      <alignment horizontal="right" vertical="bottom"/>
    </xf>
    <xf borderId="30" fillId="0" fontId="2" numFmtId="49" xfId="0" applyAlignment="1" applyBorder="1" applyFont="1" applyNumberFormat="1">
      <alignment readingOrder="0"/>
    </xf>
    <xf borderId="31" fillId="0" fontId="2" numFmtId="49" xfId="0" applyAlignment="1" applyBorder="1" applyFont="1" applyNumberFormat="1">
      <alignment horizontal="left" readingOrder="0"/>
    </xf>
    <xf borderId="31" fillId="0" fontId="2" numFmtId="1" xfId="0" applyAlignment="1" applyBorder="1" applyFont="1" applyNumberFormat="1">
      <alignment horizontal="left" readingOrder="0"/>
    </xf>
    <xf borderId="32" fillId="4" fontId="4" numFmtId="164" xfId="0" applyAlignment="1" applyBorder="1" applyFont="1" applyNumberFormat="1">
      <alignment horizontal="right" vertical="bottom"/>
    </xf>
    <xf borderId="33"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34" fillId="0" fontId="2" numFmtId="49" xfId="0" applyAlignment="1" applyBorder="1" applyFont="1" applyNumberFormat="1">
      <alignment readingOrder="0"/>
    </xf>
    <xf borderId="35" fillId="3" fontId="18" numFmtId="3" xfId="0" applyAlignment="1" applyBorder="1" applyFont="1" applyNumberFormat="1">
      <alignment horizontal="right" vertical="bottom"/>
    </xf>
    <xf borderId="15"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8" fillId="4" fontId="4" numFmtId="164" xfId="0" applyAlignment="1" applyBorder="1" applyFont="1" applyNumberFormat="1">
      <alignment horizontal="right" vertical="bottom"/>
    </xf>
    <xf borderId="16" fillId="0" fontId="2" numFmtId="49" xfId="0" applyAlignment="1" applyBorder="1" applyFont="1" applyNumberFormat="1">
      <alignment readingOrder="0"/>
    </xf>
    <xf borderId="0" fillId="0" fontId="2" numFmtId="49" xfId="0" applyAlignment="1" applyFont="1" applyNumberFormat="1">
      <alignment readingOrder="0"/>
    </xf>
    <xf borderId="16" fillId="0" fontId="4" numFmtId="49" xfId="0" applyAlignment="1" applyBorder="1" applyFont="1" applyNumberFormat="1">
      <alignment vertical="bottom"/>
    </xf>
    <xf borderId="15" fillId="0" fontId="19" numFmtId="49" xfId="0" applyAlignment="1" applyBorder="1" applyFont="1" applyNumberFormat="1">
      <alignment readingOrder="0"/>
    </xf>
    <xf borderId="15" fillId="9" fontId="2" numFmtId="0" xfId="0" applyAlignment="1" applyBorder="1" applyFont="1">
      <alignment readingOrder="0"/>
    </xf>
    <xf borderId="0" fillId="5" fontId="2" numFmtId="0" xfId="0" applyAlignment="1" applyFont="1">
      <alignment readingOrder="0"/>
    </xf>
    <xf borderId="0" fillId="0" fontId="4" numFmtId="0" xfId="0" applyAlignment="1" applyFont="1">
      <alignment horizontal="center" vertical="bottom"/>
    </xf>
    <xf borderId="0" fillId="5" fontId="20" numFmtId="165" xfId="0" applyFont="1" applyNumberFormat="1"/>
    <xf borderId="16" fillId="4" fontId="4" numFmtId="3" xfId="0" applyAlignment="1" applyBorder="1" applyFont="1" applyNumberFormat="1">
      <alignment horizontal="right" vertical="bottom"/>
    </xf>
    <xf borderId="16" fillId="4" fontId="4" numFmtId="164" xfId="0" applyAlignment="1" applyBorder="1" applyFont="1" applyNumberFormat="1">
      <alignment horizontal="right" vertical="bottom"/>
    </xf>
    <xf borderId="0" fillId="7" fontId="4" numFmtId="164" xfId="0" applyAlignment="1" applyFont="1" applyNumberFormat="1">
      <alignment horizontal="right" vertical="bottom"/>
    </xf>
    <xf borderId="0" fillId="4" fontId="4" numFmtId="164" xfId="0" applyAlignment="1" applyFont="1" applyNumberFormat="1">
      <alignment horizontal="right" vertical="bottom"/>
    </xf>
    <xf borderId="34" fillId="0" fontId="2" numFmtId="0" xfId="0" applyAlignment="1" applyBorder="1" applyFont="1">
      <alignment readingOrder="0"/>
    </xf>
    <xf borderId="35" fillId="4" fontId="4" numFmtId="0" xfId="0" applyAlignment="1" applyBorder="1" applyFont="1">
      <alignment horizontal="right" vertical="bottom"/>
    </xf>
    <xf borderId="34" fillId="0" fontId="2" numFmtId="49" xfId="0" applyAlignment="1" applyBorder="1" applyFont="1" applyNumberFormat="1">
      <alignment horizontal="left" readingOrder="0"/>
    </xf>
    <xf borderId="36" fillId="0" fontId="2" numFmtId="49" xfId="0" applyAlignment="1" applyBorder="1" applyFont="1" applyNumberFormat="1">
      <alignment horizontal="left" readingOrder="0"/>
    </xf>
    <xf borderId="36" fillId="0" fontId="2" numFmtId="49" xfId="0" applyAlignment="1" applyBorder="1" applyFont="1" applyNumberFormat="1">
      <alignment horizontal="right" readingOrder="0"/>
    </xf>
    <xf borderId="35" fillId="0" fontId="2" numFmtId="49" xfId="0" applyAlignment="1" applyBorder="1" applyFont="1" applyNumberFormat="1">
      <alignment readingOrder="0"/>
    </xf>
    <xf borderId="0" fillId="4" fontId="4" numFmtId="164" xfId="0" applyAlignment="1" applyFont="1" applyNumberFormat="1">
      <alignment vertical="bottom"/>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21" fillId="0" fontId="1" numFmtId="49" xfId="0" applyAlignment="1" applyBorder="1" applyFont="1" applyNumberFormat="1">
      <alignment horizontal="center" readingOrder="0"/>
    </xf>
    <xf borderId="36" fillId="6" fontId="2" numFmtId="49" xfId="0" applyAlignment="1" applyBorder="1" applyFont="1" applyNumberFormat="1">
      <alignment readingOrder="0"/>
    </xf>
    <xf borderId="36" fillId="0" fontId="2" numFmtId="49" xfId="0" applyBorder="1" applyFont="1" applyNumberFormat="1"/>
    <xf borderId="35" fillId="0" fontId="2" numFmtId="49" xfId="0" applyBorder="1" applyFont="1" applyNumberFormat="1"/>
    <xf borderId="0" fillId="0" fontId="1" numFmtId="49" xfId="0" applyAlignment="1" applyFont="1" applyNumberFormat="1">
      <alignment horizontal="center" readingOrder="0"/>
    </xf>
    <xf borderId="21"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8" fillId="0" fontId="1" numFmtId="49" xfId="0" applyAlignment="1" applyBorder="1" applyFont="1" applyNumberFormat="1">
      <alignment readingOrder="0"/>
    </xf>
    <xf borderId="0" fillId="0" fontId="2" numFmtId="0" xfId="0" applyAlignment="1" applyFont="1">
      <alignment readingOrder="0"/>
    </xf>
    <xf borderId="16" fillId="0" fontId="1" numFmtId="49" xfId="0" applyAlignment="1" applyBorder="1" applyFont="1" applyNumberFormat="1">
      <alignment readingOrder="0"/>
    </xf>
    <xf borderId="21" fillId="2" fontId="2" numFmtId="166" xfId="0" applyBorder="1" applyFont="1" applyNumberFormat="1"/>
    <xf borderId="21" fillId="2" fontId="2" numFmtId="0" xfId="0" applyBorder="1" applyFont="1"/>
    <xf borderId="1" fillId="0" fontId="2" numFmtId="49" xfId="0" applyBorder="1" applyFont="1" applyNumberFormat="1"/>
    <xf borderId="0" fillId="0" fontId="2" numFmtId="164" xfId="0" applyFont="1" applyNumberFormat="1"/>
    <xf borderId="34" fillId="0" fontId="1" numFmtId="49" xfId="0" applyAlignment="1" applyBorder="1" applyFont="1" applyNumberFormat="1">
      <alignment readingOrder="0"/>
    </xf>
    <xf borderId="34" fillId="2" fontId="2" numFmtId="164" xfId="0" applyAlignment="1" applyBorder="1" applyFont="1" applyNumberFormat="1">
      <alignment horizontal="right" readingOrder="0"/>
    </xf>
    <xf borderId="36" fillId="2" fontId="2" numFmtId="164" xfId="0" applyBorder="1" applyFont="1" applyNumberFormat="1"/>
    <xf borderId="36" fillId="8" fontId="2" numFmtId="164" xfId="0" applyBorder="1" applyFont="1" applyNumberFormat="1"/>
    <xf borderId="36" fillId="2" fontId="2" numFmtId="164" xfId="0" applyAlignment="1" applyBorder="1" applyFont="1" applyNumberFormat="1">
      <alignment horizontal="right" readingOrder="0"/>
    </xf>
    <xf borderId="36" fillId="0" fontId="2" numFmtId="0" xfId="0" applyBorder="1" applyFont="1"/>
    <xf borderId="24" fillId="8" fontId="2" numFmtId="164" xfId="0" applyBorder="1" applyFont="1" applyNumberFormat="1"/>
    <xf borderId="30" fillId="0" fontId="2" numFmtId="0" xfId="0" applyAlignment="1" applyBorder="1" applyFont="1">
      <alignment horizontal="center" readingOrder="0"/>
    </xf>
    <xf borderId="31" fillId="0" fontId="3" numFmtId="0" xfId="0" applyBorder="1" applyFont="1"/>
    <xf borderId="33" fillId="0" fontId="3" numFmtId="0" xfId="0" applyBorder="1" applyFont="1"/>
    <xf borderId="0" fillId="0" fontId="2" numFmtId="164" xfId="0" applyAlignment="1" applyFont="1" applyNumberFormat="1">
      <alignment horizontal="center" readingOrder="0"/>
    </xf>
    <xf borderId="8" fillId="0" fontId="2" numFmtId="164" xfId="0" applyBorder="1" applyFont="1" applyNumberFormat="1"/>
    <xf borderId="32" fillId="0" fontId="2" numFmtId="0" xfId="0" applyAlignment="1" applyBorder="1" applyFont="1">
      <alignment readingOrder="0"/>
    </xf>
    <xf borderId="0" fillId="0" fontId="2" numFmtId="166" xfId="0" applyFont="1" applyNumberFormat="1"/>
    <xf borderId="35" fillId="0" fontId="1" numFmtId="49" xfId="0" applyAlignment="1" applyBorder="1" applyFont="1" applyNumberFormat="1">
      <alignment readingOrder="0"/>
    </xf>
    <xf borderId="31" fillId="0" fontId="2" numFmtId="49" xfId="0" applyBorder="1" applyFont="1" applyNumberFormat="1"/>
    <xf borderId="31" fillId="9" fontId="2" numFmtId="164" xfId="0" applyAlignment="1" applyBorder="1" applyFont="1" applyNumberFormat="1">
      <alignment readingOrder="0"/>
    </xf>
    <xf borderId="31" fillId="9" fontId="2" numFmtId="164" xfId="0" applyBorder="1" applyFont="1" applyNumberFormat="1"/>
    <xf borderId="31" fillId="0" fontId="2" numFmtId="0" xfId="0" applyBorder="1" applyFont="1"/>
    <xf borderId="32" fillId="9" fontId="2" numFmtId="164" xfId="0" applyBorder="1" applyFont="1" applyNumberFormat="1"/>
    <xf borderId="32" fillId="8" fontId="2" numFmtId="164" xfId="0" applyBorder="1" applyFont="1" applyNumberFormat="1"/>
    <xf borderId="32" fillId="8" fontId="2" numFmtId="164" xfId="0" applyAlignment="1" applyBorder="1" applyFont="1" applyNumberFormat="1">
      <alignment readingOrder="0"/>
    </xf>
    <xf borderId="0" fillId="0" fontId="2" numFmtId="0" xfId="0" applyFont="1"/>
    <xf borderId="8" fillId="0" fontId="2" numFmtId="0" xfId="0" applyBorder="1" applyFont="1"/>
    <xf borderId="32" fillId="0" fontId="21" numFmtId="49" xfId="0" applyAlignment="1" applyBorder="1" applyFont="1" applyNumberFormat="1">
      <alignment vertical="bottom"/>
    </xf>
    <xf borderId="33" fillId="2" fontId="4" numFmtId="164" xfId="0" applyAlignment="1" applyBorder="1" applyFont="1" applyNumberFormat="1">
      <alignment horizontal="right" vertical="bottom"/>
    </xf>
    <xf borderId="24" fillId="2" fontId="2" numFmtId="164" xfId="0" applyBorder="1" applyFont="1" applyNumberFormat="1"/>
    <xf borderId="36" fillId="0" fontId="1" numFmtId="49" xfId="0" applyAlignment="1" applyBorder="1" applyFont="1" applyNumberFormat="1">
      <alignment readingOrder="0"/>
    </xf>
    <xf borderId="33" fillId="0" fontId="2" numFmtId="49" xfId="0" applyBorder="1" applyFont="1" applyNumberFormat="1"/>
    <xf borderId="34" fillId="0" fontId="2" numFmtId="49" xfId="0" applyBorder="1" applyFont="1" applyNumberFormat="1"/>
    <xf borderId="21" fillId="0" fontId="22" numFmtId="49" xfId="0" applyAlignment="1" applyBorder="1" applyFont="1" applyNumberFormat="1">
      <alignment horizontal="right" readingOrder="0"/>
    </xf>
    <xf borderId="21" fillId="0" fontId="23" numFmtId="49" xfId="0" applyAlignment="1" applyBorder="1" applyFont="1" applyNumberFormat="1">
      <alignment horizontal="left" readingOrder="0"/>
    </xf>
    <xf borderId="21" fillId="0" fontId="3" numFmtId="0" xfId="0" applyBorder="1" applyFont="1"/>
    <xf borderId="19" fillId="0" fontId="3" numFmtId="0" xfId="0" applyBorder="1" applyFont="1"/>
    <xf borderId="0" fillId="0" fontId="23" numFmtId="49" xfId="0" applyAlignment="1" applyFont="1" applyNumberFormat="1">
      <alignment horizontal="left" readingOrder="0"/>
    </xf>
    <xf borderId="0" fillId="0" fontId="2" numFmtId="49" xfId="0" applyAlignment="1" applyFont="1" applyNumberFormat="1">
      <alignment readingOrder="0"/>
    </xf>
    <xf borderId="15" fillId="0" fontId="1" numFmtId="49" xfId="0" applyAlignment="1" applyBorder="1" applyFont="1" applyNumberFormat="1">
      <alignment readingOrder="0"/>
    </xf>
    <xf borderId="20" fillId="0" fontId="19" numFmtId="49" xfId="0" applyAlignment="1" applyBorder="1" applyFont="1" applyNumberFormat="1">
      <alignment horizontal="center" readingOrder="0"/>
    </xf>
    <xf borderId="33" fillId="0" fontId="19" numFmtId="49" xfId="0" applyAlignment="1" applyBorder="1" applyFont="1" applyNumberFormat="1">
      <alignment horizontal="center" readingOrder="0"/>
    </xf>
    <xf borderId="21" fillId="0" fontId="19" numFmtId="49" xfId="0" applyAlignment="1" applyBorder="1" applyFont="1" applyNumberFormat="1">
      <alignment horizontal="center" readingOrder="0"/>
    </xf>
    <xf borderId="19" fillId="0" fontId="19" numFmtId="49" xfId="0" applyAlignment="1" applyBorder="1" applyFont="1" applyNumberFormat="1">
      <alignment horizontal="center" readingOrder="0"/>
    </xf>
    <xf borderId="32" fillId="0" fontId="2" numFmtId="49" xfId="0" applyBorder="1" applyFont="1" applyNumberFormat="1"/>
    <xf borderId="20" fillId="8" fontId="2" numFmtId="164" xfId="0" applyBorder="1" applyFont="1" applyNumberFormat="1"/>
    <xf borderId="0" fillId="7" fontId="2" numFmtId="164" xfId="0" applyFont="1" applyNumberFormat="1"/>
    <xf borderId="19" fillId="8" fontId="2" numFmtId="164" xfId="0" applyBorder="1" applyFont="1" applyNumberFormat="1"/>
    <xf borderId="20" fillId="3" fontId="2" numFmtId="164" xfId="0" applyAlignment="1" applyBorder="1" applyFont="1" applyNumberFormat="1">
      <alignment readingOrder="0"/>
    </xf>
    <xf borderId="19" fillId="8" fontId="2" numFmtId="164" xfId="0" applyAlignment="1" applyBorder="1" applyFont="1" applyNumberFormat="1">
      <alignment readingOrder="0"/>
    </xf>
    <xf borderId="16" fillId="2" fontId="2" numFmtId="10" xfId="0" applyBorder="1" applyFont="1" applyNumberFormat="1"/>
    <xf borderId="15" fillId="7" fontId="2" numFmtId="164" xfId="0" applyBorder="1" applyFont="1" applyNumberFormat="1"/>
    <xf borderId="0" fillId="2" fontId="9" numFmtId="164" xfId="0" applyAlignment="1" applyFont="1" applyNumberFormat="1">
      <alignment readingOrder="0"/>
    </xf>
    <xf borderId="34" fillId="8" fontId="2" numFmtId="164" xfId="0" applyBorder="1" applyFont="1" applyNumberFormat="1"/>
    <xf borderId="15" fillId="8" fontId="2" numFmtId="164" xfId="0" applyBorder="1" applyFont="1" applyNumberFormat="1"/>
    <xf borderId="16" fillId="8" fontId="2" numFmtId="164" xfId="0" applyBorder="1" applyFont="1" applyNumberFormat="1"/>
    <xf borderId="15" fillId="3" fontId="2" numFmtId="164" xfId="0" applyAlignment="1" applyBorder="1" applyFont="1" applyNumberFormat="1">
      <alignment readingOrder="0"/>
    </xf>
    <xf borderId="16" fillId="8" fontId="2" numFmtId="164" xfId="0" applyAlignment="1" applyBorder="1" applyFont="1" applyNumberFormat="1">
      <alignment readingOrder="0"/>
    </xf>
    <xf borderId="30" fillId="0" fontId="1" numFmtId="49" xfId="0" applyAlignment="1" applyBorder="1" applyFont="1" applyNumberFormat="1">
      <alignment readingOrder="0"/>
    </xf>
    <xf borderId="30" fillId="2" fontId="2" numFmtId="164" xfId="0" applyBorder="1" applyFont="1" applyNumberFormat="1"/>
    <xf borderId="33" fillId="2" fontId="2" numFmtId="164" xfId="0" applyBorder="1" applyFont="1" applyNumberFormat="1"/>
    <xf borderId="30" fillId="2" fontId="1" numFmtId="164" xfId="0" applyBorder="1" applyFont="1" applyNumberFormat="1"/>
    <xf borderId="33" fillId="8" fontId="1" numFmtId="164" xfId="0" applyBorder="1" applyFont="1" applyNumberFormat="1"/>
    <xf borderId="32" fillId="2" fontId="2" numFmtId="10" xfId="0" applyBorder="1" applyFont="1" applyNumberFormat="1"/>
    <xf borderId="0" fillId="0" fontId="1" numFmtId="49" xfId="0" applyAlignment="1" applyFont="1" applyNumberFormat="1">
      <alignment readingOrder="0"/>
    </xf>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18" numFmtId="164" xfId="0" applyAlignment="1" applyFont="1" applyNumberFormat="1">
      <alignment horizontal="right" readingOrder="0"/>
    </xf>
    <xf borderId="0" fillId="0" fontId="24" numFmtId="168" xfId="0" applyAlignment="1" applyFont="1" applyNumberFormat="1">
      <alignment readingOrder="0"/>
    </xf>
    <xf borderId="0" fillId="7" fontId="24" numFmtId="168" xfId="0" applyAlignment="1" applyFont="1" applyNumberFormat="1">
      <alignment readingOrder="0"/>
    </xf>
    <xf borderId="0" fillId="0" fontId="25"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4" numFmtId="170" xfId="0" applyAlignment="1" applyFont="1" applyNumberFormat="1">
      <alignment horizontal="right" vertical="bottom"/>
    </xf>
    <xf borderId="0" fillId="0" fontId="26" numFmtId="164" xfId="0" applyFont="1" applyNumberFormat="1"/>
    <xf borderId="0" fillId="0" fontId="1" numFmtId="164" xfId="0" applyAlignment="1" applyFont="1" applyNumberFormat="1">
      <alignment horizontal="center"/>
    </xf>
    <xf borderId="0" fillId="7" fontId="26" numFmtId="164" xfId="0" applyFont="1" applyNumberFormat="1"/>
    <xf borderId="0" fillId="7" fontId="0" numFmtId="164" xfId="0" applyAlignment="1" applyFont="1" applyNumberFormat="1">
      <alignment readingOrder="0"/>
    </xf>
    <xf borderId="15" fillId="0" fontId="1" numFmtId="0" xfId="0" applyAlignment="1" applyBorder="1" applyFont="1">
      <alignment horizontal="center" readingOrder="0"/>
    </xf>
    <xf borderId="21" fillId="7" fontId="27" numFmtId="0" xfId="0" applyAlignment="1" applyBorder="1" applyFont="1">
      <alignment horizontal="center" readingOrder="0"/>
    </xf>
    <xf borderId="20" fillId="0" fontId="1" numFmtId="171" xfId="0" applyAlignment="1" applyBorder="1" applyFont="1" applyNumberFormat="1">
      <alignment horizontal="center" readingOrder="0"/>
    </xf>
    <xf borderId="21" fillId="0" fontId="1" numFmtId="171" xfId="0" applyAlignment="1" applyBorder="1" applyFont="1" applyNumberFormat="1">
      <alignment horizontal="center" readingOrder="0"/>
    </xf>
    <xf borderId="20" fillId="0" fontId="1" numFmtId="49" xfId="0" applyAlignment="1" applyBorder="1" applyFont="1" applyNumberFormat="1">
      <alignment horizontal="center" readingOrder="0"/>
    </xf>
    <xf borderId="21" fillId="0" fontId="1" numFmtId="49" xfId="0" applyAlignment="1" applyBorder="1" applyFont="1" applyNumberFormat="1">
      <alignment horizontal="center" readingOrder="0"/>
    </xf>
    <xf borderId="16" fillId="0" fontId="2" numFmtId="0" xfId="0" applyAlignment="1" applyBorder="1" applyFont="1">
      <alignment horizontal="center" readingOrder="0"/>
    </xf>
    <xf borderId="0" fillId="0" fontId="2" numFmtId="0" xfId="0" applyAlignment="1" applyFont="1">
      <alignment horizontal="center" readingOrder="0"/>
    </xf>
    <xf borderId="8" fillId="0" fontId="2" numFmtId="0" xfId="0" applyAlignment="1" applyBorder="1" applyFont="1">
      <alignment horizontal="center" readingOrder="0"/>
    </xf>
    <xf borderId="8" fillId="0" fontId="2" numFmtId="171" xfId="0" applyAlignment="1" applyBorder="1" applyFont="1" applyNumberFormat="1">
      <alignment readingOrder="0"/>
    </xf>
    <xf borderId="34" fillId="0" fontId="2" numFmtId="171" xfId="0" applyAlignment="1" applyBorder="1" applyFont="1" applyNumberFormat="1">
      <alignment horizontal="center" readingOrder="0"/>
    </xf>
    <xf borderId="36" fillId="0" fontId="3" numFmtId="0" xfId="0" applyBorder="1" applyFont="1"/>
    <xf borderId="35" fillId="0" fontId="3"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15" fillId="0" fontId="2" numFmtId="49" xfId="0" applyAlignment="1" applyBorder="1" applyFont="1" applyNumberFormat="1">
      <alignment horizontal="center" readingOrder="0"/>
    </xf>
    <xf borderId="15"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19" fillId="0" fontId="2" numFmtId="0" xfId="0" applyAlignment="1" applyBorder="1" applyFont="1">
      <alignment readingOrder="0"/>
    </xf>
    <xf borderId="21" fillId="0" fontId="2" numFmtId="167" xfId="0" applyAlignment="1" applyBorder="1" applyFont="1" applyNumberFormat="1">
      <alignment readingOrder="0"/>
    </xf>
    <xf borderId="21" fillId="0" fontId="2" numFmtId="0" xfId="0" applyAlignment="1" applyBorder="1" applyFont="1">
      <alignment readingOrder="0"/>
    </xf>
    <xf borderId="20" fillId="0" fontId="2" numFmtId="0" xfId="0" applyAlignment="1" applyBorder="1" applyFont="1">
      <alignment readingOrder="0"/>
    </xf>
    <xf borderId="21" fillId="0" fontId="2" numFmtId="49" xfId="0" applyAlignment="1" applyBorder="1" applyFont="1" applyNumberFormat="1">
      <alignment readingOrder="0"/>
    </xf>
    <xf borderId="21" fillId="0" fontId="2" numFmtId="0" xfId="0" applyAlignment="1" applyBorder="1" applyFont="1">
      <alignment horizontal="right" readingOrder="0"/>
    </xf>
    <xf borderId="20" fillId="0" fontId="2" numFmtId="171" xfId="0" applyAlignment="1" applyBorder="1" applyFont="1" applyNumberFormat="1">
      <alignment readingOrder="0"/>
    </xf>
    <xf borderId="21" fillId="0" fontId="2" numFmtId="171" xfId="0" applyAlignment="1" applyBorder="1" applyFont="1" applyNumberFormat="1">
      <alignment readingOrder="0"/>
    </xf>
    <xf borderId="15" fillId="0" fontId="2" numFmtId="171" xfId="0" applyAlignment="1" applyBorder="1" applyFont="1" applyNumberFormat="1">
      <alignment readingOrder="0"/>
    </xf>
    <xf borderId="0" fillId="0" fontId="2" numFmtId="171" xfId="0" applyAlignment="1" applyFont="1" applyNumberFormat="1">
      <alignment readingOrder="0"/>
    </xf>
    <xf borderId="16" fillId="0" fontId="2" numFmtId="171" xfId="0" applyAlignment="1" applyBorder="1" applyFont="1" applyNumberFormat="1">
      <alignment readingOrder="0"/>
    </xf>
    <xf borderId="19" fillId="0" fontId="2" numFmtId="171" xfId="0" applyAlignment="1" applyBorder="1" applyFont="1" applyNumberFormat="1">
      <alignment readingOrder="0"/>
    </xf>
    <xf borderId="21" fillId="0" fontId="9" numFmtId="49" xfId="0" applyAlignment="1" applyBorder="1" applyFont="1" applyNumberFormat="1">
      <alignment readingOrder="0"/>
    </xf>
    <xf borderId="19" fillId="0" fontId="2" numFmtId="49" xfId="0" applyAlignment="1" applyBorder="1" applyFont="1" applyNumberFormat="1">
      <alignment readingOrder="0"/>
    </xf>
    <xf borderId="20" fillId="0" fontId="2" numFmtId="49" xfId="0" applyAlignment="1" applyBorder="1" applyFont="1" applyNumberFormat="1">
      <alignment readingOrder="0"/>
    </xf>
    <xf borderId="20" fillId="0" fontId="2" numFmtId="49" xfId="0" applyAlignment="1" applyBorder="1" applyFont="1" applyNumberFormat="1">
      <alignment horizontal="center" readingOrder="0"/>
    </xf>
    <xf borderId="21" fillId="0" fontId="2" numFmtId="49" xfId="0" applyAlignment="1" applyBorder="1" applyFont="1" applyNumberFormat="1">
      <alignment horizontal="center" readingOrder="0"/>
    </xf>
    <xf borderId="21" fillId="0" fontId="2" numFmtId="49" xfId="0" applyAlignment="1" applyBorder="1" applyFont="1" applyNumberFormat="1">
      <alignment readingOrder="0"/>
    </xf>
    <xf borderId="5" fillId="0" fontId="2" numFmtId="49" xfId="0" applyAlignment="1" applyBorder="1" applyFont="1" applyNumberFormat="1">
      <alignment readingOrder="0"/>
    </xf>
    <xf borderId="6" fillId="0" fontId="2" numFmtId="49" xfId="0" applyAlignment="1" applyBorder="1" applyFont="1" applyNumberFormat="1">
      <alignment readingOrder="0"/>
    </xf>
    <xf borderId="7" fillId="0" fontId="2" numFmtId="49" xfId="0" applyAlignment="1" applyBorder="1" applyFont="1" applyNumberFormat="1">
      <alignment readingOrder="0"/>
    </xf>
    <xf borderId="33" fillId="0" fontId="9" numFmtId="49" xfId="0" applyAlignment="1" applyBorder="1" applyFont="1" applyNumberFormat="1">
      <alignment readingOrder="0"/>
    </xf>
    <xf borderId="19" fillId="0" fontId="2" numFmtId="49" xfId="0" applyAlignment="1" applyBorder="1" applyFont="1" applyNumberFormat="1">
      <alignment readingOrder="0"/>
    </xf>
    <xf borderId="20" fillId="0" fontId="2" numFmtId="0" xfId="0" applyBorder="1" applyFont="1"/>
    <xf borderId="20" fillId="2" fontId="2" numFmtId="1" xfId="0" applyBorder="1" applyFont="1" applyNumberFormat="1"/>
    <xf borderId="19" fillId="0" fontId="2" numFmtId="0" xfId="0" applyBorder="1" applyFont="1"/>
    <xf borderId="21" fillId="2" fontId="2" numFmtId="164" xfId="0" applyBorder="1" applyFont="1" applyNumberFormat="1"/>
    <xf borderId="20" fillId="2" fontId="2" numFmtId="172" xfId="0" applyBorder="1" applyFont="1" applyNumberFormat="1"/>
    <xf borderId="21" fillId="0" fontId="2" numFmtId="164" xfId="0" applyBorder="1" applyFont="1" applyNumberFormat="1"/>
    <xf borderId="19" fillId="2" fontId="2" numFmtId="166" xfId="0" applyBorder="1" applyFont="1" applyNumberFormat="1"/>
    <xf borderId="20" fillId="8" fontId="2" numFmtId="166" xfId="0" applyBorder="1" applyFont="1" applyNumberFormat="1"/>
    <xf borderId="21" fillId="8" fontId="2" numFmtId="164" xfId="0" applyBorder="1" applyFont="1" applyNumberFormat="1"/>
    <xf borderId="19" fillId="2" fontId="2" numFmtId="164" xfId="0" applyBorder="1" applyFont="1" applyNumberFormat="1"/>
    <xf borderId="37" fillId="0" fontId="2" numFmtId="0" xfId="0" applyBorder="1" applyFont="1"/>
    <xf borderId="31" fillId="0" fontId="2" numFmtId="0" xfId="0" applyBorder="1" applyFont="1"/>
    <xf borderId="31" fillId="8" fontId="2" numFmtId="164" xfId="0" applyBorder="1" applyFont="1" applyNumberFormat="1"/>
    <xf borderId="38" fillId="8" fontId="2" numFmtId="164" xfId="0" applyBorder="1" applyFont="1" applyNumberFormat="1"/>
    <xf borderId="21" fillId="9" fontId="2" numFmtId="164" xfId="0" applyBorder="1" applyFont="1" applyNumberFormat="1"/>
    <xf borderId="21" fillId="9" fontId="9" numFmtId="164" xfId="0" applyBorder="1" applyFont="1" applyNumberFormat="1"/>
    <xf borderId="19" fillId="9" fontId="2" numFmtId="164" xfId="0" applyBorder="1" applyFont="1" applyNumberFormat="1"/>
    <xf borderId="31" fillId="0" fontId="4" numFmtId="0" xfId="0" applyAlignment="1" applyBorder="1" applyFont="1">
      <alignment horizontal="right" vertical="bottom"/>
    </xf>
    <xf borderId="31" fillId="0" fontId="26" numFmtId="0" xfId="0" applyAlignment="1" applyBorder="1" applyFont="1">
      <alignment horizontal="center"/>
    </xf>
    <xf borderId="30" fillId="0" fontId="26" numFmtId="0" xfId="0" applyAlignment="1" applyBorder="1" applyFont="1">
      <alignment horizontal="center"/>
    </xf>
    <xf borderId="33" fillId="0" fontId="26" numFmtId="0" xfId="0" applyAlignment="1" applyBorder="1" applyFont="1">
      <alignment horizontal="center"/>
    </xf>
    <xf borderId="31" fillId="0" fontId="26" numFmtId="0" xfId="0" applyAlignment="1" applyBorder="1" applyFont="1">
      <alignment horizontal="center" readingOrder="0"/>
    </xf>
    <xf borderId="31" fillId="0" fontId="28" numFmtId="0" xfId="0" applyAlignment="1" applyBorder="1" applyFont="1">
      <alignment horizontal="right" vertical="bottom"/>
    </xf>
    <xf borderId="31" fillId="0" fontId="26" numFmtId="0" xfId="0" applyAlignment="1" applyBorder="1" applyFont="1">
      <alignment horizontal="right" vertical="bottom"/>
    </xf>
    <xf borderId="12" fillId="0" fontId="26" numFmtId="0" xfId="0" applyAlignment="1" applyBorder="1" applyFont="1">
      <alignment horizontal="right" vertical="bottom"/>
    </xf>
    <xf borderId="0" fillId="0" fontId="26" numFmtId="0" xfId="0" applyAlignment="1" applyFont="1">
      <alignment horizontal="right" vertical="bottom"/>
    </xf>
    <xf borderId="0" fillId="0" fontId="26" numFmtId="0" xfId="0" applyAlignment="1" applyFont="1">
      <alignment horizontal="right" readingOrder="0" vertical="bottom"/>
    </xf>
    <xf borderId="13" fillId="0" fontId="26" numFmtId="0" xfId="0" applyAlignment="1" applyBorder="1" applyFont="1">
      <alignment horizontal="right" vertical="bottom"/>
    </xf>
    <xf borderId="36" fillId="0" fontId="26" numFmtId="0" xfId="0" applyAlignment="1" applyBorder="1" applyFont="1">
      <alignment horizontal="right" vertical="bottom"/>
    </xf>
    <xf borderId="31" fillId="0" fontId="4" numFmtId="0" xfId="0" applyAlignment="1" applyBorder="1" applyFont="1">
      <alignment horizontal="center" vertical="bottom"/>
    </xf>
    <xf borderId="31" fillId="0" fontId="9" numFmtId="0" xfId="0" applyAlignment="1" applyBorder="1" applyFont="1">
      <alignment horizontal="right" vertical="bottom"/>
    </xf>
    <xf borderId="16" fillId="6" fontId="4" numFmtId="167" xfId="0" applyAlignment="1" applyBorder="1" applyFont="1" applyNumberFormat="1">
      <alignment horizontal="right" vertical="bottom"/>
    </xf>
    <xf borderId="0" fillId="5" fontId="4" numFmtId="167" xfId="0" applyAlignment="1" applyFont="1" applyNumberFormat="1">
      <alignment horizontal="right" vertical="bottom"/>
    </xf>
    <xf borderId="16" fillId="5" fontId="4" numFmtId="167" xfId="0" applyAlignment="1" applyBorder="1" applyFont="1" applyNumberFormat="1">
      <alignment horizontal="right" vertical="bottom"/>
    </xf>
    <xf borderId="20" fillId="3" fontId="4" numFmtId="1" xfId="0" applyAlignment="1" applyBorder="1" applyFont="1" applyNumberFormat="1">
      <alignment horizontal="right" vertical="bottom"/>
    </xf>
    <xf borderId="0" fillId="5" fontId="4" numFmtId="164" xfId="0" applyAlignment="1" applyFont="1" applyNumberFormat="1">
      <alignment horizontal="right" vertical="bottom"/>
    </xf>
    <xf borderId="21" fillId="3" fontId="4" numFmtId="164" xfId="0" applyAlignment="1" applyBorder="1" applyFont="1" applyNumberFormat="1">
      <alignment horizontal="right" vertical="bottom"/>
    </xf>
    <xf borderId="0" fillId="2" fontId="4" numFmtId="164" xfId="0" applyAlignment="1" applyFont="1" applyNumberFormat="1">
      <alignment horizontal="right" vertical="bottom"/>
    </xf>
    <xf borderId="0" fillId="3" fontId="4" numFmtId="164" xfId="0" applyAlignment="1" applyFont="1" applyNumberFormat="1">
      <alignment horizontal="right" vertical="bottom"/>
    </xf>
    <xf borderId="16" fillId="2" fontId="4" numFmtId="173" xfId="0" applyAlignment="1" applyBorder="1" applyFont="1" applyNumberFormat="1">
      <alignment horizontal="right" vertical="bottom"/>
    </xf>
    <xf borderId="20" fillId="4" fontId="4" numFmtId="172" xfId="0" applyAlignment="1" applyBorder="1" applyFont="1" applyNumberFormat="1">
      <alignment horizontal="right" vertical="bottom"/>
    </xf>
    <xf borderId="0" fillId="3" fontId="26" numFmtId="171" xfId="0" applyAlignment="1" applyFont="1" applyNumberFormat="1">
      <alignment horizontal="center" readingOrder="0"/>
    </xf>
    <xf borderId="15" fillId="3" fontId="26" numFmtId="165" xfId="0" applyAlignment="1" applyBorder="1" applyFont="1" applyNumberFormat="1">
      <alignment horizontal="center" readingOrder="0"/>
    </xf>
    <xf borderId="0" fillId="4" fontId="9" numFmtId="165" xfId="0" applyAlignment="1" applyFont="1" applyNumberFormat="1">
      <alignment horizontal="center" readingOrder="0"/>
    </xf>
    <xf borderId="16" fillId="4" fontId="9" numFmtId="165" xfId="0" applyAlignment="1" applyBorder="1" applyFont="1" applyNumberFormat="1">
      <alignment horizontal="center" readingOrder="0"/>
    </xf>
    <xf borderId="0" fillId="2" fontId="26" numFmtId="174" xfId="0" applyAlignment="1" applyFont="1" applyNumberFormat="1">
      <alignment horizontal="center"/>
    </xf>
    <xf borderId="16" fillId="4" fontId="26" numFmtId="174" xfId="0" applyAlignment="1" applyBorder="1" applyFont="1" applyNumberFormat="1">
      <alignment horizontal="center" readingOrder="0"/>
    </xf>
    <xf borderId="0" fillId="2" fontId="4" numFmtId="173" xfId="0" applyAlignment="1" applyFont="1" applyNumberFormat="1">
      <alignment horizontal="right" vertical="bottom"/>
    </xf>
    <xf borderId="0" fillId="2" fontId="4" numFmtId="174" xfId="0" applyAlignment="1" applyFont="1" applyNumberFormat="1">
      <alignment horizontal="right" vertical="bottom"/>
    </xf>
    <xf borderId="16" fillId="2" fontId="4" numFmtId="164" xfId="0" applyAlignment="1" applyBorder="1" applyFont="1" applyNumberFormat="1">
      <alignment horizontal="right" vertical="bottom"/>
    </xf>
    <xf borderId="0" fillId="2" fontId="4" numFmtId="166" xfId="0" applyAlignment="1" applyFont="1" applyNumberFormat="1">
      <alignment horizontal="right" vertical="bottom"/>
    </xf>
    <xf borderId="0" fillId="8" fontId="28" numFmtId="166" xfId="0" applyAlignment="1" applyFont="1" applyNumberFormat="1">
      <alignment horizontal="right" vertical="bottom"/>
    </xf>
    <xf borderId="16" fillId="8" fontId="4" numFmtId="173" xfId="0" applyAlignment="1" applyBorder="1" applyFont="1" applyNumberFormat="1">
      <alignment horizontal="right" vertical="bottom"/>
    </xf>
    <xf borderId="0" fillId="8" fontId="9" numFmtId="173" xfId="0" applyAlignment="1" applyFont="1" applyNumberFormat="1">
      <alignment horizontal="right" vertical="bottom"/>
    </xf>
    <xf borderId="18" fillId="8" fontId="0" numFmtId="164" xfId="0" applyBorder="1" applyFont="1" applyNumberFormat="1"/>
    <xf borderId="21" fillId="8" fontId="9" numFmtId="175" xfId="0" applyAlignment="1" applyBorder="1" applyFont="1" applyNumberFormat="1">
      <alignment horizontal="right" vertical="bottom"/>
    </xf>
    <xf borderId="21" fillId="8" fontId="9" numFmtId="164" xfId="0" applyAlignment="1" applyBorder="1" applyFont="1" applyNumberFormat="1">
      <alignment horizontal="right" vertical="bottom"/>
    </xf>
    <xf borderId="21" fillId="8" fontId="9" numFmtId="164" xfId="0" applyAlignment="1" applyBorder="1" applyFont="1" applyNumberFormat="1">
      <alignment horizontal="right" readingOrder="0" vertical="bottom"/>
    </xf>
    <xf borderId="22" fillId="8" fontId="9" numFmtId="164" xfId="0" applyAlignment="1" applyBorder="1" applyFont="1" applyNumberFormat="1">
      <alignment horizontal="right" vertical="bottom"/>
    </xf>
    <xf borderId="0" fillId="9" fontId="9" numFmtId="164" xfId="0" applyAlignment="1" applyFont="1" applyNumberFormat="1">
      <alignment horizontal="right" vertical="bottom"/>
    </xf>
    <xf borderId="0" fillId="9" fontId="4" numFmtId="164" xfId="0" applyAlignment="1" applyFont="1" applyNumberFormat="1">
      <alignment horizontal="right" vertical="bottom"/>
    </xf>
    <xf borderId="0" fillId="2" fontId="4" numFmtId="164" xfId="0" applyAlignment="1" applyFont="1" applyNumberFormat="1">
      <alignment horizontal="center" vertical="bottom"/>
    </xf>
    <xf borderId="0" fillId="9" fontId="0" numFmtId="164" xfId="0" applyFont="1" applyNumberFormat="1"/>
    <xf borderId="16" fillId="9" fontId="4" numFmtId="164" xfId="0" applyAlignment="1" applyBorder="1" applyFont="1" applyNumberFormat="1">
      <alignment horizontal="right" vertical="bottom"/>
    </xf>
    <xf borderId="15" fillId="3" fontId="4" numFmtId="1" xfId="0" applyAlignment="1" applyBorder="1" applyFont="1" applyNumberFormat="1">
      <alignment horizontal="right" vertical="bottom"/>
    </xf>
    <xf borderId="15" fillId="4" fontId="4" numFmtId="172" xfId="0" applyAlignment="1" applyBorder="1" applyFont="1" applyNumberFormat="1">
      <alignment horizontal="right" vertical="bottom"/>
    </xf>
    <xf borderId="15" fillId="3" fontId="26" numFmtId="165" xfId="0" applyAlignment="1" applyBorder="1" applyFont="1" applyNumberFormat="1">
      <alignment horizontal="center"/>
    </xf>
    <xf borderId="12" fillId="8" fontId="0" numFmtId="164" xfId="0" applyBorder="1" applyFont="1" applyNumberFormat="1"/>
    <xf borderId="0" fillId="8" fontId="9" numFmtId="175" xfId="0" applyAlignment="1" applyFont="1" applyNumberFormat="1">
      <alignment horizontal="right" vertical="bottom"/>
    </xf>
    <xf borderId="0" fillId="8" fontId="9" numFmtId="164" xfId="0" applyAlignment="1" applyFont="1" applyNumberFormat="1">
      <alignment horizontal="right" vertical="bottom"/>
    </xf>
    <xf borderId="0" fillId="8" fontId="9" numFmtId="164" xfId="0" applyAlignment="1" applyFont="1" applyNumberFormat="1">
      <alignment horizontal="right" readingOrder="0" vertical="bottom"/>
    </xf>
    <xf borderId="13" fillId="8" fontId="9" numFmtId="164" xfId="0" applyAlignment="1" applyBorder="1" applyFont="1" applyNumberFormat="1">
      <alignment horizontal="right" vertical="bottom"/>
    </xf>
    <xf borderId="0" fillId="3" fontId="26" numFmtId="171" xfId="0" applyAlignment="1" applyFont="1" applyNumberFormat="1">
      <alignment horizontal="center"/>
    </xf>
    <xf borderId="15" fillId="10" fontId="4" numFmtId="172" xfId="0" applyAlignment="1" applyBorder="1" applyFill="1" applyFont="1" applyNumberFormat="1">
      <alignment horizontal="right" vertical="bottom"/>
    </xf>
    <xf borderId="0" fillId="3" fontId="4" numFmtId="171" xfId="0" applyAlignment="1" applyFont="1" applyNumberFormat="1">
      <alignment horizontal="center"/>
    </xf>
    <xf borderId="15" fillId="3" fontId="4" numFmtId="165" xfId="0" applyAlignment="1" applyBorder="1" applyFont="1" applyNumberFormat="1">
      <alignment horizontal="center"/>
    </xf>
    <xf borderId="16" fillId="2" fontId="4" numFmtId="2" xfId="0" applyAlignment="1" applyBorder="1" applyFont="1" applyNumberFormat="1">
      <alignment horizontal="right" vertical="bottom"/>
    </xf>
    <xf borderId="35" fillId="6" fontId="4" numFmtId="167" xfId="0" applyAlignment="1" applyBorder="1" applyFont="1" applyNumberFormat="1">
      <alignment horizontal="right" vertical="bottom"/>
    </xf>
    <xf borderId="36" fillId="5" fontId="4" numFmtId="167" xfId="0" applyAlignment="1" applyBorder="1" applyFont="1" applyNumberFormat="1">
      <alignment horizontal="right" vertical="bottom"/>
    </xf>
    <xf borderId="35" fillId="5" fontId="4" numFmtId="167" xfId="0" applyAlignment="1" applyBorder="1" applyFont="1" applyNumberFormat="1">
      <alignment horizontal="right" vertical="bottom"/>
    </xf>
    <xf borderId="34" fillId="3" fontId="4" numFmtId="1" xfId="0" applyAlignment="1" applyBorder="1" applyFont="1" applyNumberFormat="1">
      <alignment horizontal="right" vertical="bottom"/>
    </xf>
    <xf borderId="36" fillId="5" fontId="4" numFmtId="164" xfId="0" applyAlignment="1" applyBorder="1" applyFont="1" applyNumberFormat="1">
      <alignment horizontal="right" vertical="bottom"/>
    </xf>
    <xf borderId="36" fillId="3" fontId="4" numFmtId="164" xfId="0" applyAlignment="1" applyBorder="1" applyFont="1" applyNumberFormat="1">
      <alignment horizontal="right" vertical="bottom"/>
    </xf>
    <xf borderId="36" fillId="2" fontId="4" numFmtId="164" xfId="0" applyAlignment="1" applyBorder="1" applyFont="1" applyNumberFormat="1">
      <alignment horizontal="right" vertical="bottom"/>
    </xf>
    <xf borderId="35" fillId="2" fontId="4" numFmtId="2" xfId="0" applyAlignment="1" applyBorder="1" applyFont="1" applyNumberFormat="1">
      <alignment horizontal="right" vertical="bottom"/>
    </xf>
    <xf borderId="34" fillId="4" fontId="4" numFmtId="172" xfId="0" applyAlignment="1" applyBorder="1" applyFont="1" applyNumberFormat="1">
      <alignment horizontal="right" vertical="bottom"/>
    </xf>
    <xf borderId="36" fillId="3" fontId="4" numFmtId="171" xfId="0" applyAlignment="1" applyBorder="1" applyFont="1" applyNumberFormat="1">
      <alignment horizontal="center"/>
    </xf>
    <xf borderId="34" fillId="3" fontId="4" numFmtId="165" xfId="0" applyAlignment="1" applyBorder="1" applyFont="1" applyNumberFormat="1">
      <alignment horizontal="center"/>
    </xf>
    <xf borderId="36" fillId="4" fontId="9" numFmtId="165" xfId="0" applyAlignment="1" applyBorder="1" applyFont="1" applyNumberFormat="1">
      <alignment horizontal="center" readingOrder="0"/>
    </xf>
    <xf borderId="35" fillId="4" fontId="9" numFmtId="165" xfId="0" applyAlignment="1" applyBorder="1" applyFont="1" applyNumberFormat="1">
      <alignment horizontal="center" readingOrder="0"/>
    </xf>
    <xf borderId="36" fillId="2" fontId="26" numFmtId="174" xfId="0" applyAlignment="1" applyBorder="1" applyFont="1" applyNumberFormat="1">
      <alignment horizontal="center"/>
    </xf>
    <xf borderId="35" fillId="4" fontId="26" numFmtId="174" xfId="0" applyAlignment="1" applyBorder="1" applyFont="1" applyNumberFormat="1">
      <alignment horizontal="center" readingOrder="0"/>
    </xf>
    <xf borderId="36" fillId="2" fontId="4" numFmtId="173" xfId="0" applyAlignment="1" applyBorder="1" applyFont="1" applyNumberFormat="1">
      <alignment horizontal="right" vertical="bottom"/>
    </xf>
    <xf borderId="36" fillId="2" fontId="4" numFmtId="174" xfId="0" applyAlignment="1" applyBorder="1" applyFont="1" applyNumberFormat="1">
      <alignment horizontal="right" vertical="bottom"/>
    </xf>
    <xf borderId="36" fillId="4" fontId="4" numFmtId="172" xfId="0" applyAlignment="1" applyBorder="1" applyFont="1" applyNumberFormat="1">
      <alignment horizontal="right" vertical="bottom"/>
    </xf>
    <xf borderId="35" fillId="2" fontId="4" numFmtId="164" xfId="0" applyAlignment="1" applyBorder="1" applyFont="1" applyNumberFormat="1">
      <alignment horizontal="right" vertical="bottom"/>
    </xf>
    <xf borderId="36" fillId="2" fontId="4" numFmtId="166" xfId="0" applyAlignment="1" applyBorder="1" applyFont="1" applyNumberFormat="1">
      <alignment horizontal="right" vertical="bottom"/>
    </xf>
    <xf borderId="31" fillId="8" fontId="28" numFmtId="166" xfId="0" applyAlignment="1" applyBorder="1" applyFont="1" applyNumberFormat="1">
      <alignment horizontal="right" vertical="bottom"/>
    </xf>
    <xf borderId="33" fillId="8" fontId="4" numFmtId="173" xfId="0" applyAlignment="1" applyBorder="1" applyFont="1" applyNumberFormat="1">
      <alignment horizontal="right" vertical="bottom"/>
    </xf>
    <xf borderId="31" fillId="8" fontId="9" numFmtId="173" xfId="0" applyAlignment="1" applyBorder="1" applyFont="1" applyNumberFormat="1">
      <alignment horizontal="right" vertical="bottom"/>
    </xf>
    <xf borderId="37" fillId="8" fontId="0" numFmtId="164" xfId="0" applyBorder="1" applyFont="1" applyNumberFormat="1"/>
    <xf borderId="31" fillId="8" fontId="9" numFmtId="175" xfId="0" applyAlignment="1" applyBorder="1" applyFont="1" applyNumberFormat="1">
      <alignment horizontal="right" vertical="bottom"/>
    </xf>
    <xf borderId="31" fillId="8" fontId="9" numFmtId="164" xfId="0" applyAlignment="1" applyBorder="1" applyFont="1" applyNumberFormat="1">
      <alignment horizontal="right" vertical="bottom"/>
    </xf>
    <xf borderId="31" fillId="8" fontId="9" numFmtId="164" xfId="0" applyAlignment="1" applyBorder="1" applyFont="1" applyNumberFormat="1">
      <alignment horizontal="right" readingOrder="0" vertical="bottom"/>
    </xf>
    <xf borderId="38" fillId="8" fontId="9" numFmtId="164" xfId="0" applyAlignment="1" applyBorder="1" applyFont="1" applyNumberFormat="1">
      <alignment horizontal="right" vertical="bottom"/>
    </xf>
    <xf borderId="31" fillId="9" fontId="9" numFmtId="164" xfId="0" applyAlignment="1" applyBorder="1" applyFont="1" applyNumberFormat="1">
      <alignment horizontal="right" vertical="bottom"/>
    </xf>
    <xf borderId="31" fillId="9" fontId="4" numFmtId="164" xfId="0" applyAlignment="1" applyBorder="1" applyFont="1" applyNumberFormat="1">
      <alignment horizontal="right" vertical="bottom"/>
    </xf>
    <xf borderId="31" fillId="2" fontId="4" numFmtId="164" xfId="0" applyAlignment="1" applyBorder="1" applyFont="1" applyNumberFormat="1">
      <alignment horizontal="center" vertical="bottom"/>
    </xf>
    <xf borderId="31" fillId="9" fontId="0" numFmtId="164" xfId="0" applyBorder="1" applyFont="1" applyNumberFormat="1"/>
    <xf borderId="33" fillId="9" fontId="4" numFmtId="164" xfId="0" applyAlignment="1" applyBorder="1" applyFont="1" applyNumberFormat="1">
      <alignment horizontal="right" vertical="bottom"/>
    </xf>
    <xf borderId="15" fillId="0" fontId="2" numFmtId="0" xfId="0" applyBorder="1" applyFont="1"/>
    <xf borderId="0" fillId="0" fontId="9" numFmtId="0" xfId="0" applyFont="1"/>
    <xf borderId="30" fillId="0" fontId="2" numFmtId="0" xfId="0" applyBorder="1" applyFont="1"/>
    <xf borderId="30" fillId="2" fontId="2" numFmtId="1" xfId="0" applyBorder="1" applyFont="1" applyNumberFormat="1"/>
    <xf borderId="33" fillId="0" fontId="2" numFmtId="0" xfId="0" applyBorder="1" applyFont="1"/>
    <xf borderId="31" fillId="2" fontId="2" numFmtId="164" xfId="0" applyBorder="1" applyFont="1" applyNumberFormat="1"/>
    <xf borderId="30" fillId="2" fontId="2" numFmtId="172" xfId="0" applyBorder="1" applyFont="1" applyNumberFormat="1"/>
    <xf borderId="31" fillId="0" fontId="2" numFmtId="0" xfId="0" applyAlignment="1" applyBorder="1" applyFont="1">
      <alignment readingOrder="0"/>
    </xf>
    <xf borderId="31" fillId="2" fontId="2" numFmtId="166" xfId="0" applyBorder="1" applyFont="1" applyNumberFormat="1"/>
    <xf borderId="33" fillId="2" fontId="2" numFmtId="166" xfId="0" applyBorder="1" applyFont="1" applyNumberFormat="1"/>
    <xf borderId="30" fillId="8" fontId="2" numFmtId="166" xfId="0" applyBorder="1" applyFont="1" applyNumberFormat="1"/>
    <xf borderId="30" fillId="8" fontId="2" numFmtId="164" xfId="0" applyBorder="1" applyFont="1" applyNumberFormat="1"/>
    <xf borderId="33" fillId="8" fontId="2" numFmtId="164" xfId="0" applyBorder="1" applyFont="1" applyNumberFormat="1"/>
    <xf borderId="31" fillId="9" fontId="9" numFmtId="164" xfId="0" applyBorder="1" applyFont="1" applyNumberFormat="1"/>
    <xf borderId="33" fillId="9" fontId="2" numFmtId="164" xfId="0" applyBorder="1" applyFont="1" applyNumberFormat="1"/>
    <xf borderId="0" fillId="0" fontId="2" numFmtId="0" xfId="0" applyAlignment="1" applyFont="1">
      <alignment readingOrder="0"/>
    </xf>
    <xf borderId="15" fillId="0" fontId="8" numFmtId="49" xfId="0" applyAlignment="1" applyBorder="1" applyFont="1" applyNumberFormat="1">
      <alignment horizontal="center" readingOrder="0"/>
    </xf>
    <xf borderId="15" fillId="0" fontId="8" numFmtId="49" xfId="0" applyAlignment="1" applyBorder="1" applyFont="1" applyNumberFormat="1">
      <alignment horizontal="center" readingOrder="0"/>
    </xf>
    <xf borderId="21" fillId="0" fontId="8" numFmtId="49" xfId="0" applyAlignment="1" applyBorder="1" applyFont="1" applyNumberFormat="1">
      <alignment horizontal="center" readingOrder="0"/>
    </xf>
    <xf borderId="20" fillId="0" fontId="8" numFmtId="49" xfId="0" applyAlignment="1" applyBorder="1" applyFont="1" applyNumberFormat="1">
      <alignment horizontal="center" readingOrder="0"/>
    </xf>
    <xf borderId="20" fillId="0" fontId="8" numFmtId="49" xfId="0" applyAlignment="1" applyBorder="1" applyFont="1" applyNumberFormat="1">
      <alignment horizontal="center" readingOrder="0"/>
    </xf>
    <xf borderId="16" fillId="0" fontId="9" numFmtId="49" xfId="0" applyAlignment="1" applyBorder="1" applyFont="1" applyNumberFormat="1">
      <alignment horizontal="center" readingOrder="0"/>
    </xf>
    <xf borderId="0" fillId="0" fontId="9" numFmtId="49" xfId="0" applyAlignment="1" applyFont="1" applyNumberFormat="1">
      <alignment horizontal="center" readingOrder="0"/>
    </xf>
    <xf borderId="8" fillId="0" fontId="9" numFmtId="49" xfId="0" applyAlignment="1" applyBorder="1" applyFont="1" applyNumberFormat="1">
      <alignment readingOrder="0"/>
    </xf>
    <xf borderId="15" fillId="0" fontId="9" numFmtId="49" xfId="0" applyAlignment="1" applyBorder="1" applyFont="1" applyNumberFormat="1">
      <alignment horizontal="center" readingOrder="0"/>
    </xf>
    <xf borderId="8" fillId="0" fontId="9" numFmtId="49" xfId="0" applyAlignment="1" applyBorder="1" applyFont="1" applyNumberFormat="1">
      <alignment readingOrder="0"/>
    </xf>
    <xf borderId="34" fillId="0" fontId="2" numFmtId="49" xfId="0" applyAlignment="1" applyBorder="1" applyFont="1" applyNumberFormat="1">
      <alignment horizontal="center" readingOrder="0"/>
    </xf>
    <xf borderId="19" fillId="0" fontId="9" numFmtId="49" xfId="0" applyAlignment="1" applyBorder="1" applyFont="1" applyNumberFormat="1">
      <alignment readingOrder="0"/>
    </xf>
    <xf borderId="31" fillId="0" fontId="9" numFmtId="49" xfId="0" applyAlignment="1" applyBorder="1" applyFont="1" applyNumberFormat="1">
      <alignment readingOrder="0"/>
    </xf>
    <xf borderId="20" fillId="0" fontId="9" numFmtId="49" xfId="0" applyAlignment="1" applyBorder="1" applyFont="1" applyNumberFormat="1">
      <alignment readingOrder="0"/>
    </xf>
    <xf borderId="32" fillId="0" fontId="9" numFmtId="49" xfId="0" applyAlignment="1" applyBorder="1" applyFont="1" applyNumberFormat="1">
      <alignment readingOrder="0"/>
    </xf>
    <xf borderId="21" fillId="0" fontId="9" numFmtId="49" xfId="0" applyAlignment="1" applyBorder="1" applyFont="1" applyNumberFormat="1">
      <alignment horizontal="center" readingOrder="0"/>
    </xf>
    <xf borderId="30" fillId="0" fontId="2" numFmtId="49" xfId="0" applyAlignment="1" applyBorder="1" applyFont="1" applyNumberFormat="1">
      <alignment readingOrder="0"/>
    </xf>
    <xf borderId="19" fillId="0" fontId="9" numFmtId="49" xfId="0" applyAlignment="1" applyBorder="1" applyFont="1" applyNumberFormat="1">
      <alignment readingOrder="0"/>
    </xf>
    <xf borderId="15" fillId="0" fontId="2" numFmtId="49" xfId="0" applyAlignment="1" applyBorder="1" applyFont="1" applyNumberFormat="1">
      <alignment readingOrder="0"/>
    </xf>
    <xf borderId="16" fillId="0" fontId="2" numFmtId="49" xfId="0" applyAlignment="1" applyBorder="1" applyFont="1" applyNumberFormat="1">
      <alignment readingOrder="0"/>
    </xf>
    <xf borderId="30" fillId="0" fontId="9" numFmtId="49" xfId="0" applyAlignment="1" applyBorder="1" applyFont="1" applyNumberFormat="1">
      <alignment horizontal="center" readingOrder="0"/>
    </xf>
    <xf borderId="31" fillId="0" fontId="9" numFmtId="49" xfId="0" applyAlignment="1" applyBorder="1" applyFont="1" applyNumberFormat="1">
      <alignment horizontal="center" readingOrder="0"/>
    </xf>
    <xf borderId="31" fillId="0" fontId="9" numFmtId="49" xfId="0" applyAlignment="1" applyBorder="1" applyFont="1" applyNumberFormat="1">
      <alignment readingOrder="0"/>
    </xf>
    <xf borderId="21" fillId="0" fontId="9" numFmtId="49" xfId="0" applyAlignment="1" applyBorder="1" applyFont="1" applyNumberFormat="1">
      <alignment readingOrder="0"/>
    </xf>
    <xf borderId="30" fillId="2" fontId="2" numFmtId="171" xfId="0" applyBorder="1" applyFont="1" applyNumberFormat="1"/>
    <xf borderId="30" fillId="2" fontId="2" numFmtId="173" xfId="0" applyBorder="1" applyFont="1" applyNumberFormat="1"/>
    <xf borderId="31" fillId="8" fontId="2" numFmtId="166" xfId="0" applyBorder="1" applyFont="1" applyNumberFormat="1"/>
    <xf borderId="30" fillId="0" fontId="2" numFmtId="0" xfId="0" applyBorder="1" applyFont="1"/>
    <xf borderId="31" fillId="7" fontId="2" numFmtId="0" xfId="0" applyBorder="1" applyFont="1"/>
    <xf borderId="31" fillId="0" fontId="2" numFmtId="164" xfId="0" applyBorder="1" applyFont="1" applyNumberFormat="1"/>
    <xf borderId="31" fillId="0" fontId="4" numFmtId="0" xfId="0" applyAlignment="1" applyBorder="1" applyFont="1">
      <alignment vertical="bottom"/>
    </xf>
    <xf borderId="31" fillId="0" fontId="4" numFmtId="0" xfId="0" applyAlignment="1" applyBorder="1" applyFont="1">
      <alignment horizontal="center"/>
    </xf>
    <xf borderId="39" fillId="0" fontId="4" numFmtId="0" xfId="0" applyAlignment="1" applyBorder="1" applyFont="1">
      <alignment horizontal="right" vertical="bottom"/>
    </xf>
    <xf borderId="36" fillId="0" fontId="4" numFmtId="0" xfId="0" applyAlignment="1" applyBorder="1" applyFont="1">
      <alignment horizontal="right" vertical="bottom"/>
    </xf>
    <xf borderId="40" fillId="0" fontId="4" numFmtId="0" xfId="0" applyAlignment="1" applyBorder="1" applyFont="1">
      <alignment horizontal="right" vertical="bottom"/>
    </xf>
    <xf borderId="31" fillId="0" fontId="4" numFmtId="0" xfId="0" applyAlignment="1" applyBorder="1" applyFont="1">
      <alignment horizontal="right" readingOrder="0" vertical="bottom"/>
    </xf>
    <xf borderId="33" fillId="0" fontId="4" numFmtId="0" xfId="0" applyAlignment="1" applyBorder="1" applyFont="1">
      <alignment horizontal="right" vertical="bottom"/>
    </xf>
    <xf borderId="16" fillId="6" fontId="4" numFmtId="49" xfId="0" applyAlignment="1" applyBorder="1" applyFont="1" applyNumberFormat="1">
      <alignment vertical="bottom"/>
    </xf>
    <xf borderId="0" fillId="6" fontId="4" numFmtId="167" xfId="0" applyAlignment="1" applyFont="1" applyNumberFormat="1">
      <alignment horizontal="right" vertical="bottom"/>
    </xf>
    <xf borderId="16" fillId="5" fontId="4" numFmtId="164" xfId="0" applyAlignment="1" applyBorder="1" applyFont="1" applyNumberFormat="1">
      <alignment horizontal="right" vertical="bottom"/>
    </xf>
    <xf borderId="1" fillId="4" fontId="4" numFmtId="1" xfId="0" applyAlignment="1" applyBorder="1" applyFont="1" applyNumberFormat="1">
      <alignment horizontal="right" vertical="bottom"/>
    </xf>
    <xf borderId="20" fillId="4" fontId="4" numFmtId="171" xfId="0" applyAlignment="1" applyBorder="1" applyFont="1" applyNumberFormat="1">
      <alignment horizontal="right" vertical="bottom"/>
    </xf>
    <xf borderId="0" fillId="4" fontId="9" numFmtId="165" xfId="0" applyAlignment="1" applyFont="1" applyNumberFormat="1">
      <alignment horizontal="center"/>
    </xf>
    <xf borderId="0" fillId="2" fontId="4" numFmtId="172" xfId="0" applyAlignment="1" applyFont="1" applyNumberFormat="1">
      <alignment horizontal="right" vertical="bottom"/>
    </xf>
    <xf borderId="0" fillId="8" fontId="4" numFmtId="166" xfId="0" applyAlignment="1" applyFont="1" applyNumberFormat="1">
      <alignment horizontal="right" vertical="bottom"/>
    </xf>
    <xf borderId="16" fillId="8" fontId="4" numFmtId="164" xfId="0" applyAlignment="1" applyBorder="1" applyFont="1" applyNumberFormat="1">
      <alignment horizontal="right" vertical="bottom"/>
    </xf>
    <xf borderId="0" fillId="8" fontId="4" numFmtId="164" xfId="0" applyAlignment="1" applyFont="1" applyNumberFormat="1">
      <alignment horizontal="right" vertical="bottom"/>
    </xf>
    <xf borderId="12" fillId="8" fontId="20" numFmtId="164" xfId="0" applyBorder="1" applyFont="1" applyNumberFormat="1"/>
    <xf borderId="0" fillId="9" fontId="4" numFmtId="164" xfId="0" applyAlignment="1" applyFont="1" applyNumberFormat="1">
      <alignment horizontal="right" readingOrder="0" vertical="bottom"/>
    </xf>
    <xf borderId="8" fillId="4" fontId="4" numFmtId="1" xfId="0" applyAlignment="1" applyBorder="1" applyFont="1" applyNumberFormat="1">
      <alignment horizontal="right" vertical="bottom"/>
    </xf>
    <xf borderId="15" fillId="4" fontId="4" numFmtId="171" xfId="0" applyAlignment="1" applyBorder="1" applyFont="1" applyNumberFormat="1">
      <alignment horizontal="right" vertical="bottom"/>
    </xf>
    <xf borderId="0" fillId="3" fontId="4" numFmtId="171" xfId="0" applyAlignment="1" applyFont="1" applyNumberFormat="1">
      <alignment horizontal="center" readingOrder="0"/>
    </xf>
    <xf borderId="15" fillId="10" fontId="4" numFmtId="171" xfId="0" applyAlignment="1" applyBorder="1" applyFont="1" applyNumberFormat="1">
      <alignment horizontal="right" vertical="bottom"/>
    </xf>
    <xf borderId="0" fillId="6" fontId="4" numFmtId="167" xfId="0" applyAlignment="1" applyFont="1" applyNumberFormat="1">
      <alignment vertical="bottom"/>
    </xf>
    <xf borderId="16" fillId="11" fontId="4" numFmtId="167" xfId="0" applyAlignment="1" applyBorder="1" applyFill="1" applyFont="1" applyNumberFormat="1">
      <alignment horizontal="right" vertical="bottom"/>
    </xf>
    <xf borderId="35" fillId="6" fontId="4" numFmtId="49" xfId="0" applyAlignment="1" applyBorder="1" applyFont="1" applyNumberFormat="1">
      <alignment vertical="bottom"/>
    </xf>
    <xf borderId="36" fillId="6" fontId="4" numFmtId="167" xfId="0" applyAlignment="1" applyBorder="1" applyFont="1" applyNumberFormat="1">
      <alignment horizontal="right" vertical="bottom"/>
    </xf>
    <xf borderId="35" fillId="5" fontId="4" numFmtId="164" xfId="0" applyAlignment="1" applyBorder="1" applyFont="1" applyNumberFormat="1">
      <alignment horizontal="right" vertical="bottom"/>
    </xf>
    <xf borderId="24" fillId="4" fontId="4" numFmtId="1" xfId="0" applyAlignment="1" applyBorder="1" applyFont="1" applyNumberFormat="1">
      <alignment horizontal="right" vertical="bottom"/>
    </xf>
    <xf borderId="34" fillId="4" fontId="4" numFmtId="171" xfId="0" applyAlignment="1" applyBorder="1" applyFont="1" applyNumberFormat="1">
      <alignment horizontal="right" vertical="bottom"/>
    </xf>
    <xf borderId="36" fillId="4" fontId="9" numFmtId="165" xfId="0" applyAlignment="1" applyBorder="1" applyFont="1" applyNumberFormat="1">
      <alignment horizontal="center"/>
    </xf>
    <xf borderId="33" fillId="5" fontId="4" numFmtId="167" xfId="0" applyAlignment="1" applyBorder="1" applyFont="1" applyNumberFormat="1">
      <alignment horizontal="right" vertical="bottom"/>
    </xf>
    <xf borderId="30" fillId="3" fontId="4" numFmtId="1" xfId="0" applyAlignment="1" applyBorder="1" applyFont="1" applyNumberFormat="1">
      <alignment horizontal="right" vertical="bottom"/>
    </xf>
    <xf borderId="33" fillId="5" fontId="4" numFmtId="164" xfId="0" applyAlignment="1" applyBorder="1" applyFont="1" applyNumberFormat="1">
      <alignment horizontal="right" vertical="bottom"/>
    </xf>
    <xf borderId="32" fillId="4" fontId="4" numFmtId="1" xfId="0" applyAlignment="1" applyBorder="1" applyFont="1" applyNumberFormat="1">
      <alignment horizontal="right" vertical="bottom"/>
    </xf>
    <xf borderId="31" fillId="2" fontId="4" numFmtId="164" xfId="0" applyAlignment="1" applyBorder="1" applyFont="1" applyNumberFormat="1">
      <alignment horizontal="right" vertical="bottom"/>
    </xf>
    <xf borderId="30" fillId="4" fontId="4" numFmtId="171" xfId="0" applyAlignment="1" applyBorder="1" applyFont="1" applyNumberFormat="1">
      <alignment horizontal="right" vertical="bottom"/>
    </xf>
    <xf borderId="31" fillId="3" fontId="4" numFmtId="171" xfId="0" applyAlignment="1" applyBorder="1" applyFont="1" applyNumberFormat="1">
      <alignment horizontal="center"/>
    </xf>
    <xf borderId="31" fillId="4" fontId="9" numFmtId="165" xfId="0" applyAlignment="1" applyBorder="1" applyFont="1" applyNumberFormat="1">
      <alignment horizontal="center"/>
    </xf>
    <xf borderId="31" fillId="4" fontId="9" numFmtId="165" xfId="0" applyAlignment="1" applyBorder="1" applyFont="1" applyNumberFormat="1">
      <alignment horizontal="center" readingOrder="0"/>
    </xf>
    <xf borderId="31" fillId="2" fontId="26" numFmtId="174" xfId="0" applyAlignment="1" applyBorder="1" applyFont="1" applyNumberFormat="1">
      <alignment horizontal="center"/>
    </xf>
    <xf borderId="33" fillId="4" fontId="26" numFmtId="174" xfId="0" applyAlignment="1" applyBorder="1" applyFont="1" applyNumberFormat="1">
      <alignment horizontal="center" readingOrder="0"/>
    </xf>
    <xf borderId="31" fillId="2" fontId="4" numFmtId="173" xfId="0" applyAlignment="1" applyBorder="1" applyFont="1" applyNumberFormat="1">
      <alignment horizontal="right" vertical="bottom"/>
    </xf>
    <xf borderId="31" fillId="2" fontId="4" numFmtId="174" xfId="0" applyAlignment="1" applyBorder="1" applyFont="1" applyNumberFormat="1">
      <alignment horizontal="right" vertical="bottom"/>
    </xf>
    <xf borderId="31" fillId="2" fontId="4" numFmtId="166" xfId="0" applyAlignment="1" applyBorder="1" applyFont="1" applyNumberFormat="1">
      <alignment horizontal="right" vertical="bottom"/>
    </xf>
    <xf borderId="31" fillId="8" fontId="4" numFmtId="166" xfId="0" applyAlignment="1" applyBorder="1" applyFont="1" applyNumberFormat="1">
      <alignment horizontal="right" vertical="bottom"/>
    </xf>
    <xf borderId="33" fillId="8" fontId="4" numFmtId="164" xfId="0" applyAlignment="1" applyBorder="1" applyFont="1" applyNumberFormat="1">
      <alignment horizontal="right" vertical="bottom"/>
    </xf>
    <xf borderId="31" fillId="8" fontId="4" numFmtId="164" xfId="0" applyAlignment="1" applyBorder="1" applyFont="1" applyNumberFormat="1">
      <alignment horizontal="right" vertical="bottom"/>
    </xf>
    <xf borderId="18" fillId="8" fontId="20" numFmtId="164" xfId="0" applyBorder="1" applyFont="1" applyNumberFormat="1"/>
    <xf borderId="31" fillId="9" fontId="4" numFmtId="164" xfId="0" applyAlignment="1" applyBorder="1" applyFont="1" applyNumberFormat="1">
      <alignment horizontal="right" readingOrder="0" vertical="bottom"/>
    </xf>
    <xf borderId="34" fillId="2" fontId="2" numFmtId="164" xfId="0" applyBorder="1" applyFont="1" applyNumberFormat="1"/>
    <xf borderId="30" fillId="2" fontId="2" numFmtId="0" xfId="0" applyBorder="1" applyFont="1"/>
    <xf borderId="30" fillId="2" fontId="2" numFmtId="166" xfId="0" applyBorder="1" applyFont="1" applyNumberFormat="1"/>
    <xf borderId="0" fillId="5" fontId="9" numFmtId="164" xfId="0" applyAlignment="1" applyFont="1" applyNumberFormat="1">
      <alignment readingOrder="0"/>
    </xf>
    <xf borderId="0" fillId="5" fontId="9" numFmtId="164" xfId="0" applyFont="1" applyNumberFormat="1"/>
    <xf borderId="0" fillId="2" fontId="2" numFmtId="176" xfId="0" applyAlignment="1" applyFont="1" applyNumberFormat="1">
      <alignment horizontal="right"/>
    </xf>
    <xf borderId="0" fillId="0" fontId="2" numFmtId="49" xfId="0" applyAlignment="1" applyFont="1" applyNumberFormat="1">
      <alignment horizontal="right" readingOrder="0"/>
    </xf>
    <xf borderId="0" fillId="2" fontId="20" numFmtId="49" xfId="0" applyAlignment="1" applyFont="1" applyNumberFormat="1">
      <alignment readingOrder="0"/>
    </xf>
    <xf borderId="0" fillId="5" fontId="2" numFmtId="174" xfId="0" applyAlignment="1" applyFont="1" applyNumberFormat="1">
      <alignment readingOrder="0"/>
    </xf>
    <xf borderId="0" fillId="5" fontId="9"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7" fontId="20" numFmtId="49" xfId="0" applyAlignment="1" applyFont="1" applyNumberFormat="1">
      <alignment readingOrder="0"/>
    </xf>
    <xf borderId="0" fillId="2" fontId="2" numFmtId="49" xfId="0" applyFont="1" applyNumberFormat="1"/>
    <xf borderId="0" fillId="0" fontId="9" numFmtId="164" xfId="0" applyAlignment="1" applyFont="1" applyNumberFormat="1">
      <alignment readingOrder="0"/>
    </xf>
    <xf borderId="0" fillId="0" fontId="1" numFmtId="49" xfId="0" applyAlignment="1" applyFont="1" applyNumberFormat="1">
      <alignment horizontal="left" readingOrder="0"/>
    </xf>
    <xf borderId="0" fillId="0" fontId="19" numFmtId="49" xfId="0" applyAlignment="1" applyFont="1" applyNumberFormat="1">
      <alignment readingOrder="0"/>
    </xf>
    <xf borderId="0" fillId="7" fontId="0" numFmtId="164" xfId="0" applyFont="1" applyNumberFormat="1"/>
    <xf borderId="0" fillId="5" fontId="9" numFmtId="164" xfId="0" applyAlignment="1" applyFont="1" applyNumberFormat="1">
      <alignment horizontal="right" vertical="bottom"/>
    </xf>
    <xf borderId="0" fillId="0" fontId="9" numFmtId="164" xfId="0" applyAlignment="1" applyFont="1" applyNumberFormat="1">
      <alignment horizontal="right" vertical="bottom"/>
    </xf>
    <xf borderId="0" fillId="0" fontId="26" numFmtId="49" xfId="0" applyFont="1" applyNumberFormat="1"/>
    <xf borderId="0" fillId="0" fontId="9" numFmtId="177" xfId="0" applyAlignment="1" applyFont="1" applyNumberFormat="1">
      <alignment readingOrder="0"/>
    </xf>
    <xf borderId="0" fillId="0" fontId="9" numFmtId="177" xfId="0" applyAlignment="1" applyFont="1" applyNumberFormat="1">
      <alignment horizontal="right" readingOrder="0"/>
    </xf>
    <xf borderId="0" fillId="0" fontId="9"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9" numFmtId="164" xfId="0" applyAlignment="1" applyFont="1" applyNumberFormat="1">
      <alignment horizontal="right" readingOrder="0"/>
    </xf>
    <xf borderId="8" fillId="2" fontId="2" numFmtId="49" xfId="0" applyAlignment="1" applyBorder="1" applyFont="1" applyNumberFormat="1">
      <alignment horizontal="center" readingOrder="0"/>
    </xf>
    <xf borderId="24" fillId="2" fontId="2" numFmtId="49" xfId="0" applyAlignment="1" applyBorder="1" applyFont="1" applyNumberFormat="1">
      <alignment horizontal="center" readingOrder="0"/>
    </xf>
    <xf borderId="0" fillId="0" fontId="18" numFmtId="49" xfId="0" applyAlignment="1" applyFont="1" applyNumberFormat="1">
      <alignment horizontal="center" readingOrder="0"/>
    </xf>
    <xf borderId="0" fillId="0" fontId="29" numFmtId="49" xfId="0" applyAlignment="1" applyFont="1" applyNumberFormat="1">
      <alignment horizontal="center" readingOrder="0"/>
    </xf>
    <xf borderId="0" fillId="7" fontId="30" numFmtId="164" xfId="0" applyAlignment="1" applyFont="1" applyNumberFormat="1">
      <alignment horizontal="right" readingOrder="0"/>
    </xf>
    <xf borderId="0" fillId="0" fontId="1" numFmtId="9" xfId="0" applyAlignment="1" applyFont="1" applyNumberFormat="1">
      <alignment readingOrder="0"/>
    </xf>
    <xf borderId="0" fillId="0" fontId="9" numFmtId="164" xfId="0" applyFont="1" applyNumberFormat="1"/>
    <xf borderId="0" fillId="0" fontId="2" numFmtId="9" xfId="0" applyFont="1" applyNumberFormat="1"/>
    <xf borderId="0" fillId="0" fontId="9" numFmtId="164" xfId="0" applyAlignment="1" applyFont="1" applyNumberFormat="1">
      <alignment horizontal="right" readingOrder="0"/>
    </xf>
    <xf borderId="0" fillId="0" fontId="1" numFmtId="9" xfId="0" applyAlignment="1" applyFont="1" applyNumberFormat="1">
      <alignment horizontal="right" readingOrder="0"/>
    </xf>
    <xf borderId="0" fillId="0" fontId="31"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3">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color rgb="FFFF0000"/>
      </font>
      <fill>
        <patternFill patternType="solid">
          <fgColor rgb="FFDED5BA"/>
          <bgColor rgb="FFDED5BA"/>
        </patternFill>
      </fill>
      <border/>
    </dxf>
    <dxf>
      <font/>
      <fill>
        <patternFill patternType="solid">
          <fgColor rgb="FFFCE5CD"/>
          <bgColor rgb="FFFCE5CD"/>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1" type="firstRowStripe"/>
      <tableStyleElement dxfId="12" type="secondRowStripe"/>
    </tableStyle>
    <tableStyle count="2" pivot="0" name="RSU-style">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P7:AW27"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5"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hickeng/financial/blob/main/usage.md" TargetMode="External"/><Relationship Id="rId22" Type="http://schemas.openxmlformats.org/officeDocument/2006/relationships/hyperlink" Target="https://github.com/hickeng/financial/blob/main/usage.md" TargetMode="External"/><Relationship Id="rId21" Type="http://schemas.openxmlformats.org/officeDocument/2006/relationships/hyperlink" Target="https://github.com/hickeng/financial/blob/main/usage.md" TargetMode="External"/><Relationship Id="rId24" Type="http://schemas.openxmlformats.org/officeDocument/2006/relationships/hyperlink" Target="https://github.com/hickeng/financial/blob/main/usage.md" TargetMode="External"/><Relationship Id="rId23" Type="http://schemas.openxmlformats.org/officeDocument/2006/relationships/hyperlink" Target="https://github.com/hickeng/financial/blob/main/usage.md" TargetMode="External"/><Relationship Id="rId1" Type="http://schemas.openxmlformats.org/officeDocument/2006/relationships/comments" Target="../comments1.xml"/><Relationship Id="rId2" Type="http://schemas.openxmlformats.org/officeDocument/2006/relationships/hyperlink" Target="https://github.com/hickeng/financial/releases/tag/v0.1.6" TargetMode="External"/><Relationship Id="rId3" Type="http://schemas.openxmlformats.org/officeDocument/2006/relationships/hyperlink" Target="https://github.com/sponsors/hickeng" TargetMode="External"/><Relationship Id="rId4" Type="http://schemas.openxmlformats.org/officeDocument/2006/relationships/hyperlink" Target="https://creativecommons.org/licenses/by-nc/4.0/" TargetMode="External"/><Relationship Id="rId9" Type="http://schemas.openxmlformats.org/officeDocument/2006/relationships/hyperlink" Target="https://github.com/hickeng/financial/blob/main/usage.md" TargetMode="External"/><Relationship Id="rId26" Type="http://schemas.openxmlformats.org/officeDocument/2006/relationships/hyperlink" Target="https://github.com/hickeng/financial/blob/main/usage.md" TargetMode="External"/><Relationship Id="rId25" Type="http://schemas.openxmlformats.org/officeDocument/2006/relationships/hyperlink" Target="https://github.com/hickeng/financial/blob/main/usage.md" TargetMode="External"/><Relationship Id="rId28" Type="http://schemas.openxmlformats.org/officeDocument/2006/relationships/hyperlink" Target="https://github.com/hickeng/financial/blob/62-add-instructions-for-fractional-share-and-the-shares-from-etrade-column/usage.md" TargetMode="External"/><Relationship Id="rId27" Type="http://schemas.openxmlformats.org/officeDocument/2006/relationships/hyperlink" Target="https://github.com/hickeng/financial/blob/main/usage.md" TargetMode="External"/><Relationship Id="rId5" Type="http://schemas.openxmlformats.org/officeDocument/2006/relationships/hyperlink" Target="https://github.com/hickeng/financial/blob/main/usage.md" TargetMode="External"/><Relationship Id="rId6" Type="http://schemas.openxmlformats.org/officeDocument/2006/relationships/hyperlink" Target="https://github.com/hickeng/financial/blob/62-add-instructions-for-fractional-share-and-the-shares-from-etrade-column/usage.md" TargetMode="External"/><Relationship Id="rId29" Type="http://schemas.openxmlformats.org/officeDocument/2006/relationships/drawing" Target="../drawings/drawing1.xml"/><Relationship Id="rId7" Type="http://schemas.openxmlformats.org/officeDocument/2006/relationships/hyperlink" Target="https://github.com/hickeng/financial/blob/main/usage.md" TargetMode="External"/><Relationship Id="rId8" Type="http://schemas.openxmlformats.org/officeDocument/2006/relationships/hyperlink" Target="https://github.com/hickeng/financial/blob/main/usage.md" TargetMode="External"/><Relationship Id="rId30" Type="http://schemas.openxmlformats.org/officeDocument/2006/relationships/vmlDrawing" Target="../drawings/vmlDrawing1.vml"/><Relationship Id="rId11" Type="http://schemas.openxmlformats.org/officeDocument/2006/relationships/hyperlink" Target="https://github.com/hickeng/financial/blob/main/usage.md" TargetMode="External"/><Relationship Id="rId10" Type="http://schemas.openxmlformats.org/officeDocument/2006/relationships/hyperlink" Target="https://github.com/hickeng/financial/blob/main/usage.md" TargetMode="External"/><Relationship Id="rId13" Type="http://schemas.openxmlformats.org/officeDocument/2006/relationships/hyperlink" Target="https://github.com/hickeng/financial/blob/main/usage.md" TargetMode="External"/><Relationship Id="rId12" Type="http://schemas.openxmlformats.org/officeDocument/2006/relationships/hyperlink" Target="https://github.com/hickeng/financial/blob/main/usage.md" TargetMode="External"/><Relationship Id="rId15" Type="http://schemas.openxmlformats.org/officeDocument/2006/relationships/hyperlink" Target="https://github.com/hickeng/financial/blob/main/usage.md" TargetMode="External"/><Relationship Id="rId14" Type="http://schemas.openxmlformats.org/officeDocument/2006/relationships/hyperlink" Target="https://github.com/hickeng/financial/blob/main/README.md" TargetMode="External"/><Relationship Id="rId17" Type="http://schemas.openxmlformats.org/officeDocument/2006/relationships/hyperlink" Target="https://github.com/hickeng/financial/blob/main/usage.md" TargetMode="External"/><Relationship Id="rId16" Type="http://schemas.openxmlformats.org/officeDocument/2006/relationships/hyperlink" Target="https://github.com/hickeng/financial/blob/main/usage.md" TargetMode="External"/><Relationship Id="rId19" Type="http://schemas.openxmlformats.org/officeDocument/2006/relationships/hyperlink" Target="https://github.com/hickeng/financial/discussions" TargetMode="External"/><Relationship Id="rId18" Type="http://schemas.openxmlformats.org/officeDocument/2006/relationships/hyperlink" Target="https://github.com/hickeng/financial/blob/main/usage.m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8.75"/>
    <col customWidth="1" min="4" max="4" width="21.25"/>
    <col customWidth="1" min="5" max="5" width="14.0"/>
    <col customWidth="1" min="6" max="6" width="11.63"/>
    <col customWidth="1" min="7" max="7" width="13.38"/>
    <col customWidth="1" min="8" max="8" width="18.0"/>
    <col customWidth="1" min="9" max="9" width="9.25"/>
    <col customWidth="1" min="10" max="10" width="20.5"/>
    <col customWidth="1" min="11" max="11" width="37.5"/>
    <col customWidth="1" min="12" max="12" width="13.25"/>
    <col customWidth="1" min="16" max="16" width="13.75"/>
  </cols>
  <sheetData>
    <row r="1">
      <c r="A1" s="1" t="str">
        <f>"Colour Coding"</f>
        <v>Colour Coding</v>
      </c>
      <c r="B1" s="2"/>
      <c r="C1" s="3" t="s">
        <v>0</v>
      </c>
      <c r="D1" s="4"/>
      <c r="E1" s="4"/>
      <c r="F1" s="4"/>
      <c r="G1" s="4"/>
      <c r="H1" s="5"/>
      <c r="I1" s="2"/>
      <c r="J1" s="6" t="s">
        <v>1</v>
      </c>
      <c r="K1" s="7"/>
      <c r="L1" s="7"/>
      <c r="M1" s="7"/>
      <c r="N1" s="7"/>
      <c r="O1" s="7"/>
      <c r="P1" s="7"/>
      <c r="Q1" s="7"/>
      <c r="R1" s="7"/>
      <c r="S1" s="7"/>
      <c r="T1" s="7"/>
      <c r="U1" s="8"/>
    </row>
    <row r="2">
      <c r="A2" s="9" t="s">
        <v>2</v>
      </c>
      <c r="B2" s="2"/>
      <c r="C2" s="10"/>
      <c r="D2" s="11"/>
      <c r="E2" s="12"/>
      <c r="F2" s="12"/>
      <c r="G2" s="12"/>
      <c r="H2" s="13"/>
      <c r="I2" s="2"/>
      <c r="J2" s="14"/>
      <c r="K2" s="2"/>
      <c r="L2" s="2"/>
      <c r="M2" s="2"/>
      <c r="N2" s="2"/>
      <c r="O2" s="2"/>
      <c r="P2" s="2"/>
      <c r="U2" s="15"/>
    </row>
    <row r="3">
      <c r="A3" s="16" t="s">
        <v>3</v>
      </c>
      <c r="B3" s="2"/>
      <c r="C3" s="17" t="s">
        <v>4</v>
      </c>
      <c r="D3" s="18" t="s">
        <v>5</v>
      </c>
      <c r="E3" s="19"/>
      <c r="F3" s="20" t="s">
        <v>6</v>
      </c>
      <c r="H3" s="21"/>
      <c r="I3" s="2"/>
      <c r="J3" s="22" t="s">
        <v>7</v>
      </c>
      <c r="K3" s="23"/>
      <c r="L3" s="24" t="s">
        <v>8</v>
      </c>
      <c r="M3" s="25"/>
      <c r="N3" s="26"/>
      <c r="O3" s="26"/>
      <c r="P3" s="27"/>
      <c r="Q3" s="28" t="s">
        <v>9</v>
      </c>
      <c r="R3" s="29"/>
      <c r="S3" s="29"/>
      <c r="T3" s="29"/>
      <c r="U3" s="30"/>
    </row>
    <row r="4">
      <c r="A4" s="31" t="s">
        <v>10</v>
      </c>
      <c r="B4" s="2"/>
      <c r="C4" s="32"/>
      <c r="D4" s="33"/>
      <c r="E4" s="34"/>
      <c r="F4" s="34"/>
      <c r="G4" s="34"/>
      <c r="H4" s="35"/>
      <c r="I4" s="2"/>
      <c r="J4" s="36"/>
      <c r="L4" s="37"/>
      <c r="N4" s="2"/>
      <c r="O4" s="2"/>
      <c r="P4" s="38"/>
      <c r="Q4" s="37"/>
      <c r="U4" s="15"/>
    </row>
    <row r="5">
      <c r="A5" s="39" t="s">
        <v>11</v>
      </c>
      <c r="B5" s="2"/>
      <c r="C5" s="40" t="s">
        <v>12</v>
      </c>
      <c r="H5" s="21"/>
      <c r="I5" s="2"/>
      <c r="J5" s="41" t="s">
        <v>13</v>
      </c>
      <c r="L5" s="42" t="b">
        <v>0</v>
      </c>
      <c r="M5" s="43" t="s">
        <v>14</v>
      </c>
      <c r="N5" s="2"/>
      <c r="O5" s="2"/>
      <c r="P5" s="38"/>
      <c r="Q5" s="44" t="s">
        <v>15</v>
      </c>
      <c r="U5" s="15"/>
    </row>
    <row r="6">
      <c r="A6" s="45" t="s">
        <v>16</v>
      </c>
      <c r="B6" s="2"/>
      <c r="C6" s="46" t="s">
        <v>17</v>
      </c>
      <c r="H6" s="21"/>
      <c r="I6" s="2"/>
      <c r="J6" s="47" t="b">
        <v>0</v>
      </c>
      <c r="K6" s="48" t="s">
        <v>18</v>
      </c>
      <c r="L6" s="42" t="b">
        <v>0</v>
      </c>
      <c r="M6" s="43" t="s">
        <v>19</v>
      </c>
      <c r="N6" s="2"/>
      <c r="O6" s="2"/>
      <c r="P6" s="38"/>
      <c r="Q6" s="42" t="b">
        <v>0</v>
      </c>
      <c r="R6" s="49" t="s">
        <v>20</v>
      </c>
      <c r="U6" s="15"/>
    </row>
    <row r="7">
      <c r="A7" s="50" t="s">
        <v>21</v>
      </c>
      <c r="B7" s="2"/>
      <c r="C7" s="51" t="s">
        <v>22</v>
      </c>
      <c r="H7" s="21"/>
      <c r="I7" s="2"/>
      <c r="J7" s="47" t="b">
        <v>0</v>
      </c>
      <c r="K7" s="48" t="s">
        <v>23</v>
      </c>
      <c r="L7" s="42" t="b">
        <v>0</v>
      </c>
      <c r="M7" s="43" t="s">
        <v>24</v>
      </c>
      <c r="N7" s="2"/>
      <c r="O7" s="2"/>
      <c r="P7" s="38"/>
      <c r="Q7" s="42" t="b">
        <v>0</v>
      </c>
      <c r="R7" s="49" t="s">
        <v>25</v>
      </c>
      <c r="U7" s="15"/>
    </row>
    <row r="8">
      <c r="A8" s="52" t="str">
        <f>"Calculated - intermediate or informational"</f>
        <v>Calculated - intermediate or informational</v>
      </c>
      <c r="B8" s="2"/>
      <c r="C8" s="40" t="s">
        <v>26</v>
      </c>
      <c r="H8" s="21"/>
      <c r="I8" s="2"/>
      <c r="J8" s="36"/>
      <c r="L8" s="42" t="b">
        <v>0</v>
      </c>
      <c r="M8" s="53" t="s">
        <v>27</v>
      </c>
      <c r="N8" s="2"/>
      <c r="O8" s="2"/>
      <c r="P8" s="38"/>
      <c r="Q8" s="42" t="b">
        <v>0</v>
      </c>
      <c r="R8" s="49" t="s">
        <v>28</v>
      </c>
      <c r="U8" s="15"/>
    </row>
    <row r="9">
      <c r="A9" s="54" t="s">
        <v>29</v>
      </c>
      <c r="B9" s="2"/>
      <c r="C9" s="55" t="s">
        <v>30</v>
      </c>
      <c r="H9" s="21"/>
      <c r="I9" s="2"/>
      <c r="J9" s="47" t="b">
        <v>0</v>
      </c>
      <c r="K9" s="48" t="s">
        <v>31</v>
      </c>
      <c r="L9" s="42" t="b">
        <v>0</v>
      </c>
      <c r="M9" s="53" t="s">
        <v>32</v>
      </c>
      <c r="P9" s="38"/>
      <c r="Q9" s="56"/>
      <c r="R9" s="57"/>
      <c r="U9" s="15"/>
    </row>
    <row r="10">
      <c r="A10" s="58" t="s">
        <v>33</v>
      </c>
      <c r="B10" s="2"/>
      <c r="C10" s="59" t="s">
        <v>34</v>
      </c>
      <c r="H10" s="21"/>
      <c r="I10" s="2"/>
      <c r="J10" s="47" t="b">
        <v>0</v>
      </c>
      <c r="K10" s="48" t="s">
        <v>35</v>
      </c>
      <c r="N10" s="2"/>
      <c r="O10" s="2"/>
      <c r="P10" s="38"/>
      <c r="Q10" s="60" t="s">
        <v>36</v>
      </c>
      <c r="U10" s="15"/>
    </row>
    <row r="11">
      <c r="A11" s="2"/>
      <c r="B11" s="2"/>
      <c r="C11" s="61" t="s">
        <v>37</v>
      </c>
      <c r="H11" s="21"/>
      <c r="I11" s="2"/>
      <c r="J11" s="47" t="b">
        <v>0</v>
      </c>
      <c r="K11" s="53" t="s">
        <v>38</v>
      </c>
      <c r="L11" s="37"/>
      <c r="O11" s="2"/>
      <c r="P11" s="38"/>
      <c r="Q11" s="42" t="b">
        <v>0</v>
      </c>
      <c r="R11" s="53" t="s">
        <v>39</v>
      </c>
      <c r="U11" s="15"/>
    </row>
    <row r="12">
      <c r="A12" s="2"/>
      <c r="B12" s="2"/>
      <c r="C12" s="61" t="s">
        <v>40</v>
      </c>
      <c r="H12" s="21"/>
      <c r="I12" s="2"/>
      <c r="J12" s="47" t="b">
        <v>0</v>
      </c>
      <c r="K12" s="48" t="s">
        <v>41</v>
      </c>
      <c r="L12" s="62" t="s">
        <v>42</v>
      </c>
      <c r="O12" s="2"/>
      <c r="P12" s="38"/>
      <c r="Q12" s="42" t="b">
        <v>0</v>
      </c>
      <c r="R12" s="53" t="s">
        <v>43</v>
      </c>
      <c r="U12" s="15"/>
    </row>
    <row r="13">
      <c r="B13" s="2"/>
      <c r="C13" s="63"/>
      <c r="H13" s="64"/>
      <c r="I13" s="2"/>
      <c r="J13" s="65" t="b">
        <v>0</v>
      </c>
      <c r="K13" s="48" t="s">
        <v>44</v>
      </c>
      <c r="L13" s="42" t="b">
        <v>0</v>
      </c>
      <c r="M13" s="43" t="s">
        <v>45</v>
      </c>
      <c r="O13" s="2"/>
      <c r="P13" s="66"/>
      <c r="Q13" s="37"/>
      <c r="U13" s="15"/>
    </row>
    <row r="14">
      <c r="B14" s="2"/>
      <c r="C14" s="63"/>
      <c r="H14" s="64"/>
      <c r="I14" s="2"/>
      <c r="J14" s="36"/>
      <c r="L14" s="42" t="b">
        <v>0</v>
      </c>
      <c r="M14" s="43" t="s">
        <v>46</v>
      </c>
      <c r="N14" s="2"/>
      <c r="O14" s="2"/>
      <c r="P14" s="66"/>
      <c r="Q14" s="37"/>
      <c r="U14" s="15"/>
    </row>
    <row r="15">
      <c r="A15" s="2"/>
      <c r="B15" s="2"/>
      <c r="C15" s="63"/>
      <c r="H15" s="64"/>
      <c r="I15" s="2"/>
      <c r="J15" s="67" t="s">
        <v>42</v>
      </c>
      <c r="K15" s="68"/>
      <c r="L15" s="42" t="b">
        <v>0</v>
      </c>
      <c r="M15" s="43" t="s">
        <v>47</v>
      </c>
      <c r="N15" s="2"/>
      <c r="O15" s="2"/>
      <c r="P15" s="66"/>
      <c r="Q15" s="37"/>
      <c r="U15" s="15"/>
    </row>
    <row r="16">
      <c r="A16" s="2"/>
      <c r="B16" s="2"/>
      <c r="C16" s="69" t="s">
        <v>48</v>
      </c>
      <c r="H16" s="21"/>
      <c r="I16" s="2"/>
      <c r="J16" s="47" t="b">
        <v>0</v>
      </c>
      <c r="K16" s="70" t="s">
        <v>49</v>
      </c>
      <c r="L16" s="42" t="b">
        <v>0</v>
      </c>
      <c r="M16" s="43" t="s">
        <v>50</v>
      </c>
      <c r="N16" s="2"/>
      <c r="O16" s="2"/>
      <c r="P16" s="38"/>
      <c r="Q16" s="37"/>
      <c r="U16" s="15"/>
    </row>
    <row r="17">
      <c r="A17" s="2"/>
      <c r="B17" s="2"/>
      <c r="C17" s="71"/>
      <c r="H17" s="21"/>
      <c r="I17" s="2"/>
      <c r="J17" s="14"/>
      <c r="K17" s="66"/>
      <c r="L17" s="42" t="b">
        <v>0</v>
      </c>
      <c r="M17" s="53" t="s">
        <v>51</v>
      </c>
      <c r="N17" s="2"/>
      <c r="O17" s="2"/>
      <c r="P17" s="66"/>
      <c r="Q17" s="37"/>
      <c r="U17" s="15"/>
    </row>
    <row r="18">
      <c r="A18" s="2"/>
      <c r="B18" s="2"/>
      <c r="C18" s="72"/>
      <c r="D18" s="73"/>
      <c r="E18" s="73"/>
      <c r="F18" s="73"/>
      <c r="G18" s="73"/>
      <c r="H18" s="74"/>
      <c r="I18" s="2"/>
      <c r="J18" s="75"/>
      <c r="K18" s="76"/>
      <c r="L18" s="77"/>
      <c r="M18" s="78"/>
      <c r="N18" s="79"/>
      <c r="O18" s="79"/>
      <c r="P18" s="76"/>
      <c r="Q18" s="77"/>
      <c r="R18" s="78"/>
      <c r="S18" s="78"/>
      <c r="T18" s="78"/>
      <c r="U18" s="80"/>
    </row>
    <row r="19">
      <c r="A19" s="2"/>
      <c r="B19" s="2"/>
      <c r="C19" s="81"/>
      <c r="D19" s="82"/>
      <c r="E19" s="2"/>
      <c r="F19" s="2"/>
      <c r="G19" s="2"/>
      <c r="H19" s="2"/>
      <c r="I19" s="2"/>
      <c r="J19" s="2"/>
      <c r="K19" s="2"/>
      <c r="L19" s="2"/>
      <c r="M19" s="2"/>
      <c r="N19" s="2"/>
      <c r="O19" s="2"/>
      <c r="P19" s="2"/>
    </row>
    <row r="20">
      <c r="A20" s="2"/>
      <c r="B20" s="2"/>
      <c r="C20" s="83"/>
      <c r="D20" s="81"/>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84" t="s">
        <v>52</v>
      </c>
      <c r="B22" s="27"/>
      <c r="C22" s="2"/>
      <c r="D22" s="84" t="s">
        <v>53</v>
      </c>
      <c r="E22" s="26"/>
      <c r="F22" s="26"/>
      <c r="G22" s="26"/>
      <c r="H22" s="27"/>
      <c r="I22" s="2"/>
      <c r="J22" s="84" t="s">
        <v>54</v>
      </c>
      <c r="K22" s="26"/>
      <c r="L22" s="85"/>
      <c r="M22" s="85"/>
      <c r="N22" s="85"/>
      <c r="O22" s="85"/>
      <c r="P22" s="86"/>
    </row>
    <row r="23">
      <c r="A23" s="87"/>
      <c r="B23" s="88"/>
      <c r="C23" s="2"/>
      <c r="D23" s="89"/>
      <c r="E23" s="2"/>
      <c r="F23" s="2"/>
      <c r="G23" s="2"/>
      <c r="H23" s="38"/>
      <c r="I23" s="2"/>
      <c r="J23" s="89"/>
      <c r="K23" s="2"/>
      <c r="L23" s="2"/>
      <c r="M23" s="2"/>
      <c r="N23" s="2"/>
      <c r="O23" s="2"/>
      <c r="P23" s="38"/>
    </row>
    <row r="24">
      <c r="A24" s="90" t="s">
        <v>55</v>
      </c>
      <c r="B24" s="91"/>
      <c r="C24" s="2"/>
      <c r="D24" s="92" t="s">
        <v>56</v>
      </c>
      <c r="E24" s="93" t="s">
        <v>57</v>
      </c>
      <c r="F24" s="93" t="s">
        <v>58</v>
      </c>
      <c r="G24" s="94" t="s">
        <v>59</v>
      </c>
      <c r="H24" s="95" t="s">
        <v>60</v>
      </c>
      <c r="I24" s="2"/>
      <c r="J24" s="89"/>
      <c r="K24" s="2"/>
      <c r="L24" s="96" t="s">
        <v>61</v>
      </c>
      <c r="M24" s="97" t="s">
        <v>62</v>
      </c>
      <c r="N24" s="2"/>
      <c r="O24" s="2"/>
      <c r="P24" s="38"/>
    </row>
    <row r="25">
      <c r="A25" s="87" t="s">
        <v>63</v>
      </c>
      <c r="B25" s="98"/>
      <c r="C25" s="2"/>
      <c r="D25" s="99" t="s">
        <v>64</v>
      </c>
      <c r="E25" s="100" t="s">
        <v>65</v>
      </c>
      <c r="F25" s="101">
        <v>24.0</v>
      </c>
      <c r="G25" s="102"/>
      <c r="H25" s="103" t="s">
        <v>66</v>
      </c>
      <c r="I25" s="2"/>
      <c r="J25" s="87" t="s">
        <v>67</v>
      </c>
      <c r="K25" s="104" t="s">
        <v>68</v>
      </c>
      <c r="L25" s="105">
        <f>Reference!B18</f>
        <v>979.5</v>
      </c>
      <c r="M25" s="106">
        <v>123.45</v>
      </c>
      <c r="N25" s="2"/>
      <c r="O25" s="2"/>
      <c r="P25" s="38"/>
    </row>
    <row r="26">
      <c r="A26" s="107" t="s">
        <v>69</v>
      </c>
      <c r="B26" s="108"/>
      <c r="C26" s="2"/>
      <c r="D26" s="109" t="s">
        <v>70</v>
      </c>
      <c r="E26" s="110" t="s">
        <v>71</v>
      </c>
      <c r="F26" s="111">
        <v>1.0</v>
      </c>
      <c r="G26" s="112"/>
      <c r="H26" s="113" t="s">
        <v>72</v>
      </c>
      <c r="I26" s="2"/>
      <c r="J26" s="87" t="s">
        <v>73</v>
      </c>
      <c r="K26" s="104" t="s">
        <v>74</v>
      </c>
      <c r="L26" s="2"/>
      <c r="M26" s="114"/>
      <c r="N26" s="2"/>
      <c r="O26" s="2"/>
      <c r="P26" s="38"/>
    </row>
    <row r="27">
      <c r="A27" s="87"/>
      <c r="B27" s="115"/>
      <c r="C27" s="97"/>
      <c r="D27" s="109" t="s">
        <v>70</v>
      </c>
      <c r="E27" s="110" t="s">
        <v>71</v>
      </c>
      <c r="F27" s="111">
        <v>2.0</v>
      </c>
      <c r="G27" s="112"/>
      <c r="H27" s="113" t="s">
        <v>75</v>
      </c>
      <c r="I27" s="2"/>
      <c r="J27" s="87" t="s">
        <v>76</v>
      </c>
      <c r="K27" s="104" t="s">
        <v>77</v>
      </c>
      <c r="L27" s="105">
        <f>Reference!B23</f>
        <v>904.79</v>
      </c>
      <c r="M27" s="106">
        <v>123.45</v>
      </c>
      <c r="N27" s="2"/>
      <c r="O27" s="2"/>
      <c r="P27" s="38"/>
    </row>
    <row r="28">
      <c r="A28" s="116" t="s">
        <v>78</v>
      </c>
      <c r="B28" s="115"/>
      <c r="C28" s="97"/>
      <c r="D28" s="109" t="s">
        <v>70</v>
      </c>
      <c r="E28" s="110" t="s">
        <v>71</v>
      </c>
      <c r="F28" s="111">
        <v>16.0</v>
      </c>
      <c r="G28" s="112"/>
      <c r="H28" s="113" t="s">
        <v>79</v>
      </c>
      <c r="I28" s="2"/>
      <c r="J28" s="117" t="s">
        <v>80</v>
      </c>
      <c r="K28" s="118" t="s">
        <v>81</v>
      </c>
      <c r="L28" s="119" t="s">
        <v>82</v>
      </c>
      <c r="M28" s="120">
        <f>IFERROR(__xludf.DUMMYFUNCTION("GOOGLEFINANCE(""AVGO"")"),1257.87)</f>
        <v>1257.87</v>
      </c>
      <c r="N28" s="2"/>
      <c r="O28" s="2"/>
      <c r="P28" s="38"/>
    </row>
    <row r="29">
      <c r="A29" s="87" t="s">
        <v>83</v>
      </c>
      <c r="B29" s="121"/>
      <c r="C29" s="97"/>
      <c r="D29" s="109" t="s">
        <v>70</v>
      </c>
      <c r="E29" s="110" t="s">
        <v>71</v>
      </c>
      <c r="F29" s="111">
        <v>17.0</v>
      </c>
      <c r="G29" s="112"/>
      <c r="H29" s="113" t="s">
        <v>84</v>
      </c>
      <c r="I29" s="2"/>
      <c r="J29" s="87"/>
      <c r="K29" s="114"/>
      <c r="L29" s="2"/>
      <c r="M29" s="2"/>
      <c r="N29" s="2"/>
      <c r="O29" s="2"/>
      <c r="P29" s="38"/>
    </row>
    <row r="30">
      <c r="A30" s="87" t="s">
        <v>85</v>
      </c>
      <c r="B30" s="122"/>
      <c r="C30" s="97"/>
      <c r="D30" s="109"/>
      <c r="E30" s="110"/>
      <c r="F30" s="111"/>
      <c r="G30" s="123"/>
      <c r="H30" s="113"/>
      <c r="I30" s="2"/>
      <c r="J30" s="87" t="s">
        <v>86</v>
      </c>
      <c r="K30" s="124"/>
      <c r="L30" s="2"/>
      <c r="M30" s="2"/>
      <c r="N30" s="2"/>
      <c r="O30" s="2"/>
      <c r="P30" s="38"/>
    </row>
    <row r="31">
      <c r="A31" s="87" t="s">
        <v>87</v>
      </c>
      <c r="B31" s="122"/>
      <c r="C31" s="97"/>
      <c r="D31" s="37"/>
      <c r="H31" s="66"/>
      <c r="I31" s="2"/>
      <c r="J31" s="87" t="s">
        <v>88</v>
      </c>
      <c r="K31" s="124"/>
      <c r="L31" s="2"/>
      <c r="M31" s="2"/>
      <c r="N31" s="2"/>
      <c r="O31" s="2"/>
      <c r="P31" s="38"/>
    </row>
    <row r="32">
      <c r="A32" s="125" t="s">
        <v>89</v>
      </c>
      <c r="B32" s="126"/>
      <c r="C32" s="97"/>
      <c r="D32" s="127"/>
      <c r="E32" s="128"/>
      <c r="F32" s="128"/>
      <c r="G32" s="129"/>
      <c r="H32" s="130"/>
      <c r="I32" s="2"/>
      <c r="J32" s="87" t="s">
        <v>90</v>
      </c>
      <c r="K32" s="131"/>
      <c r="L32" s="2"/>
      <c r="M32" s="2"/>
      <c r="N32" s="2"/>
      <c r="O32" s="2"/>
      <c r="P32" s="38"/>
    </row>
    <row r="33">
      <c r="C33" s="97"/>
      <c r="D33" s="97"/>
      <c r="E33" s="97"/>
      <c r="F33" s="97"/>
      <c r="G33" s="97"/>
      <c r="H33" s="2"/>
      <c r="I33" s="2"/>
      <c r="J33" s="87" t="s">
        <v>91</v>
      </c>
      <c r="K33" s="132" t="s">
        <v>92</v>
      </c>
      <c r="L33" s="96"/>
      <c r="M33" s="2"/>
      <c r="N33" s="2"/>
      <c r="O33" s="2"/>
      <c r="P33" s="38"/>
    </row>
    <row r="34">
      <c r="A34" s="2"/>
      <c r="B34" s="2"/>
      <c r="C34" s="97"/>
      <c r="D34" s="97"/>
      <c r="E34" s="97"/>
      <c r="F34" s="97"/>
      <c r="G34" s="97"/>
      <c r="H34" s="2"/>
      <c r="I34" s="2"/>
      <c r="J34" s="87" t="s">
        <v>93</v>
      </c>
      <c r="K34" s="132" t="s">
        <v>94</v>
      </c>
      <c r="L34" s="133">
        <f>SWITCH(K34, "By status", SWITCH(K33,"Single",Reference!B36,"Joint",Reference!C36,"Head of household",Reference!D36), "Custom",M34)</f>
        <v>13850</v>
      </c>
      <c r="M34" s="134"/>
      <c r="N34" s="114" t="s">
        <v>95</v>
      </c>
      <c r="O34" s="2"/>
      <c r="P34" s="38"/>
    </row>
    <row r="35">
      <c r="A35" s="2"/>
      <c r="B35" s="2"/>
      <c r="C35" s="97"/>
      <c r="D35" s="97"/>
      <c r="E35" s="97"/>
      <c r="F35" s="97"/>
      <c r="G35" s="97"/>
      <c r="H35" s="2"/>
      <c r="I35" s="2"/>
      <c r="J35" s="89"/>
      <c r="K35" s="2"/>
      <c r="L35" s="2"/>
      <c r="M35" s="2"/>
      <c r="N35" s="2"/>
      <c r="O35" s="2"/>
      <c r="P35" s="38"/>
    </row>
    <row r="36">
      <c r="A36" s="84" t="s">
        <v>96</v>
      </c>
      <c r="B36" s="135"/>
      <c r="C36" s="135"/>
      <c r="D36" s="135"/>
      <c r="E36" s="135"/>
      <c r="F36" s="135"/>
      <c r="G36" s="26"/>
      <c r="H36" s="27"/>
      <c r="I36" s="2"/>
      <c r="J36" s="107" t="s">
        <v>97</v>
      </c>
      <c r="K36" s="136" t="s">
        <v>98</v>
      </c>
      <c r="L36" s="137"/>
      <c r="M36" s="137"/>
      <c r="N36" s="137"/>
      <c r="O36" s="137"/>
      <c r="P36" s="138"/>
    </row>
    <row r="37">
      <c r="A37" s="89"/>
      <c r="B37" s="96"/>
      <c r="C37" s="139"/>
      <c r="D37" s="139"/>
      <c r="E37" s="139"/>
      <c r="F37" s="139"/>
      <c r="G37" s="2"/>
      <c r="H37" s="138"/>
      <c r="I37" s="2"/>
      <c r="J37" s="2"/>
      <c r="K37" s="2"/>
      <c r="L37" s="2"/>
      <c r="M37" s="2"/>
      <c r="N37" s="2"/>
      <c r="O37" s="2"/>
      <c r="P37" s="2"/>
    </row>
    <row r="38">
      <c r="A38" s="84" t="s">
        <v>99</v>
      </c>
      <c r="B38" s="140"/>
      <c r="C38" s="135"/>
      <c r="D38" s="135"/>
      <c r="E38" s="135"/>
      <c r="F38" s="135"/>
      <c r="G38" s="26"/>
      <c r="H38" s="38"/>
      <c r="I38" s="2"/>
      <c r="J38" s="2"/>
      <c r="K38" s="2"/>
      <c r="L38" s="2"/>
      <c r="M38" s="2"/>
      <c r="N38" s="2"/>
      <c r="O38" s="96"/>
      <c r="P38" s="96"/>
    </row>
    <row r="39">
      <c r="A39" s="2"/>
      <c r="B39" s="2"/>
      <c r="C39" s="2"/>
      <c r="D39" s="2"/>
      <c r="E39" s="2"/>
      <c r="F39" s="2"/>
      <c r="G39" s="2"/>
      <c r="H39" s="38"/>
      <c r="I39" s="2"/>
      <c r="J39" s="84" t="s">
        <v>100</v>
      </c>
      <c r="K39" s="26"/>
      <c r="L39" s="26"/>
      <c r="M39" s="26"/>
      <c r="N39" s="26"/>
      <c r="O39" s="140"/>
      <c r="P39" s="27"/>
      <c r="Q39" s="141"/>
      <c r="R39" s="141"/>
      <c r="T39" s="142"/>
    </row>
    <row r="40">
      <c r="A40" s="2"/>
      <c r="B40" s="139" t="s">
        <v>101</v>
      </c>
      <c r="C40" s="139" t="s">
        <v>102</v>
      </c>
      <c r="D40" s="139" t="s">
        <v>103</v>
      </c>
      <c r="E40" s="139" t="s">
        <v>104</v>
      </c>
      <c r="F40" s="139" t="s">
        <v>105</v>
      </c>
      <c r="G40" s="96" t="s">
        <v>106</v>
      </c>
      <c r="H40" s="143" t="s">
        <v>107</v>
      </c>
      <c r="I40" s="2"/>
      <c r="J40" s="37"/>
      <c r="K40" s="144" t="s">
        <v>108</v>
      </c>
      <c r="P40" s="38"/>
      <c r="R40" s="141"/>
    </row>
    <row r="41">
      <c r="A41" s="145" t="s">
        <v>109</v>
      </c>
      <c r="B41" s="26"/>
      <c r="C41" s="146">
        <f>MOD(ESPP!AI5+RSU!AE5,1)</f>
        <v>0</v>
      </c>
      <c r="D41" s="29"/>
      <c r="E41" s="29"/>
      <c r="F41" s="147">
        <f>ROUNDDOWN(ESPP!AI5+RSU!AE5)</f>
        <v>0</v>
      </c>
      <c r="G41" s="29"/>
      <c r="H41" s="148"/>
      <c r="I41" s="2"/>
      <c r="J41" s="37"/>
      <c r="P41" s="38"/>
      <c r="T41" s="149"/>
    </row>
    <row r="42">
      <c r="A42" s="150" t="s">
        <v>110</v>
      </c>
      <c r="B42" s="151">
        <f>Reference!B31</f>
        <v>0</v>
      </c>
      <c r="C42" s="152">
        <f>ROUND(C41*Reference!B23,2)</f>
        <v>0</v>
      </c>
      <c r="D42" s="153">
        <f>ESPP!AN5+RSU!AJ5</f>
        <v>0</v>
      </c>
      <c r="E42" s="153">
        <f>ESPP!AO5+RSU!AK5</f>
        <v>0</v>
      </c>
      <c r="F42" s="154">
        <f>F41*Reference!B18</f>
        <v>0</v>
      </c>
      <c r="G42" s="155"/>
      <c r="H42" s="156">
        <f>LET(longTermNet, E42*(1-Reference!B44), shortTermNet, D42*(1-(Reference!$C$58+Reference!$C$60)), imputedIncome, G42 * (Reference!$C$58+Reference!$C$60), longTermNet + shortTermNet - imputedIncome)</f>
        <v>0</v>
      </c>
      <c r="I42" s="2"/>
      <c r="J42" s="37"/>
      <c r="K42" s="157" t="s">
        <v>111</v>
      </c>
      <c r="L42" s="158"/>
      <c r="M42" s="158"/>
      <c r="N42" s="158"/>
      <c r="O42" s="159"/>
      <c r="P42" s="38"/>
      <c r="R42" s="160"/>
      <c r="T42" s="149"/>
    </row>
    <row r="43">
      <c r="A43" s="89"/>
      <c r="B43" s="89"/>
      <c r="C43" s="2"/>
      <c r="H43" s="161"/>
      <c r="I43" s="2"/>
      <c r="J43" s="37"/>
      <c r="K43" s="162" t="s">
        <v>112</v>
      </c>
      <c r="L43" s="162" t="s">
        <v>113</v>
      </c>
      <c r="M43" s="162" t="s">
        <v>114</v>
      </c>
      <c r="N43" s="162" t="s">
        <v>115</v>
      </c>
      <c r="O43" s="162" t="s">
        <v>116</v>
      </c>
      <c r="P43" s="38"/>
      <c r="Q43" s="163"/>
      <c r="R43" s="160"/>
      <c r="S43" s="149"/>
    </row>
    <row r="44">
      <c r="A44" s="164" t="s">
        <v>117</v>
      </c>
      <c r="B44" s="165"/>
      <c r="C44" s="165"/>
      <c r="D44" s="166">
        <f>RSU!AV5</f>
        <v>0</v>
      </c>
      <c r="E44" s="167">
        <f>RSU!AW5+ESPP!BD5</f>
        <v>0</v>
      </c>
      <c r="F44" s="168"/>
      <c r="G44" s="167">
        <f>ESPP!BB5</f>
        <v>0</v>
      </c>
      <c r="H44" s="169">
        <f>LET(longTermNet, E44*(1-Reference!B46), shortTermNet, D44*(1-(Reference!$C$58+Reference!$C$60)), imputedIncome, G44 * (Reference!$C$58+Reference!$C$60), longTermNet + shortTermNet - imputedIncome)</f>
        <v>0</v>
      </c>
      <c r="I44" s="2"/>
      <c r="J44" s="37"/>
      <c r="K44" s="170">
        <f>C42</f>
        <v>0</v>
      </c>
      <c r="L44" s="171">
        <f>IF(ESPP!N5&gt;0,0,K44-O44)</f>
        <v>0</v>
      </c>
      <c r="M44" s="171" t="s">
        <v>118</v>
      </c>
      <c r="N44" s="170">
        <f>O44-K44+L44</f>
        <v>0</v>
      </c>
      <c r="O44" s="170">
        <f>RSU!AH5+ESPP!AL5</f>
        <v>0</v>
      </c>
      <c r="P44" s="38"/>
      <c r="R44" s="160"/>
      <c r="S44" s="149"/>
    </row>
    <row r="45">
      <c r="A45" s="114"/>
      <c r="B45" s="2"/>
      <c r="C45" s="2"/>
      <c r="D45" s="172"/>
      <c r="E45" s="172"/>
      <c r="F45" s="2"/>
      <c r="G45" s="2"/>
      <c r="H45" s="173"/>
      <c r="I45" s="2"/>
      <c r="J45" s="89"/>
      <c r="K45" s="2"/>
      <c r="L45" s="2"/>
      <c r="M45" s="2"/>
      <c r="N45" s="2"/>
      <c r="O45" s="2"/>
      <c r="P45" s="38"/>
    </row>
    <row r="46">
      <c r="A46" s="174" t="s">
        <v>119</v>
      </c>
      <c r="B46" s="175">
        <f>ESPP!AE5+RSU!AA5</f>
        <v>0</v>
      </c>
      <c r="C46" s="2"/>
      <c r="D46" s="2"/>
      <c r="E46" s="114"/>
      <c r="F46" s="114"/>
      <c r="G46" s="2"/>
      <c r="H46" s="176">
        <f>H42+H44</f>
        <v>0</v>
      </c>
      <c r="I46" s="2"/>
      <c r="J46" s="89"/>
      <c r="K46" s="114" t="s">
        <v>120</v>
      </c>
      <c r="P46" s="38"/>
    </row>
    <row r="47">
      <c r="A47" s="2"/>
      <c r="B47" s="2"/>
      <c r="C47" s="2"/>
      <c r="D47" s="2"/>
      <c r="E47" s="2"/>
      <c r="F47" s="2"/>
      <c r="G47" s="177"/>
      <c r="H47" s="178"/>
      <c r="I47" s="2"/>
      <c r="J47" s="179"/>
      <c r="K47" s="137"/>
      <c r="L47" s="137"/>
      <c r="M47" s="137"/>
      <c r="N47" s="137"/>
      <c r="O47" s="137"/>
      <c r="P47" s="138"/>
    </row>
    <row r="48">
      <c r="A48" s="140" t="s">
        <v>121</v>
      </c>
      <c r="B48" s="180" t="s">
        <v>122</v>
      </c>
      <c r="C48" s="181" t="s">
        <v>123</v>
      </c>
      <c r="D48" s="182"/>
      <c r="E48" s="182"/>
      <c r="F48" s="182"/>
      <c r="G48" s="182"/>
      <c r="H48" s="183"/>
      <c r="I48" s="2"/>
      <c r="J48" s="2"/>
      <c r="K48" s="2"/>
      <c r="L48" s="2"/>
      <c r="M48" s="2"/>
      <c r="N48" s="2"/>
      <c r="O48" s="2"/>
      <c r="P48" s="2"/>
    </row>
    <row r="49">
      <c r="A49" s="2"/>
      <c r="B49" s="139"/>
      <c r="C49" s="184" t="s">
        <v>124</v>
      </c>
      <c r="D49" s="139"/>
      <c r="E49" s="139"/>
      <c r="F49" s="139"/>
      <c r="G49" s="2"/>
      <c r="H49" s="38"/>
      <c r="I49" s="2"/>
      <c r="J49" s="185"/>
      <c r="K49" s="2"/>
      <c r="L49" s="2"/>
      <c r="M49" s="2"/>
      <c r="N49" s="2"/>
      <c r="O49" s="2"/>
      <c r="P49" s="2"/>
    </row>
    <row r="50">
      <c r="A50" s="2"/>
      <c r="B50" s="139"/>
      <c r="C50" s="139"/>
      <c r="D50" s="139"/>
      <c r="E50" s="139"/>
      <c r="F50" s="139"/>
      <c r="G50" s="2"/>
      <c r="H50" s="38"/>
      <c r="I50" s="2"/>
      <c r="J50" s="2"/>
      <c r="K50" s="2"/>
      <c r="L50" s="2"/>
      <c r="M50" s="2"/>
      <c r="N50" s="2"/>
      <c r="O50" s="2"/>
      <c r="P50" s="2"/>
    </row>
    <row r="51">
      <c r="A51" s="89"/>
      <c r="B51" s="139" t="s">
        <v>125</v>
      </c>
      <c r="D51" s="139" t="s">
        <v>126</v>
      </c>
      <c r="F51" s="139" t="s">
        <v>127</v>
      </c>
      <c r="H51" s="145" t="s">
        <v>128</v>
      </c>
      <c r="I51" s="2"/>
      <c r="J51" s="2"/>
      <c r="K51" s="2"/>
      <c r="L51" s="2"/>
      <c r="M51" s="2"/>
      <c r="N51" s="2"/>
      <c r="O51" s="2"/>
      <c r="P51" s="2"/>
      <c r="Q51" s="2"/>
    </row>
    <row r="52">
      <c r="A52" s="186"/>
      <c r="B52" s="187" t="s">
        <v>129</v>
      </c>
      <c r="C52" s="188" t="s">
        <v>130</v>
      </c>
      <c r="D52" s="189" t="s">
        <v>131</v>
      </c>
      <c r="E52" s="190" t="s">
        <v>132</v>
      </c>
      <c r="F52" s="187" t="s">
        <v>133</v>
      </c>
      <c r="G52" s="190" t="s">
        <v>134</v>
      </c>
      <c r="H52" s="191"/>
      <c r="I52" s="2"/>
      <c r="J52" s="2"/>
      <c r="K52" s="2"/>
      <c r="L52" s="2"/>
      <c r="M52" s="2"/>
      <c r="N52" s="2"/>
      <c r="O52" s="2"/>
      <c r="P52" s="2"/>
      <c r="Q52" s="2"/>
    </row>
    <row r="53">
      <c r="A53" s="186" t="s">
        <v>135</v>
      </c>
      <c r="B53" s="192">
        <f>C54+C55</f>
        <v>0</v>
      </c>
      <c r="C53" s="193"/>
      <c r="D53" s="192">
        <f>1.1*G25</f>
        <v>0</v>
      </c>
      <c r="E53" s="194">
        <f>D53-G27-F53</f>
        <v>0</v>
      </c>
      <c r="F53" s="195">
        <v>0.0</v>
      </c>
      <c r="G53" s="196">
        <f>B53-G27-F53</f>
        <v>0</v>
      </c>
      <c r="H53" s="197">
        <f>Reference!C58</f>
        <v>0</v>
      </c>
      <c r="I53" s="2"/>
      <c r="J53" s="2"/>
      <c r="K53" s="2"/>
      <c r="L53" s="2"/>
      <c r="M53" s="2"/>
      <c r="N53" s="2"/>
      <c r="O53" s="2"/>
      <c r="P53" s="2"/>
      <c r="Q53" s="2"/>
    </row>
    <row r="54">
      <c r="A54" s="186" t="s">
        <v>136</v>
      </c>
      <c r="B54" s="198"/>
      <c r="C54" s="199">
        <f>Reference!B58</f>
        <v>0</v>
      </c>
      <c r="D54" s="89"/>
      <c r="E54" s="38"/>
      <c r="F54" s="37"/>
      <c r="G54" s="66"/>
      <c r="H54" s="38"/>
      <c r="I54" s="2"/>
      <c r="J54" s="2"/>
      <c r="K54" s="2"/>
      <c r="L54" s="2"/>
      <c r="M54" s="2"/>
      <c r="N54" s="2"/>
      <c r="O54" s="2"/>
      <c r="P54" s="2"/>
      <c r="Q54" s="2"/>
    </row>
    <row r="55">
      <c r="A55" s="186" t="s">
        <v>137</v>
      </c>
      <c r="B55" s="198"/>
      <c r="C55" s="199">
        <f>Reference!B59</f>
        <v>0</v>
      </c>
      <c r="D55" s="89"/>
      <c r="E55" s="38"/>
      <c r="F55" s="37"/>
      <c r="G55" s="66"/>
      <c r="H55" s="38"/>
      <c r="I55" s="2"/>
      <c r="J55" s="2"/>
      <c r="K55" s="2"/>
      <c r="L55" s="2"/>
      <c r="M55" s="2"/>
      <c r="N55" s="2"/>
      <c r="O55" s="2"/>
      <c r="P55" s="2"/>
      <c r="Q55" s="2"/>
    </row>
    <row r="56">
      <c r="A56" s="186" t="s">
        <v>138</v>
      </c>
      <c r="B56" s="200">
        <f>Reference!B60</f>
        <v>0</v>
      </c>
      <c r="C56" s="193"/>
      <c r="D56" s="201">
        <f>0.9 * B56</f>
        <v>0</v>
      </c>
      <c r="E56" s="202">
        <f>D56-G29-F56</f>
        <v>0</v>
      </c>
      <c r="F56" s="203"/>
      <c r="G56" s="204">
        <f>B56-G29-F56</f>
        <v>0</v>
      </c>
      <c r="H56" s="197">
        <f>Reference!C60</f>
        <v>0</v>
      </c>
      <c r="I56" s="2"/>
      <c r="J56" s="2"/>
      <c r="K56" s="2"/>
      <c r="L56" s="2"/>
      <c r="M56" s="2"/>
      <c r="N56" s="2"/>
      <c r="O56" s="2"/>
      <c r="P56" s="2"/>
      <c r="Q56" s="2"/>
    </row>
    <row r="57">
      <c r="A57" s="205" t="s">
        <v>139</v>
      </c>
      <c r="B57" s="200">
        <f>B53+B56</f>
        <v>0</v>
      </c>
      <c r="C57" s="206"/>
      <c r="D57" s="206">
        <f t="shared" ref="D57:G57" si="1">SUM(D53:D56)</f>
        <v>0</v>
      </c>
      <c r="E57" s="207">
        <f t="shared" si="1"/>
        <v>0</v>
      </c>
      <c r="F57" s="208">
        <f t="shared" si="1"/>
        <v>0</v>
      </c>
      <c r="G57" s="209">
        <f t="shared" si="1"/>
        <v>0</v>
      </c>
      <c r="H57" s="210">
        <f>H56+H53</f>
        <v>0</v>
      </c>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211"/>
      <c r="F60" s="2"/>
      <c r="G60" s="2"/>
      <c r="H60" s="2"/>
      <c r="I60" s="2"/>
    </row>
    <row r="65">
      <c r="B65" s="149"/>
      <c r="C65" s="149"/>
      <c r="D65" s="149"/>
    </row>
    <row r="69">
      <c r="C69" s="212"/>
      <c r="D69" s="212"/>
    </row>
    <row r="70">
      <c r="B70" s="213"/>
      <c r="C70" s="149"/>
      <c r="D70" s="149"/>
      <c r="E70" s="149"/>
      <c r="F70" s="149"/>
    </row>
    <row r="71">
      <c r="B71" s="149"/>
      <c r="C71" s="214"/>
    </row>
    <row r="72">
      <c r="B72" s="215"/>
      <c r="C72" s="213"/>
    </row>
    <row r="73">
      <c r="C73" s="149"/>
      <c r="D73" s="149"/>
      <c r="E73" s="213"/>
      <c r="F73" s="213"/>
    </row>
    <row r="74">
      <c r="C74" s="149"/>
      <c r="D74" s="149"/>
      <c r="E74" s="213"/>
      <c r="F74" s="213"/>
    </row>
    <row r="75">
      <c r="C75" s="216"/>
      <c r="D75" s="217"/>
      <c r="E75" s="218"/>
      <c r="F75" s="219"/>
    </row>
    <row r="76">
      <c r="B76" s="220"/>
      <c r="C76" s="149"/>
      <c r="D76" s="149"/>
      <c r="E76" s="149"/>
      <c r="F76" s="149"/>
    </row>
    <row r="77">
      <c r="B77" s="144"/>
      <c r="C77" s="149"/>
      <c r="D77" s="149"/>
      <c r="E77" s="149"/>
      <c r="F77" s="149"/>
    </row>
    <row r="78">
      <c r="B78" s="149"/>
      <c r="C78" s="149"/>
      <c r="D78" s="149"/>
      <c r="E78" s="149"/>
      <c r="F78" s="149"/>
    </row>
    <row r="79">
      <c r="B79" s="149"/>
      <c r="C79" s="149"/>
      <c r="D79" s="149"/>
      <c r="E79" s="149"/>
      <c r="F79" s="149"/>
    </row>
    <row r="80">
      <c r="B80" s="221"/>
      <c r="C80" s="149"/>
      <c r="D80" s="149"/>
      <c r="E80" s="149"/>
      <c r="F80" s="149"/>
    </row>
    <row r="81">
      <c r="B81" s="149"/>
      <c r="C81" s="149"/>
      <c r="D81" s="149"/>
      <c r="E81" s="149"/>
      <c r="F81" s="149"/>
    </row>
    <row r="82">
      <c r="C82" s="149"/>
      <c r="D82" s="149"/>
      <c r="E82" s="149"/>
      <c r="F82" s="149"/>
    </row>
    <row r="83">
      <c r="C83" s="149"/>
      <c r="D83" s="149"/>
      <c r="E83" s="149"/>
      <c r="F83" s="149"/>
    </row>
    <row r="84">
      <c r="B84" s="163"/>
      <c r="C84" s="149"/>
      <c r="D84" s="149"/>
      <c r="E84" s="149"/>
      <c r="F84" s="149"/>
    </row>
    <row r="85">
      <c r="B85" s="222"/>
      <c r="C85" s="149"/>
      <c r="D85" s="149"/>
      <c r="E85" s="149"/>
      <c r="F85" s="149"/>
    </row>
    <row r="86">
      <c r="C86" s="213"/>
      <c r="E86" s="149"/>
      <c r="F86" s="149"/>
    </row>
    <row r="87">
      <c r="B87" s="223"/>
      <c r="C87" s="213"/>
    </row>
    <row r="90">
      <c r="C90" s="213"/>
      <c r="D90" s="213"/>
      <c r="E90" s="213"/>
      <c r="F90" s="144"/>
      <c r="G90" s="144"/>
    </row>
    <row r="91">
      <c r="B91" s="149"/>
    </row>
    <row r="98">
      <c r="C98" s="141"/>
      <c r="D98" s="141"/>
      <c r="E98" s="224"/>
      <c r="F98" s="141"/>
    </row>
    <row r="99">
      <c r="C99" s="141"/>
      <c r="D99" s="141"/>
      <c r="E99" s="224"/>
      <c r="F99" s="141"/>
    </row>
    <row r="100">
      <c r="C100" s="225"/>
      <c r="D100" s="225"/>
      <c r="E100" s="149"/>
      <c r="F100" s="149"/>
    </row>
    <row r="101">
      <c r="C101" s="149"/>
      <c r="D101" s="149"/>
      <c r="E101" s="149"/>
      <c r="F101" s="213"/>
    </row>
    <row r="102">
      <c r="C102" s="149"/>
      <c r="D102" s="149"/>
      <c r="E102" s="149"/>
      <c r="F102" s="226"/>
    </row>
    <row r="103">
      <c r="C103" s="149"/>
      <c r="D103" s="149"/>
      <c r="E103" s="149"/>
      <c r="F103" s="226"/>
    </row>
  </sheetData>
  <mergeCells count="19">
    <mergeCell ref="C1:H1"/>
    <mergeCell ref="J1:U1"/>
    <mergeCell ref="D3:E3"/>
    <mergeCell ref="F3:H3"/>
    <mergeCell ref="C5:H5"/>
    <mergeCell ref="C6:H6"/>
    <mergeCell ref="C7:H7"/>
    <mergeCell ref="K46:O46"/>
    <mergeCell ref="C48:H48"/>
    <mergeCell ref="B51:C51"/>
    <mergeCell ref="D51:E51"/>
    <mergeCell ref="F51:G51"/>
    <mergeCell ref="C8:H8"/>
    <mergeCell ref="C9:H9"/>
    <mergeCell ref="C10:H10"/>
    <mergeCell ref="C11:H11"/>
    <mergeCell ref="C12:H12"/>
    <mergeCell ref="C16:H18"/>
    <mergeCell ref="K42:O42"/>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conditionalFormatting sqref="B32">
    <cfRule type="cellIs" dxfId="5" priority="8" operator="notEqual">
      <formula>F41</formula>
    </cfRule>
  </conditionalFormatting>
  <conditionalFormatting sqref="E53 E56">
    <cfRule type="cellIs" dxfId="0" priority="9" operator="greaterThan">
      <formula>0</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ESPP!AK29+RSU!AG87</formula1>
    </dataValidation>
    <dataValidation type="list" allowBlank="1" showErrorMessage="1" sqref="K34">
      <formula1>"By status,Custom"</formula1>
    </dataValidation>
    <dataValidation type="list" allowBlank="1" showErrorMessage="1" sqref="K26">
      <formula1>"Pro-rata - from Necessary Inputs,Per-lot - from strategy or manual selection,Pro-rata - from eTrade share qty,Pro-rata - from eTrade transaction log"</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ref="C3"/>
    <hyperlink r:id="rId3" ref="D3"/>
    <hyperlink r:id="rId4" ref="F3"/>
    <hyperlink r:id="rId5" location="necessary" ref="M5"/>
    <hyperlink r:id="rId6" location="form-8949" ref="Q5"/>
    <hyperlink r:id="rId7" location="etrade-stock-plan-confirmations" ref="K6"/>
    <hyperlink r:id="rId8" location="espp" ref="M6"/>
    <hyperlink r:id="rId9" location="etrade-stock-plan-confirmations" ref="K7"/>
    <hyperlink r:id="rId10" location="rsu" ref="M7"/>
    <hyperlink r:id="rId11" location="factional-share" ref="M8"/>
    <hyperlink r:id="rId12" location="etrade-total-vmw-share-ownership" ref="K9"/>
    <hyperlink r:id="rId13" location="factional-share" ref="M9"/>
    <hyperlink r:id="rId14" ref="C10"/>
    <hyperlink r:id="rId15" location="etrade-transaction-log" ref="K10"/>
    <hyperlink r:id="rId16" ref="C11"/>
    <hyperlink r:id="rId17" location="etrade-benefit-history-spreadsheet" ref="K11"/>
    <hyperlink r:id="rId18" location="reporting-the-imputed-ordinary-income-from-espp-sale" ref="R11"/>
    <hyperlink r:id="rId19" ref="C12"/>
    <hyperlink r:id="rId20" location="etrade-1099-b--supplement" ref="K12"/>
    <hyperlink r:id="rId21" location="reporting-the-imputed-ordinary-income-from-espp-sale" ref="R12"/>
    <hyperlink r:id="rId22" location="etrade-1099-b--supplement" ref="K13"/>
    <hyperlink r:id="rId23" location="other-income" ref="M13"/>
    <hyperlink r:id="rId24" location="validations" ref="M14"/>
    <hyperlink r:id="rId25" location="w2-and-1040" ref="M15"/>
    <hyperlink r:id="rId26" location="etrade-per-lot-avgo-quantities" ref="K16"/>
    <hyperlink r:id="rId27" location="avgo-qty-from-eTrade" ref="M16"/>
    <hyperlink r:id="rId28" location="factional-share" ref="M17"/>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1" width="21.0"/>
    <col customWidth="1" hidden="1" min="32" max="32" width="13.0"/>
    <col customWidth="1" hidden="1" min="33" max="35" width="17.38"/>
    <col customWidth="1" hidden="1" min="36" max="36" width="23.75"/>
    <col hidden="1" min="37" max="37" width="12.63"/>
    <col customWidth="1" min="40" max="40" width="19.63"/>
    <col customWidth="1" min="41" max="41" width="12.13"/>
    <col customWidth="1" min="42" max="42" width="13.63"/>
    <col customWidth="1" min="43" max="43" width="13.0"/>
    <col customWidth="1" min="44" max="44" width="13.88"/>
    <col customWidth="1" min="45" max="45" width="12.13"/>
    <col customWidth="1" min="46" max="46" width="13.25"/>
    <col customWidth="1" min="47" max="49" width="12.13"/>
    <col customWidth="1" min="50" max="50" width="24.0"/>
    <col customWidth="1" min="51" max="51" width="33.0"/>
    <col customWidth="1" min="52" max="52" width="23.38"/>
    <col customWidth="1" hidden="1" min="53" max="53" width="7.63"/>
    <col customWidth="1" min="54" max="54" width="19.88"/>
    <col customWidth="1" min="55" max="56" width="18.13"/>
  </cols>
  <sheetData>
    <row r="1">
      <c r="A1" s="227" t="s">
        <v>2</v>
      </c>
      <c r="W1" s="19"/>
      <c r="X1" s="139" t="s">
        <v>140</v>
      </c>
      <c r="BD1" s="19"/>
    </row>
    <row r="2">
      <c r="A2" s="228" t="s">
        <v>141</v>
      </c>
      <c r="B2" s="182"/>
      <c r="C2" s="182"/>
      <c r="D2" s="182"/>
      <c r="E2" s="182"/>
      <c r="F2" s="182"/>
      <c r="G2" s="182"/>
      <c r="H2" s="182"/>
      <c r="I2" s="182"/>
      <c r="J2" s="182"/>
      <c r="K2" s="182"/>
      <c r="L2" s="183"/>
      <c r="M2" s="229" t="s">
        <v>142</v>
      </c>
      <c r="N2" s="182"/>
      <c r="O2" s="230"/>
      <c r="P2" s="230"/>
      <c r="Q2" s="230"/>
      <c r="R2" s="230"/>
      <c r="S2" s="230"/>
      <c r="T2" s="230"/>
      <c r="U2" s="230"/>
      <c r="V2" s="182"/>
      <c r="W2" s="183"/>
      <c r="X2" s="135" t="s">
        <v>143</v>
      </c>
      <c r="Y2" s="182"/>
      <c r="Z2" s="182"/>
      <c r="AA2" s="182"/>
      <c r="AB2" s="182"/>
      <c r="AC2" s="182"/>
      <c r="AD2" s="182"/>
      <c r="AE2" s="182"/>
      <c r="AF2" s="182"/>
      <c r="AG2" s="182"/>
      <c r="AH2" s="182"/>
      <c r="AI2" s="182"/>
      <c r="AJ2" s="182"/>
      <c r="AK2" s="231"/>
      <c r="AL2" s="135" t="s">
        <v>144</v>
      </c>
      <c r="AM2" s="182"/>
      <c r="AN2" s="182"/>
      <c r="AO2" s="182"/>
      <c r="AP2" s="182"/>
      <c r="AQ2" s="182"/>
      <c r="AR2" s="182"/>
      <c r="AS2" s="182"/>
      <c r="AT2" s="182"/>
      <c r="AU2" s="182"/>
      <c r="AV2" s="182"/>
      <c r="AW2" s="183"/>
      <c r="AX2" s="232"/>
      <c r="AY2" s="232" t="s">
        <v>145</v>
      </c>
      <c r="AZ2" s="182"/>
      <c r="BA2" s="182"/>
      <c r="BB2" s="182"/>
      <c r="BC2" s="182"/>
      <c r="BD2" s="183"/>
    </row>
    <row r="3">
      <c r="A3" s="233"/>
      <c r="B3" s="234" t="s">
        <v>146</v>
      </c>
      <c r="H3" s="235" t="s">
        <v>147</v>
      </c>
      <c r="I3" s="234" t="s">
        <v>148</v>
      </c>
      <c r="L3" s="19"/>
      <c r="M3" s="236" t="s">
        <v>149</v>
      </c>
      <c r="O3" s="237" t="s">
        <v>150</v>
      </c>
      <c r="P3" s="238"/>
      <c r="Q3" s="238"/>
      <c r="R3" s="238"/>
      <c r="S3" s="238"/>
      <c r="T3" s="239"/>
      <c r="U3" s="240" t="s">
        <v>151</v>
      </c>
      <c r="W3" s="19"/>
      <c r="X3" s="241" t="s">
        <v>152</v>
      </c>
      <c r="AA3" s="19"/>
      <c r="AB3" s="241" t="s">
        <v>153</v>
      </c>
      <c r="AC3" s="19"/>
      <c r="AD3" s="113" t="s">
        <v>154</v>
      </c>
      <c r="AE3" s="113"/>
      <c r="AF3" s="241" t="s">
        <v>89</v>
      </c>
      <c r="AI3" s="19"/>
      <c r="AJ3" s="241" t="s">
        <v>155</v>
      </c>
      <c r="AK3" s="242"/>
      <c r="AL3" s="241" t="s">
        <v>156</v>
      </c>
      <c r="AM3" s="19"/>
      <c r="AN3" s="241"/>
      <c r="AO3" s="19"/>
      <c r="AP3" s="139" t="s">
        <v>111</v>
      </c>
      <c r="AX3" s="243"/>
      <c r="AY3" s="244" t="s">
        <v>157</v>
      </c>
      <c r="BD3" s="19"/>
    </row>
    <row r="4">
      <c r="A4" s="245" t="s">
        <v>158</v>
      </c>
      <c r="B4" s="246" t="s">
        <v>159</v>
      </c>
      <c r="C4" s="247" t="s">
        <v>160</v>
      </c>
      <c r="D4" s="248" t="s">
        <v>161</v>
      </c>
      <c r="E4" s="249" t="s">
        <v>162</v>
      </c>
      <c r="F4" s="247" t="s">
        <v>163</v>
      </c>
      <c r="G4" s="247" t="s">
        <v>164</v>
      </c>
      <c r="H4" s="250" t="s">
        <v>165</v>
      </c>
      <c r="I4" s="247" t="s">
        <v>166</v>
      </c>
      <c r="J4" s="247" t="s">
        <v>167</v>
      </c>
      <c r="K4" s="247" t="s">
        <v>168</v>
      </c>
      <c r="L4" s="245" t="s">
        <v>169</v>
      </c>
      <c r="M4" s="251" t="s">
        <v>170</v>
      </c>
      <c r="N4" s="252" t="s">
        <v>171</v>
      </c>
      <c r="O4" s="253" t="s">
        <v>172</v>
      </c>
      <c r="P4" s="254" t="s">
        <v>173</v>
      </c>
      <c r="Q4" s="254" t="s">
        <v>174</v>
      </c>
      <c r="R4" s="254" t="s">
        <v>175</v>
      </c>
      <c r="S4" s="254" t="s">
        <v>176</v>
      </c>
      <c r="T4" s="255" t="s">
        <v>177</v>
      </c>
      <c r="U4" s="251" t="s">
        <v>178</v>
      </c>
      <c r="V4" s="252" t="s">
        <v>179</v>
      </c>
      <c r="W4" s="256" t="s">
        <v>180</v>
      </c>
      <c r="X4" s="249" t="s">
        <v>181</v>
      </c>
      <c r="Y4" s="257" t="s">
        <v>182</v>
      </c>
      <c r="Z4" s="257" t="s">
        <v>183</v>
      </c>
      <c r="AA4" s="258" t="s">
        <v>184</v>
      </c>
      <c r="AB4" s="249" t="s">
        <v>185</v>
      </c>
      <c r="AC4" s="258" t="s">
        <v>186</v>
      </c>
      <c r="AD4" s="249" t="s">
        <v>187</v>
      </c>
      <c r="AE4" s="257" t="s">
        <v>188</v>
      </c>
      <c r="AF4" s="259" t="s">
        <v>181</v>
      </c>
      <c r="AG4" s="249" t="s">
        <v>189</v>
      </c>
      <c r="AH4" s="249" t="s">
        <v>183</v>
      </c>
      <c r="AI4" s="258" t="s">
        <v>190</v>
      </c>
      <c r="AJ4" s="249" t="s">
        <v>191</v>
      </c>
      <c r="AK4" s="260" t="s">
        <v>100</v>
      </c>
      <c r="AL4" s="261" t="s">
        <v>192</v>
      </c>
      <c r="AM4" s="258" t="s">
        <v>99</v>
      </c>
      <c r="AN4" s="249" t="s">
        <v>193</v>
      </c>
      <c r="AO4" s="262" t="s">
        <v>194</v>
      </c>
      <c r="AP4" s="263" t="s">
        <v>195</v>
      </c>
      <c r="AQ4" s="264" t="s">
        <v>196</v>
      </c>
      <c r="AR4" s="264" t="s">
        <v>197</v>
      </c>
      <c r="AS4" s="264" t="s">
        <v>112</v>
      </c>
      <c r="AT4" s="264" t="s">
        <v>113</v>
      </c>
      <c r="AU4" s="264" t="s">
        <v>114</v>
      </c>
      <c r="AV4" s="264" t="s">
        <v>115</v>
      </c>
      <c r="AW4" s="265" t="s">
        <v>116</v>
      </c>
      <c r="AX4" s="262" t="s">
        <v>198</v>
      </c>
      <c r="AY4" s="262" t="s">
        <v>199</v>
      </c>
      <c r="AZ4" s="262" t="s">
        <v>200</v>
      </c>
      <c r="BA4" s="262" t="s">
        <v>201</v>
      </c>
      <c r="BB4" s="262" t="s">
        <v>202</v>
      </c>
      <c r="BC4" s="266" t="s">
        <v>203</v>
      </c>
      <c r="BD4" s="267" t="s">
        <v>204</v>
      </c>
    </row>
    <row r="5">
      <c r="A5" s="268"/>
      <c r="B5" s="29"/>
      <c r="C5" s="29"/>
      <c r="D5" s="269">
        <f>SUM(D7:D27)</f>
        <v>0</v>
      </c>
      <c r="E5" s="29"/>
      <c r="F5" s="29"/>
      <c r="G5" s="270"/>
      <c r="H5" s="271">
        <f>SUM(H7:H27)</f>
        <v>0</v>
      </c>
      <c r="I5" s="29"/>
      <c r="J5" s="29"/>
      <c r="K5" s="29"/>
      <c r="L5" s="29"/>
      <c r="M5" s="272">
        <f>SUM(M7:M27)</f>
        <v>0</v>
      </c>
      <c r="N5" s="270">
        <f>COUNTIF(N7:N27, TRUE)</f>
        <v>0</v>
      </c>
      <c r="O5" s="268"/>
      <c r="P5" s="29"/>
      <c r="Q5" s="29"/>
      <c r="R5" s="29"/>
      <c r="S5" s="29"/>
      <c r="T5" s="270"/>
      <c r="U5" s="29"/>
      <c r="V5" s="29"/>
      <c r="W5" s="29"/>
      <c r="X5" s="271">
        <f t="shared" ref="X5:AA5" si="1">SUM(X7:X27)</f>
        <v>0</v>
      </c>
      <c r="Y5" s="271">
        <f t="shared" si="1"/>
        <v>0</v>
      </c>
      <c r="Z5" s="271">
        <f t="shared" si="1"/>
        <v>0</v>
      </c>
      <c r="AA5" s="271">
        <f t="shared" si="1"/>
        <v>0</v>
      </c>
      <c r="AB5" s="29"/>
      <c r="AC5" s="29"/>
      <c r="AD5" s="29"/>
      <c r="AE5" s="273">
        <f t="shared" ref="AE5:AO5" si="2">SUM(AE7:AE27)</f>
        <v>0</v>
      </c>
      <c r="AF5" s="146">
        <f t="shared" si="2"/>
        <v>0</v>
      </c>
      <c r="AG5" s="146">
        <f t="shared" si="2"/>
        <v>0</v>
      </c>
      <c r="AH5" s="146" t="str">
        <f t="shared" si="2"/>
        <v>#DIV/0!</v>
      </c>
      <c r="AI5" s="274">
        <f t="shared" si="2"/>
        <v>0</v>
      </c>
      <c r="AJ5" s="271">
        <f t="shared" si="2"/>
        <v>0</v>
      </c>
      <c r="AK5" s="275">
        <f t="shared" si="2"/>
        <v>0</v>
      </c>
      <c r="AL5" s="276">
        <f t="shared" si="2"/>
        <v>0</v>
      </c>
      <c r="AM5" s="277">
        <f t="shared" si="2"/>
        <v>0</v>
      </c>
      <c r="AN5" s="192">
        <f t="shared" si="2"/>
        <v>0</v>
      </c>
      <c r="AO5" s="276">
        <f t="shared" si="2"/>
        <v>0</v>
      </c>
      <c r="AP5" s="278"/>
      <c r="AQ5" s="279"/>
      <c r="AR5" s="279"/>
      <c r="AS5" s="280">
        <f t="shared" ref="AS5:AT5" si="3">SUM(AS7:AS27)</f>
        <v>0</v>
      </c>
      <c r="AT5" s="280">
        <f t="shared" si="3"/>
        <v>0</v>
      </c>
      <c r="AU5" s="279"/>
      <c r="AV5" s="280">
        <f t="shared" ref="AV5:AW5" si="4">SUM(AV7:AV27)</f>
        <v>0</v>
      </c>
      <c r="AW5" s="281">
        <f t="shared" si="4"/>
        <v>0</v>
      </c>
      <c r="AX5" s="168"/>
      <c r="AY5" s="29"/>
      <c r="AZ5" s="282">
        <f>SUM(AZ7:AZ27)</f>
        <v>0</v>
      </c>
      <c r="BA5" s="282"/>
      <c r="BB5" s="282">
        <f t="shared" ref="BB5:BD5" si="5">SUM(BB7:BB27)</f>
        <v>0</v>
      </c>
      <c r="BC5" s="283">
        <f t="shared" si="5"/>
        <v>0</v>
      </c>
      <c r="BD5" s="284">
        <f t="shared" si="5"/>
        <v>0</v>
      </c>
    </row>
    <row r="6">
      <c r="A6" s="285"/>
      <c r="B6" s="285"/>
      <c r="C6" s="285"/>
      <c r="D6" s="285"/>
      <c r="E6" s="285"/>
      <c r="F6" s="285"/>
      <c r="G6" s="285"/>
      <c r="H6" s="285"/>
      <c r="I6" s="285"/>
      <c r="J6" s="285"/>
      <c r="K6" s="285"/>
      <c r="L6" s="285"/>
      <c r="M6" s="285"/>
      <c r="N6" s="286"/>
      <c r="O6" s="287"/>
      <c r="P6" s="286"/>
      <c r="Q6" s="286"/>
      <c r="R6" s="286"/>
      <c r="S6" s="286"/>
      <c r="T6" s="288"/>
      <c r="U6" s="286"/>
      <c r="V6" s="286"/>
      <c r="W6" s="289"/>
      <c r="X6" s="285"/>
      <c r="Y6" s="285"/>
      <c r="Z6" s="285"/>
      <c r="AA6" s="285"/>
      <c r="AB6" s="285"/>
      <c r="AC6" s="285"/>
      <c r="AD6" s="285"/>
      <c r="AE6" s="285"/>
      <c r="AF6" s="285"/>
      <c r="AG6" s="285"/>
      <c r="AH6" s="285"/>
      <c r="AI6" s="285"/>
      <c r="AJ6" s="285"/>
      <c r="AK6" s="285"/>
      <c r="AL6" s="290"/>
      <c r="AM6" s="285"/>
      <c r="AN6" s="291"/>
      <c r="AO6" s="291"/>
      <c r="AP6" s="292"/>
      <c r="AQ6" s="293"/>
      <c r="AR6" s="293"/>
      <c r="AS6" s="294"/>
      <c r="AT6" s="293"/>
      <c r="AU6" s="293"/>
      <c r="AV6" s="293"/>
      <c r="AW6" s="295"/>
      <c r="AX6" s="296"/>
      <c r="AY6" s="291"/>
      <c r="AZ6" s="285"/>
      <c r="BA6" s="297"/>
      <c r="BB6" s="285"/>
      <c r="BC6" s="298"/>
      <c r="BD6" s="285"/>
    </row>
    <row r="7">
      <c r="A7" s="299">
        <f t="shared" ref="A7:A26" si="6">B7</f>
        <v>41122</v>
      </c>
      <c r="B7" s="300">
        <v>41122.0</v>
      </c>
      <c r="C7" s="301">
        <v>41305.0</v>
      </c>
      <c r="D7" s="302"/>
      <c r="E7" s="303">
        <v>89.0</v>
      </c>
      <c r="F7" s="303">
        <v>76.48</v>
      </c>
      <c r="G7" s="304"/>
      <c r="H7" s="305">
        <f t="shared" ref="H7:H26" si="7">D7*L7</f>
        <v>0</v>
      </c>
      <c r="I7" s="306"/>
      <c r="J7" s="305">
        <f t="shared" ref="J7:J26" si="8">I7+G7</f>
        <v>0</v>
      </c>
      <c r="K7" s="305">
        <f t="shared" ref="K7:K26" si="9">J7-H7</f>
        <v>0</v>
      </c>
      <c r="L7" s="307">
        <f t="shared" ref="L7:L13" si="10">0.85*MIN(E7,F7)</f>
        <v>65.008</v>
      </c>
      <c r="M7" s="308"/>
      <c r="N7" s="309" t="b">
        <v>0</v>
      </c>
      <c r="O7" s="310"/>
      <c r="P7" s="311">
        <v>0.0</v>
      </c>
      <c r="Q7" s="311">
        <v>0.0</v>
      </c>
      <c r="R7" s="311">
        <v>0.0</v>
      </c>
      <c r="S7" s="311">
        <v>0.0</v>
      </c>
      <c r="T7" s="312">
        <v>0.0</v>
      </c>
      <c r="U7" s="313">
        <f t="shared" ref="U7:U26" si="11">iferror(M7/(0.252*D7),0)</f>
        <v>0</v>
      </c>
      <c r="V7" s="313" t="str">
        <f>SWITCH(W7,"cash",Reference!$E$5,"shares",Reference!$E$6,"balance",Reference!$E$7,"pro-rata",Reference!$B$5)</f>
        <v>#DIV/0!</v>
      </c>
      <c r="W7" s="314" t="s">
        <v>205</v>
      </c>
      <c r="X7" s="315">
        <f>LET(numVmwShares,D7, cashRatio,Reference!$B$4, vmwFinalPrice,Reference!$B$3, numVmwShares * cashRatio * vmwFinalPrice)</f>
        <v>0</v>
      </c>
      <c r="Y7" s="315">
        <f>iferror(LET(numVmwShares,$D7, stockRatio,U7, vmwFinalPrice,Reference!$B$3, (1 - stockRatio) * vmwFinalPrice * numVmwShares),0)</f>
        <v>0</v>
      </c>
      <c r="Z7" s="315">
        <f>iferror(LET(numVmwShares,$D7, stockRatio,V7, vmwFinalPrice,Reference!$B$3, (1 - stockRatio) * vmwFinalPrice * numVmwShares),0)</f>
        <v>0</v>
      </c>
      <c r="AA7" s="315">
        <f>SWITCH(Reference!$E$4,"eTradeTransactionLog", X7, "eTradeHoldingRatio", X7, "eTradeLotQtyRatio",Y7, "manualLotRatio", Z7)</f>
        <v>0</v>
      </c>
      <c r="AB7" s="305">
        <f>LET(purchaseDate,C7, dateOfRecord,Reference!$B$26, returnOfCapital,Reference!$C$26, IF(purchaseDate &lt; dateOfRecord, returnOfCapital,0))</f>
        <v>10.18</v>
      </c>
      <c r="AC7" s="305">
        <f>LET(purchaseDate,C7, dateOfRecord,Reference!$B$27, returnOfCapital,Reference!$C$27, IF(purchaseDate &lt; dateOfRecord, returnOfCapital,0))</f>
        <v>16.58</v>
      </c>
      <c r="AD7" s="305">
        <f t="shared" ref="AD7:AD26" si="12">LET(actualPrice,L7, firstReturnOfCapital,AB7, secondReturnOfCapital,AC7, actualPrice - firstReturnOfCapital - secondReturnOfCapital)</f>
        <v>38.248</v>
      </c>
      <c r="AE7" s="305">
        <f t="shared" ref="AE7:AE26" si="13">AD7*D7</f>
        <v>0</v>
      </c>
      <c r="AF7" s="316">
        <f>LET(numVmwShares,D7, stockRatio,Reference!$B$5, vmwToAvgoRatio,Reference!$B$6, numVmwShares * stockRatio * vmwToAvgoRatio)</f>
        <v>0</v>
      </c>
      <c r="AG7" s="316">
        <f>LET(numVmwShares,D7, stockRatio,U7, vmwToAvgoRatio,Reference!$B$6, numVmwShares * stockRatio * vmwToAvgoRatio)</f>
        <v>0</v>
      </c>
      <c r="AH7" s="316" t="str">
        <f>LET(numVmwShares,D7, stockRatio,V7, vmwToAvgoRatio,Reference!$B$6, numVmwShares * stockRatio * vmwToAvgoRatio)</f>
        <v>#DIV/0!</v>
      </c>
      <c r="AI7" s="316">
        <f>SWITCH(Reference!$E$4,"eTradeTransactionLog", AF7, "eTradeHoldingRatio", AF7, "eTradeLotQtyRatio",AG7, "manualLotRatio", AH7)</f>
        <v>0</v>
      </c>
      <c r="AJ7" s="317">
        <f>LET(numVmwShares,D7, vmwBasis,AD7, avgoQty,AI7, avgoFMV,Reference!$B$18, cashReceived,AA7, gain,cashReceived+(avgoQty*avgoFMV)-(numVmwShares*vmwBasis),
MAX(gain,0))</f>
        <v>0</v>
      </c>
      <c r="AK7" s="318">
        <f>LET(useForFraction,N7, fractionAmount,Summary!$C$41, esppFractionLots,$N$5, rsuFractionLots,RSU!J$5, IF(useForFraction, fractionAmount / (esppFractionLots+rsuFractionLots), 0))</f>
        <v>0</v>
      </c>
      <c r="AL7" s="319">
        <f>LET(useForFraction,N7, fractionSaleFMV,Reference!$B$23, postMergerBasis,AY7, lotFractionAmount,AK7, IF(useForFraction, (fractionSaleFMV - postMergerBasis)*lotFractionAmount, 0))</f>
        <v>0</v>
      </c>
      <c r="AM7" s="320">
        <f t="shared" ref="AM7:AM26" si="14">LET(cashReceived,AA7, alternateGainAmount,AJ7, MIN(cashReceived, alternateGainAmount))</f>
        <v>0</v>
      </c>
      <c r="AN7" s="321">
        <f>LET(
imputedIncome,BB7,
avgoQty,AI7, 
perAvgoIncome, iferror(imputedIncome/avgoQty,0),
purchaseDate,C7,
mergerDate,Reference!$B$28,
lotFractionAmount,AK7,
lotFractionGain,AL7,
mergerGain,AM7,
shortTermGain,IF(DATEDIF(purchaseDate,mergerDate,"Y")&gt;=1,
  0,
  lotFractionGain + mergerGain
),
incomeOnFraction,perAvgoIncome*lotFractionAmount, 
shortTermGain + incomeOnFraction + IF(avgoQty=0,imputedIncome-incomeOnFraction,0))</f>
        <v>0</v>
      </c>
      <c r="AO7" s="321">
        <f>LET(
purchaseDate,C7,
mergerDate,Reference!$B$28,
lotFractionGain,AL7,
mergerGain,AM7,
IF(DATEDIF(purchaseDate,mergerDate,"Y")&gt;=1,
  lotFractionGain+mergerGain,
  0
))</f>
        <v>0</v>
      </c>
      <c r="AP7" s="322" t="str">
        <f>IF(DATEDIF(L7,Reference!$B$28,"Y")&gt;=1,"Part II Box D","Part I Box A")</f>
        <v>Part II Box D</v>
      </c>
      <c r="AQ7" s="323">
        <f t="shared" ref="AQ7:AQ26" si="15">C7</f>
        <v>41305</v>
      </c>
      <c r="AR7" s="324">
        <f t="shared" ref="AR7:AR26" si="16">X7</f>
        <v>0</v>
      </c>
      <c r="AS7" s="324">
        <f>LET(
cashReceived,AA7, 
avgoQty,AI7, 
proceedsStyle,Reference!$E$9, 
avgoFMV,Reference!$B$18, 
SWITCH(proceedsStyle, "combined", cashReceived +(avgoQty*avgoFMV), "cashOnly", cashReceived))</f>
        <v>0</v>
      </c>
      <c r="AT7" s="325">
        <f t="shared" ref="AT7:AT26" si="17">P7</f>
        <v>0</v>
      </c>
      <c r="AU7" s="325" t="str">
        <f t="shared" ref="AU7:AU26" si="18">IF(AV7=0,,"B")</f>
        <v/>
      </c>
      <c r="AV7" s="324">
        <f>LET(
numVmwShares,D7, 
vmwBasis, AD7, 
avgoQty,AI7, 
avgoFMV,Reference!$B$18, 
cashReceived,AA7, 
avgoTotalValue, avgoFMV*avgoQty, 
vmwTotalBasis, vmwBasis*numVmwShares,
alternateGainAmount,AJ7, 
basis1099B, AT7,
basis1099B - IF(cashReceived&lt;alternateGainAmount,
  avgoTotalValue,
  vmwTotalBasis
))</f>
        <v>0</v>
      </c>
      <c r="AW7" s="326">
        <f t="shared" ref="AW7:AW26" si="19">LET(proceeds,AS7, basis1099B, AT7, adjustment,AV7, MAX(proceeds - basis1099B + adjustment, 0))</f>
        <v>0</v>
      </c>
      <c r="AX7" s="327" t="str">
        <f t="shared" ref="AX7:AX26" si="20">LET(vmwBasis,AD7, numShares,D7, cashReceived,AA7, gainRecognized,AM7, isQualified,BA7, imputedIncome,BB7, avgoQty,AI7, IFERROR( ((vmwBasis*numShares) - cashReceived + gainRecognized)/avgoQty, "n/a"))</f>
        <v>n/a</v>
      </c>
      <c r="AY7" s="327" t="str">
        <f t="shared" ref="AY7:AY26" si="21">LET(vmwBasis,AD7, numShares,D7, cashReceived,AA7, gainRecognized,AM7, isQualified,BA7, imputedIncome,BB7, avgoQty,AI7, IFERROR( ((vmwBasis*numShares) - cashReceived + gainRecognized + imputedIncome)/avgoQty, "n/a"))</f>
        <v>n/a</v>
      </c>
      <c r="AZ7" s="328">
        <f>LET(saleFMV,Reference!$B$10, postMergerBasis,AY7, avgoQty,AI7, lotFractionAmount,AK7, iferror((saleFMV - postMergerBasis) * (avgoQty - lotFractionAmount), 0))</f>
        <v>0</v>
      </c>
      <c r="BA7" s="329" t="b">
        <f>LET(grantDate,B7, postMergerSaleDate,Reference!$B$29, purchaseBeginDate,A9, AND(DATEDIF(grantDate,postMergerSaleDate,"Y")&gt;=1, DATEDIF(purchaseBeginDate, postMergerSaleDate, "Y")&gt;=2))</f>
        <v>1</v>
      </c>
      <c r="BB7" s="328">
        <f>LET(
vmwBasis,AD7,
numVmwShares,D7,
cashReceived,AA7,
gainRecognized,AM7,
pureAvgoBasis,IFERROR((vmwBasis - (cashReceived + gainRecognized)/numVmwShares),0),
isQualified,BA7,
saleFMV,Reference!$B$10,
actualPrice,L7,
purchaseDateFMV,F7,
grantDateFMV,E7,
gainFromSale,(saleFMV - pureAvgoBasis),
disqualifiedIncome,(purchaseDateFMV - actualPrice),
qualifiedIncome,MIN(
   gainFromSale,
   (0.15 * grantDateFMV)),
income,IF(isQualified,
   qualifiedIncome,
   disqualifiedIncome),
numVmwShares * income)</f>
        <v>0</v>
      </c>
      <c r="BC7" s="330">
        <f>LET(
avgoQty,AI7, 
purchaseDate,C7,
postMergerSaleDate,Reference!$B$29,
saleFMV,Reference!$B$10,
postMergerBasis,AY7, 
IF(DATEDIF(purchaseDate,postMergerSaleDate,"Y")&gt;=1,
  0,
  avgoQty * (saleFMV - postMergerBasis)
))</f>
        <v>0</v>
      </c>
      <c r="BD7" s="331">
        <f>LET(
avgoQty,AI7, 
purchaseDate,C7,
postMergerSaleDate,Reference!$B$29,
saleFMV,Reference!$B$10,
postMergerBasis,AY7, 
IFERROR(IF(DATEDIF(purchaseDate,postMergerSaleDate,"Y")&gt;=1,
  avgoQty * (saleFMV - postMergerBasis),
  0
),0))</f>
        <v>0</v>
      </c>
    </row>
    <row r="8">
      <c r="A8" s="299">
        <f t="shared" si="6"/>
        <v>41306</v>
      </c>
      <c r="B8" s="300">
        <v>41306.0</v>
      </c>
      <c r="C8" s="301">
        <f t="shared" ref="C8:C10" si="22">DATE(YEAR(C7),MONTH(C7)+6,DAY(C7))</f>
        <v>41486</v>
      </c>
      <c r="D8" s="332"/>
      <c r="E8" s="303">
        <v>78.79</v>
      </c>
      <c r="F8" s="303">
        <v>82.19</v>
      </c>
      <c r="G8" s="306"/>
      <c r="H8" s="305">
        <f t="shared" si="7"/>
        <v>0</v>
      </c>
      <c r="I8" s="303">
        <f t="shared" ref="I8:I26" si="23">K7</f>
        <v>0</v>
      </c>
      <c r="J8" s="305">
        <f t="shared" si="8"/>
        <v>0</v>
      </c>
      <c r="K8" s="305">
        <f t="shared" si="9"/>
        <v>0</v>
      </c>
      <c r="L8" s="307">
        <f t="shared" si="10"/>
        <v>66.9715</v>
      </c>
      <c r="M8" s="333"/>
      <c r="N8" s="309" t="b">
        <v>0</v>
      </c>
      <c r="O8" s="334"/>
      <c r="P8" s="311">
        <v>0.0</v>
      </c>
      <c r="Q8" s="311">
        <v>0.0</v>
      </c>
      <c r="R8" s="311">
        <v>0.0</v>
      </c>
      <c r="S8" s="311">
        <v>0.0</v>
      </c>
      <c r="T8" s="312">
        <v>0.0</v>
      </c>
      <c r="U8" s="313">
        <f t="shared" si="11"/>
        <v>0</v>
      </c>
      <c r="V8" s="313" t="str">
        <f>SWITCH(W8,"cash",Reference!$E$5,"shares",Reference!$E$6,"balance",Reference!$E$7,"pro-rata",Reference!$B$5)</f>
        <v>#DIV/0!</v>
      </c>
      <c r="W8" s="314" t="s">
        <v>205</v>
      </c>
      <c r="X8" s="315">
        <f>LET(numVmwShares,D8, cashRatio,Reference!$B$4, vmwFinalPrice,Reference!$B$3, numVmwShares * cashRatio * vmwFinalPrice)</f>
        <v>0</v>
      </c>
      <c r="Y8" s="315">
        <f>iferror(LET(numVmwShares,$D8, stockRatio,U8, vmwFinalPrice,Reference!$B$3, (1 - stockRatio) * vmwFinalPrice * numVmwShares),0)</f>
        <v>0</v>
      </c>
      <c r="Z8" s="315">
        <f>iferror(LET(numVmwShares,$D8, stockRatio,V8, vmwFinalPrice,Reference!$B$3, (1 - stockRatio) * vmwFinalPrice * numVmwShares),0)</f>
        <v>0</v>
      </c>
      <c r="AA8" s="315">
        <f>SWITCH(Reference!$E$4,"eTradeTransactionLog", X8, "eTradeHoldingRatio", X8, "eTradeLotQtyRatio",Y8, "manualLotRatio", Z8)</f>
        <v>0</v>
      </c>
      <c r="AB8" s="305">
        <f>LET(purchaseDate,C8, dateOfRecord,Reference!$B$26, returnOfCapital,Reference!$C$26, IF(purchaseDate &lt; dateOfRecord, returnOfCapital,0))</f>
        <v>10.18</v>
      </c>
      <c r="AC8" s="305">
        <f>LET(purchaseDate,C8, dateOfRecord,Reference!$B$27, returnOfCapital,Reference!$C$27, IF(purchaseDate &lt; dateOfRecord, returnOfCapital,0))</f>
        <v>16.58</v>
      </c>
      <c r="AD8" s="305">
        <f t="shared" si="12"/>
        <v>40.2115</v>
      </c>
      <c r="AE8" s="305">
        <f t="shared" si="13"/>
        <v>0</v>
      </c>
      <c r="AF8" s="316">
        <f>LET(numVmwShares,D8, stockRatio,Reference!$B$5, vmwToAvgoRatio,Reference!$B$6, numVmwShares * stockRatio * vmwToAvgoRatio)</f>
        <v>0</v>
      </c>
      <c r="AG8" s="316">
        <f>LET(numVmwShares,D8, stockRatio,U8, vmwToAvgoRatio,Reference!$B$6, numVmwShares * stockRatio * vmwToAvgoRatio)</f>
        <v>0</v>
      </c>
      <c r="AH8" s="316" t="str">
        <f>LET(numVmwShares,D8, stockRatio,V8, vmwToAvgoRatio,Reference!$B$6, numVmwShares * stockRatio * vmwToAvgoRatio)</f>
        <v>#DIV/0!</v>
      </c>
      <c r="AI8" s="316">
        <f>SWITCH(Reference!$E$4,"eTradeTransactionLog", AF8, "eTradeHoldingRatio", AF8, "eTradeLotQtyRatio",AG8, "manualLotRatio", AH8)</f>
        <v>0</v>
      </c>
      <c r="AJ8" s="317">
        <f>LET(numVmwShares,D8, vmwBasis,AD8, avgoQty,AI8, avgoFMV,Reference!$B$18, cashReceived,AA8, gain,cashReceived+(avgoQty*avgoFMV)-(numVmwShares*vmwBasis),
MAX(gain,0))</f>
        <v>0</v>
      </c>
      <c r="AK8" s="318">
        <f>LET(useForFraction,N8, fractionAmount,Summary!$C$41, esppFractionLots,$N$5, rsuFractionLots,RSU!J$5, IF(useForFraction, fractionAmount / (esppFractionLots+rsuFractionLots), 0))</f>
        <v>0</v>
      </c>
      <c r="AL8" s="319">
        <f>LET(useForFraction,N8, fractionSaleFMV,Reference!$B$23, postMergerBasis,AY8, lotFractionAmount,AK8, IF(useForFraction, (fractionSaleFMV - postMergerBasis)*lotFractionAmount, 0))</f>
        <v>0</v>
      </c>
      <c r="AM8" s="320">
        <f t="shared" si="14"/>
        <v>0</v>
      </c>
      <c r="AN8" s="321">
        <f>LET(
imputedIncome,BB8,
avgoQty,AI8, 
perAvgoIncome, iferror(imputedIncome/avgoQty,0),
purchaseDate,C8,
mergerDate,Reference!$B$28,
lotFractionAmount,AK8,
lotFractionGain,AL8,
mergerGain,AM8,
shortTermGain,IF(DATEDIF(purchaseDate,mergerDate,"Y")&gt;=1,
  0,
  lotFractionGain + mergerGain
),
incomeOnFraction,perAvgoIncome*lotFractionAmount, 
shortTermGain + incomeOnFraction + IF(avgoQty=0,imputedIncome-incomeOnFraction,0))</f>
        <v>0</v>
      </c>
      <c r="AO8" s="321">
        <f>LET(
purchaseDate,C8,
mergerDate,Reference!$B$28,
lotFractionGain,AL8,
mergerGain,AM8,
IF(DATEDIF(purchaseDate,mergerDate,"Y")&gt;=1,
  lotFractionGain+mergerGain,
  0
))</f>
        <v>0</v>
      </c>
      <c r="AP8" s="335" t="str">
        <f>IF(DATEDIF(L8,Reference!$B$28,"Y")&gt;=1,"Part II Box D","Part I Box A")</f>
        <v>Part II Box D</v>
      </c>
      <c r="AQ8" s="336">
        <f t="shared" si="15"/>
        <v>41486</v>
      </c>
      <c r="AR8" s="337">
        <f t="shared" si="16"/>
        <v>0</v>
      </c>
      <c r="AS8" s="337">
        <f>LET(
cashReceived,AA8, 
avgoQty,AI8, 
proceedsStyle,Reference!$E$9, 
avgoFMV,Reference!$B$18, 
SWITCH(proceedsStyle, "combined", cashReceived +(avgoQty*avgoFMV), "cashOnly", cashReceived))</f>
        <v>0</v>
      </c>
      <c r="AT8" s="338">
        <f t="shared" si="17"/>
        <v>0</v>
      </c>
      <c r="AU8" s="338" t="str">
        <f t="shared" si="18"/>
        <v/>
      </c>
      <c r="AV8" s="337">
        <f>LET(
numVmwShares,D8, 
vmwBasis, AD8, 
avgoQty,AI8, 
avgoFMV,Reference!$B$18, 
cashReceived,AA8, 
avgoTotalValue, avgoFMV*avgoQty, 
vmwTotalBasis, vmwBasis*numVmwShares,
alternateGainAmount,AJ8, 
basis1099B, AT8,
basis1099B - IF(cashReceived&lt;alternateGainAmount,
  avgoTotalValue,
  vmwTotalBasis
))</f>
        <v>0</v>
      </c>
      <c r="AW8" s="339">
        <f t="shared" si="19"/>
        <v>0</v>
      </c>
      <c r="AX8" s="327" t="str">
        <f t="shared" si="20"/>
        <v>n/a</v>
      </c>
      <c r="AY8" s="327" t="str">
        <f t="shared" si="21"/>
        <v>n/a</v>
      </c>
      <c r="AZ8" s="328">
        <f>LET(saleFMV,Reference!$B$10, postMergerBasis,AY8, avgoQty,AI8, lotFractionAmount,AK8, iferror((saleFMV - postMergerBasis) * (avgoQty - lotFractionAmount), 0))</f>
        <v>0</v>
      </c>
      <c r="BA8" s="329" t="b">
        <f>LET(grantDate,B8, postMergerSaleDate,Reference!$B$29, purchaseBeginDate,A10, AND(DATEDIF(grantDate,postMergerSaleDate,"Y")&gt;=1, DATEDIF(purchaseBeginDate, postMergerSaleDate, "Y")&gt;=2))</f>
        <v>1</v>
      </c>
      <c r="BB8" s="328">
        <f>LET(
vmwBasis,AD8,
numVmwShares,D8,
cashReceived,AA8,
gainRecognized,AM8,
pureAvgoBasis,IFERROR((vmwBasis - (cashReceived + gainRecognized)/numVmwShares),0),
isQualified,BA8,
saleFMV,Reference!$B$10,
actualPrice,L8,
purchaseDateFMV,F8,
grantDateFMV,E8,
gainFromSale,(saleFMV - pureAvgoBasis),
disqualifiedIncome,(purchaseDateFMV - actualPrice),
qualifiedIncome,MIN(
   gainFromSale,
   (0.15 * grantDateFMV)),
income,IF(isQualified,
   qualifiedIncome,
   disqualifiedIncome),
numVmwShares * income)</f>
        <v>0</v>
      </c>
      <c r="BC8" s="330">
        <f>LET(
avgoQty,AI8, 
purchaseDate,C8,
postMergerSaleDate,Reference!$B$29,
saleFMV,Reference!$B$10,
postMergerBasis,AY8, 
IF(DATEDIF(purchaseDate,postMergerSaleDate,"Y")&gt;=1,
  0,
  avgoQty * (saleFMV - postMergerBasis)
))</f>
        <v>0</v>
      </c>
      <c r="BD8" s="331">
        <f>LET(
avgoQty,AI8, 
purchaseDate,C8,
postMergerSaleDate,Reference!$B$29,
saleFMV,Reference!$B$10,
postMergerBasis,AY8, 
IFERROR(IF(DATEDIF(purchaseDate,postMergerSaleDate,"Y")&gt;=1,
  avgoQty * (saleFMV - postMergerBasis),
  0
),0))</f>
        <v>0</v>
      </c>
    </row>
    <row r="9">
      <c r="A9" s="299">
        <f t="shared" si="6"/>
        <v>41487</v>
      </c>
      <c r="B9" s="300">
        <v>41487.0</v>
      </c>
      <c r="C9" s="301">
        <f t="shared" si="22"/>
        <v>41670</v>
      </c>
      <c r="D9" s="332"/>
      <c r="E9" s="303">
        <v>82.1</v>
      </c>
      <c r="F9" s="303">
        <v>90.14</v>
      </c>
      <c r="G9" s="306"/>
      <c r="H9" s="305">
        <f t="shared" si="7"/>
        <v>0</v>
      </c>
      <c r="I9" s="303">
        <f t="shared" si="23"/>
        <v>0</v>
      </c>
      <c r="J9" s="305">
        <f t="shared" si="8"/>
        <v>0</v>
      </c>
      <c r="K9" s="305">
        <f t="shared" si="9"/>
        <v>0</v>
      </c>
      <c r="L9" s="307">
        <f t="shared" si="10"/>
        <v>69.785</v>
      </c>
      <c r="M9" s="333"/>
      <c r="N9" s="309" t="b">
        <v>0</v>
      </c>
      <c r="O9" s="310"/>
      <c r="P9" s="311">
        <v>0.0</v>
      </c>
      <c r="Q9" s="311">
        <v>0.0</v>
      </c>
      <c r="R9" s="311">
        <v>0.0</v>
      </c>
      <c r="S9" s="311">
        <v>0.0</v>
      </c>
      <c r="T9" s="312">
        <v>0.0</v>
      </c>
      <c r="U9" s="313">
        <f t="shared" si="11"/>
        <v>0</v>
      </c>
      <c r="V9" s="313" t="str">
        <f>SWITCH(W9,"cash",Reference!$E$5,"shares",Reference!$E$6,"balance",Reference!$E$7,"pro-rata",Reference!$B$5)</f>
        <v>#DIV/0!</v>
      </c>
      <c r="W9" s="314" t="s">
        <v>205</v>
      </c>
      <c r="X9" s="315">
        <f>LET(numVmwShares,D9, cashRatio,Reference!$B$4, vmwFinalPrice,Reference!$B$3, numVmwShares * cashRatio * vmwFinalPrice)</f>
        <v>0</v>
      </c>
      <c r="Y9" s="315">
        <f>iferror(LET(numVmwShares,$D9, stockRatio,U9, vmwFinalPrice,Reference!$B$3, (1 - stockRatio) * vmwFinalPrice * numVmwShares),0)</f>
        <v>0</v>
      </c>
      <c r="Z9" s="315">
        <f>iferror(LET(numVmwShares,$D9, stockRatio,V9, vmwFinalPrice,Reference!$B$3, (1 - stockRatio) * vmwFinalPrice * numVmwShares),0)</f>
        <v>0</v>
      </c>
      <c r="AA9" s="315">
        <f>SWITCH(Reference!$E$4,"eTradeTransactionLog", X9, "eTradeHoldingRatio", X9, "eTradeLotQtyRatio",Y9, "manualLotRatio", Z9)</f>
        <v>0</v>
      </c>
      <c r="AB9" s="305">
        <f>LET(purchaseDate,C9, dateOfRecord,Reference!$B$26, returnOfCapital,Reference!$C$26, IF(purchaseDate &lt; dateOfRecord, returnOfCapital,0))</f>
        <v>10.18</v>
      </c>
      <c r="AC9" s="305">
        <f>LET(purchaseDate,C9, dateOfRecord,Reference!$B$27, returnOfCapital,Reference!$C$27, IF(purchaseDate &lt; dateOfRecord, returnOfCapital,0))</f>
        <v>16.58</v>
      </c>
      <c r="AD9" s="305">
        <f t="shared" si="12"/>
        <v>43.025</v>
      </c>
      <c r="AE9" s="305">
        <f t="shared" si="13"/>
        <v>0</v>
      </c>
      <c r="AF9" s="316">
        <f>LET(numVmwShares,D9, stockRatio,Reference!$B$5, vmwToAvgoRatio,Reference!$B$6, numVmwShares * stockRatio * vmwToAvgoRatio)</f>
        <v>0</v>
      </c>
      <c r="AG9" s="316">
        <f>LET(numVmwShares,D9, stockRatio,U9, vmwToAvgoRatio,Reference!$B$6, numVmwShares * stockRatio * vmwToAvgoRatio)</f>
        <v>0</v>
      </c>
      <c r="AH9" s="316" t="str">
        <f>LET(numVmwShares,D9, stockRatio,V9, vmwToAvgoRatio,Reference!$B$6, numVmwShares * stockRatio * vmwToAvgoRatio)</f>
        <v>#DIV/0!</v>
      </c>
      <c r="AI9" s="316">
        <f>SWITCH(Reference!$E$4,"eTradeTransactionLog", AF9, "eTradeHoldingRatio", AF9, "eTradeLotQtyRatio",AG9, "manualLotRatio", AH9)</f>
        <v>0</v>
      </c>
      <c r="AJ9" s="317">
        <f>LET(numVmwShares,D9, vmwBasis,AD9, avgoQty,AI9, avgoFMV,Reference!$B$18, cashReceived,AA9, gain,cashReceived+(avgoQty*avgoFMV)-(numVmwShares*vmwBasis),
MAX(gain,0))</f>
        <v>0</v>
      </c>
      <c r="AK9" s="318">
        <f>LET(useForFraction,N9, fractionAmount,Summary!$C$41, esppFractionLots,$N$5, rsuFractionLots,RSU!J$5, IF(useForFraction, fractionAmount / (esppFractionLots+rsuFractionLots), 0))</f>
        <v>0</v>
      </c>
      <c r="AL9" s="319">
        <f>LET(useForFraction,N9, fractionSaleFMV,Reference!$B$23, postMergerBasis,AY9, lotFractionAmount,AK9, IF(useForFraction, (fractionSaleFMV - postMergerBasis)*lotFractionAmount, 0))</f>
        <v>0</v>
      </c>
      <c r="AM9" s="320">
        <f t="shared" si="14"/>
        <v>0</v>
      </c>
      <c r="AN9" s="321">
        <f>LET(
imputedIncome,BB9,
avgoQty,AI9, 
perAvgoIncome, iferror(imputedIncome/avgoQty,0),
purchaseDate,C9,
mergerDate,Reference!$B$28,
lotFractionAmount,AK9,
lotFractionGain,AL9,
mergerGain,AM9,
shortTermGain,IF(DATEDIF(purchaseDate,mergerDate,"Y")&gt;=1,
  0,
  lotFractionGain + mergerGain
),
incomeOnFraction,perAvgoIncome*lotFractionAmount, 
shortTermGain + incomeOnFraction + IF(avgoQty=0,imputedIncome-incomeOnFraction,0))</f>
        <v>0</v>
      </c>
      <c r="AO9" s="321">
        <f>LET(
purchaseDate,C9,
mergerDate,Reference!$B$28,
lotFractionGain,AL9,
mergerGain,AM9,
IF(DATEDIF(purchaseDate,mergerDate,"Y")&gt;=1,
  lotFractionGain+mergerGain,
  0
))</f>
        <v>0</v>
      </c>
      <c r="AP9" s="335" t="str">
        <f>IF(DATEDIF(L9,Reference!$B$28,"Y")&gt;=1,"Part II Box D","Part I Box A")</f>
        <v>Part II Box D</v>
      </c>
      <c r="AQ9" s="336">
        <f t="shared" si="15"/>
        <v>41670</v>
      </c>
      <c r="AR9" s="337">
        <f t="shared" si="16"/>
        <v>0</v>
      </c>
      <c r="AS9" s="337">
        <f>LET(
cashReceived,AA9, 
avgoQty,AI9, 
proceedsStyle,Reference!$E$9, 
avgoFMV,Reference!$B$18, 
SWITCH(proceedsStyle, "combined", cashReceived +(avgoQty*avgoFMV), "cashOnly", cashReceived))</f>
        <v>0</v>
      </c>
      <c r="AT9" s="338">
        <f t="shared" si="17"/>
        <v>0</v>
      </c>
      <c r="AU9" s="338" t="str">
        <f t="shared" si="18"/>
        <v/>
      </c>
      <c r="AV9" s="337">
        <f>LET(
numVmwShares,D9, 
vmwBasis, AD9, 
avgoQty,AI9, 
avgoFMV,Reference!$B$18, 
cashReceived,AA9, 
avgoTotalValue, avgoFMV*avgoQty, 
vmwTotalBasis, vmwBasis*numVmwShares,
alternateGainAmount,AJ9, 
basis1099B, AT9,
basis1099B - IF(cashReceived&lt;alternateGainAmount,
  avgoTotalValue,
  vmwTotalBasis
))</f>
        <v>0</v>
      </c>
      <c r="AW9" s="339">
        <f t="shared" si="19"/>
        <v>0</v>
      </c>
      <c r="AX9" s="327" t="str">
        <f t="shared" si="20"/>
        <v>n/a</v>
      </c>
      <c r="AY9" s="327" t="str">
        <f t="shared" si="21"/>
        <v>n/a</v>
      </c>
      <c r="AZ9" s="328">
        <f>LET(saleFMV,Reference!$B$10, postMergerBasis,AY9, avgoQty,AI9, lotFractionAmount,AK9, iferror((saleFMV - postMergerBasis) * (avgoQty - lotFractionAmount), 0))</f>
        <v>0</v>
      </c>
      <c r="BA9" s="329" t="b">
        <f>LET(grantDate,B9, postMergerSaleDate,Reference!$B$29, purchaseBeginDate,A11, AND(DATEDIF(grantDate,postMergerSaleDate,"Y")&gt;=1, DATEDIF(purchaseBeginDate, postMergerSaleDate, "Y")&gt;=2))</f>
        <v>1</v>
      </c>
      <c r="BB9" s="328">
        <f>LET(
vmwBasis,AD9,
numVmwShares,D9,
cashReceived,AA9,
gainRecognized,AM9,
pureAvgoBasis,IFERROR((vmwBasis - (cashReceived + gainRecognized)/numVmwShares),0),
isQualified,BA9,
saleFMV,Reference!$B$10,
actualPrice,L9,
purchaseDateFMV,F9,
grantDateFMV,E9,
gainFromSale,(saleFMV - pureAvgoBasis),
disqualifiedIncome,(purchaseDateFMV - actualPrice),
qualifiedIncome,MIN(
   gainFromSale,
   (0.15 * grantDateFMV)),
income,IF(isQualified,
   qualifiedIncome,
   disqualifiedIncome),
numVmwShares * income)</f>
        <v>0</v>
      </c>
      <c r="BC9" s="330">
        <f>LET(
avgoQty,AI9, 
purchaseDate,C9,
postMergerSaleDate,Reference!$B$29,
saleFMV,Reference!$B$10,
postMergerBasis,AY9, 
IF(DATEDIF(purchaseDate,postMergerSaleDate,"Y")&gt;=1,
  0,
  avgoQty * (saleFMV - postMergerBasis)
))</f>
        <v>0</v>
      </c>
      <c r="BD9" s="331">
        <f>LET(
avgoQty,AI9, 
purchaseDate,C9,
postMergerSaleDate,Reference!$B$29,
saleFMV,Reference!$B$10,
postMergerBasis,AY9, 
IFERROR(IF(DATEDIF(purchaseDate,postMergerSaleDate,"Y")&gt;=1,
  avgoQty * (saleFMV - postMergerBasis),
  0
),0))</f>
        <v>0</v>
      </c>
    </row>
    <row r="10">
      <c r="A10" s="299">
        <f t="shared" si="6"/>
        <v>41671</v>
      </c>
      <c r="B10" s="300">
        <v>41671.0</v>
      </c>
      <c r="C10" s="301">
        <f t="shared" si="22"/>
        <v>41851</v>
      </c>
      <c r="D10" s="332"/>
      <c r="E10" s="303">
        <v>90.14</v>
      </c>
      <c r="F10" s="303">
        <v>99.36</v>
      </c>
      <c r="G10" s="306"/>
      <c r="H10" s="305">
        <f t="shared" si="7"/>
        <v>0</v>
      </c>
      <c r="I10" s="303">
        <f t="shared" si="23"/>
        <v>0</v>
      </c>
      <c r="J10" s="305">
        <f t="shared" si="8"/>
        <v>0</v>
      </c>
      <c r="K10" s="305">
        <f t="shared" si="9"/>
        <v>0</v>
      </c>
      <c r="L10" s="307">
        <f t="shared" si="10"/>
        <v>76.619</v>
      </c>
      <c r="M10" s="333"/>
      <c r="N10" s="340" t="b">
        <v>0</v>
      </c>
      <c r="O10" s="334"/>
      <c r="P10" s="311">
        <v>0.0</v>
      </c>
      <c r="Q10" s="311">
        <v>0.0</v>
      </c>
      <c r="R10" s="311">
        <v>0.0</v>
      </c>
      <c r="S10" s="311">
        <v>0.0</v>
      </c>
      <c r="T10" s="312">
        <v>0.0</v>
      </c>
      <c r="U10" s="313">
        <f t="shared" si="11"/>
        <v>0</v>
      </c>
      <c r="V10" s="313" t="str">
        <f>SWITCH(W10,"cash",Reference!$E$5,"shares",Reference!$E$6,"balance",Reference!$E$7,"pro-rata",Reference!$B$5)</f>
        <v>#DIV/0!</v>
      </c>
      <c r="W10" s="314" t="s">
        <v>205</v>
      </c>
      <c r="X10" s="315">
        <f>LET(numVmwShares,D10, cashRatio,Reference!$B$4, vmwFinalPrice,Reference!$B$3, numVmwShares * cashRatio * vmwFinalPrice)</f>
        <v>0</v>
      </c>
      <c r="Y10" s="315">
        <f>iferror(LET(numVmwShares,$D10, stockRatio,U10, vmwFinalPrice,Reference!$B$3, (1 - stockRatio) * vmwFinalPrice * numVmwShares),0)</f>
        <v>0</v>
      </c>
      <c r="Z10" s="315">
        <f>iferror(LET(numVmwShares,$D10, stockRatio,V10, vmwFinalPrice,Reference!$B$3, (1 - stockRatio) * vmwFinalPrice * numVmwShares),0)</f>
        <v>0</v>
      </c>
      <c r="AA10" s="315">
        <f>SWITCH(Reference!$E$4,"eTradeTransactionLog", X10, "eTradeHoldingRatio", X10, "eTradeLotQtyRatio",Y10, "manualLotRatio", Z10)</f>
        <v>0</v>
      </c>
      <c r="AB10" s="305">
        <f>LET(purchaseDate,C10, dateOfRecord,Reference!$B$26, returnOfCapital,Reference!$C$26, IF(purchaseDate &lt; dateOfRecord, returnOfCapital,0))</f>
        <v>10.18</v>
      </c>
      <c r="AC10" s="305">
        <f>LET(purchaseDate,C10, dateOfRecord,Reference!$B$27, returnOfCapital,Reference!$C$27, IF(purchaseDate &lt; dateOfRecord, returnOfCapital,0))</f>
        <v>16.58</v>
      </c>
      <c r="AD10" s="305">
        <f t="shared" si="12"/>
        <v>49.859</v>
      </c>
      <c r="AE10" s="305">
        <f t="shared" si="13"/>
        <v>0</v>
      </c>
      <c r="AF10" s="316">
        <f>LET(numVmwShares,D10, stockRatio,Reference!$B$5, vmwToAvgoRatio,Reference!$B$6, numVmwShares * stockRatio * vmwToAvgoRatio)</f>
        <v>0</v>
      </c>
      <c r="AG10" s="316">
        <f>LET(numVmwShares,D10, stockRatio,U10, vmwToAvgoRatio,Reference!$B$6, numVmwShares * stockRatio * vmwToAvgoRatio)</f>
        <v>0</v>
      </c>
      <c r="AH10" s="316" t="str">
        <f>LET(numVmwShares,D10, stockRatio,V10, vmwToAvgoRatio,Reference!$B$6, numVmwShares * stockRatio * vmwToAvgoRatio)</f>
        <v>#DIV/0!</v>
      </c>
      <c r="AI10" s="316">
        <f>SWITCH(Reference!$E$4,"eTradeTransactionLog", AF10, "eTradeHoldingRatio", AF10, "eTradeLotQtyRatio",AG10, "manualLotRatio", AH10)</f>
        <v>0</v>
      </c>
      <c r="AJ10" s="317">
        <f>LET(numVmwShares,D10, vmwBasis,AD10, avgoQty,AI10, avgoFMV,Reference!$B$18, cashReceived,AA10, gain,cashReceived+(avgoQty*avgoFMV)-(numVmwShares*vmwBasis),
MAX(gain,0))</f>
        <v>0</v>
      </c>
      <c r="AK10" s="318">
        <f>LET(useForFraction,N10, fractionAmount,Summary!$C$41, esppFractionLots,$N$5, rsuFractionLots,RSU!J$5, IF(useForFraction, fractionAmount / (esppFractionLots+rsuFractionLots), 0))</f>
        <v>0</v>
      </c>
      <c r="AL10" s="319">
        <f>LET(useForFraction,N10, fractionSaleFMV,Reference!$B$23, postMergerBasis,AY10, lotFractionAmount,AK10, IF(useForFraction, (fractionSaleFMV - postMergerBasis)*lotFractionAmount, 0))</f>
        <v>0</v>
      </c>
      <c r="AM10" s="320">
        <f t="shared" si="14"/>
        <v>0</v>
      </c>
      <c r="AN10" s="321">
        <f>LET(
imputedIncome,BB10,
avgoQty,AI10, 
perAvgoIncome, iferror(imputedIncome/avgoQty,0),
purchaseDate,C10,
mergerDate,Reference!$B$28,
lotFractionAmount,AK10,
lotFractionGain,AL10,
mergerGain,AM10,
shortTermGain,IF(DATEDIF(purchaseDate,mergerDate,"Y")&gt;=1,
  0,
  lotFractionGain + mergerGain
),
incomeOnFraction,perAvgoIncome*lotFractionAmount, 
shortTermGain + incomeOnFraction + IF(avgoQty=0,imputedIncome-incomeOnFraction,0))</f>
        <v>0</v>
      </c>
      <c r="AO10" s="321">
        <f>LET(
purchaseDate,C10,
mergerDate,Reference!$B$28,
lotFractionGain,AL10,
mergerGain,AM10,
IF(DATEDIF(purchaseDate,mergerDate,"Y")&gt;=1,
  lotFractionGain+mergerGain,
  0
))</f>
        <v>0</v>
      </c>
      <c r="AP10" s="335" t="str">
        <f>IF(DATEDIF(L10,Reference!$B$28,"Y")&gt;=1,"Part II Box D","Part I Box A")</f>
        <v>Part II Box D</v>
      </c>
      <c r="AQ10" s="336">
        <f t="shared" si="15"/>
        <v>41851</v>
      </c>
      <c r="AR10" s="337">
        <f t="shared" si="16"/>
        <v>0</v>
      </c>
      <c r="AS10" s="337">
        <f>LET(
cashReceived,AA10, 
avgoQty,AI10, 
proceedsStyle,Reference!$E$9, 
avgoFMV,Reference!$B$18, 
SWITCH(proceedsStyle, "combined", cashReceived +(avgoQty*avgoFMV), "cashOnly", cashReceived))</f>
        <v>0</v>
      </c>
      <c r="AT10" s="338">
        <f t="shared" si="17"/>
        <v>0</v>
      </c>
      <c r="AU10" s="338" t="str">
        <f t="shared" si="18"/>
        <v/>
      </c>
      <c r="AV10" s="337">
        <f>LET(
numVmwShares,D10, 
vmwBasis, AD10, 
avgoQty,AI10, 
avgoFMV,Reference!$B$18, 
cashReceived,AA10, 
avgoTotalValue, avgoFMV*avgoQty, 
vmwTotalBasis, vmwBasis*numVmwShares,
alternateGainAmount,AJ10, 
basis1099B, AT10,
basis1099B - IF(cashReceived&lt;alternateGainAmount,
  avgoTotalValue,
  vmwTotalBasis
))</f>
        <v>0</v>
      </c>
      <c r="AW10" s="339">
        <f t="shared" si="19"/>
        <v>0</v>
      </c>
      <c r="AX10" s="327" t="str">
        <f t="shared" si="20"/>
        <v>n/a</v>
      </c>
      <c r="AY10" s="327" t="str">
        <f t="shared" si="21"/>
        <v>n/a</v>
      </c>
      <c r="AZ10" s="328">
        <f>LET(saleFMV,Reference!$B$10, postMergerBasis,AY10, avgoQty,AI10, lotFractionAmount,AK10, iferror((saleFMV - postMergerBasis) * (avgoQty - lotFractionAmount), 0))</f>
        <v>0</v>
      </c>
      <c r="BA10" s="329" t="b">
        <f>LET(grantDate,B10, postMergerSaleDate,Reference!$B$29, purchaseBeginDate,A12, AND(DATEDIF(grantDate,postMergerSaleDate,"Y")&gt;=1, DATEDIF(purchaseBeginDate, postMergerSaleDate, "Y")&gt;=2))</f>
        <v>1</v>
      </c>
      <c r="BB10" s="328">
        <f>LET(
vmwBasis,AD10,
numVmwShares,D10,
cashReceived,AA10,
gainRecognized,AM10,
pureAvgoBasis,IFERROR((vmwBasis - (cashReceived + gainRecognized)/numVmwShares),0),
isQualified,BA10,
saleFMV,Reference!$B$10,
actualPrice,L10,
purchaseDateFMV,F10,
grantDateFMV,E10,
gainFromSale,(saleFMV - pureAvgoBasis),
disqualifiedIncome,(purchaseDateFMV - actualPrice),
qualifiedIncome,MIN(
   gainFromSale,
   (0.15 * grantDateFMV)),
income,IF(isQualified,
   qualifiedIncome,
   disqualifiedIncome),
numVmwShares * income)</f>
        <v>0</v>
      </c>
      <c r="BC10" s="330">
        <f>LET(
avgoQty,AI10, 
purchaseDate,C10,
postMergerSaleDate,Reference!$B$29,
saleFMV,Reference!$B$10,
postMergerBasis,AY10, 
IF(DATEDIF(purchaseDate,postMergerSaleDate,"Y")&gt;=1,
  0,
  avgoQty * (saleFMV - postMergerBasis)
))</f>
        <v>0</v>
      </c>
      <c r="BD10" s="331">
        <f>LET(
avgoQty,AI10, 
purchaseDate,C10,
postMergerSaleDate,Reference!$B$29,
saleFMV,Reference!$B$10,
postMergerBasis,AY10, 
IFERROR(IF(DATEDIF(purchaseDate,postMergerSaleDate,"Y")&gt;=1,
  avgoQty * (saleFMV - postMergerBasis),
  0
),0))</f>
        <v>0</v>
      </c>
    </row>
    <row r="11">
      <c r="A11" s="299">
        <f t="shared" si="6"/>
        <v>41852</v>
      </c>
      <c r="B11" s="300">
        <v>41852.0</v>
      </c>
      <c r="C11" s="301">
        <v>42035.0</v>
      </c>
      <c r="D11" s="332"/>
      <c r="E11" s="303">
        <v>98.33</v>
      </c>
      <c r="F11" s="303">
        <v>77.1</v>
      </c>
      <c r="G11" s="306"/>
      <c r="H11" s="305">
        <f t="shared" si="7"/>
        <v>0</v>
      </c>
      <c r="I11" s="303">
        <f t="shared" si="23"/>
        <v>0</v>
      </c>
      <c r="J11" s="305">
        <f t="shared" si="8"/>
        <v>0</v>
      </c>
      <c r="K11" s="305">
        <f t="shared" si="9"/>
        <v>0</v>
      </c>
      <c r="L11" s="307">
        <f t="shared" si="10"/>
        <v>65.535</v>
      </c>
      <c r="M11" s="341"/>
      <c r="N11" s="309" t="b">
        <v>0</v>
      </c>
      <c r="O11" s="310"/>
      <c r="P11" s="311">
        <v>0.0</v>
      </c>
      <c r="Q11" s="311">
        <v>0.0</v>
      </c>
      <c r="R11" s="311">
        <v>0.0</v>
      </c>
      <c r="S11" s="311">
        <v>0.0</v>
      </c>
      <c r="T11" s="312">
        <v>0.0</v>
      </c>
      <c r="U11" s="313">
        <f t="shared" si="11"/>
        <v>0</v>
      </c>
      <c r="V11" s="313" t="str">
        <f>SWITCH(W11,"cash",Reference!$E$5,"shares",Reference!$E$6,"balance",Reference!$E$7,"pro-rata",Reference!$B$5)</f>
        <v>#DIV/0!</v>
      </c>
      <c r="W11" s="314" t="s">
        <v>205</v>
      </c>
      <c r="X11" s="315">
        <f>LET(numVmwShares,D11, cashRatio,Reference!$B$4, vmwFinalPrice,Reference!$B$3, numVmwShares * cashRatio * vmwFinalPrice)</f>
        <v>0</v>
      </c>
      <c r="Y11" s="315">
        <f>iferror(LET(numVmwShares,$D11, stockRatio,U11, vmwFinalPrice,Reference!$B$3, (1 - stockRatio) * vmwFinalPrice * numVmwShares),0)</f>
        <v>0</v>
      </c>
      <c r="Z11" s="315">
        <f>iferror(LET(numVmwShares,$D11, stockRatio,V11, vmwFinalPrice,Reference!$B$3, (1 - stockRatio) * vmwFinalPrice * numVmwShares),0)</f>
        <v>0</v>
      </c>
      <c r="AA11" s="315">
        <f>SWITCH(Reference!$E$4,"eTradeTransactionLog", X11, "eTradeHoldingRatio", X11, "eTradeLotQtyRatio",Y11, "manualLotRatio", Z11)</f>
        <v>0</v>
      </c>
      <c r="AB11" s="305">
        <f>LET(purchaseDate,C11, dateOfRecord,Reference!$B$26, returnOfCapital,Reference!$C$26, IF(purchaseDate &lt; dateOfRecord, returnOfCapital,0))</f>
        <v>10.18</v>
      </c>
      <c r="AC11" s="305">
        <f>LET(purchaseDate,C11, dateOfRecord,Reference!$B$27, returnOfCapital,Reference!$C$27, IF(purchaseDate &lt; dateOfRecord, returnOfCapital,0))</f>
        <v>16.58</v>
      </c>
      <c r="AD11" s="305">
        <f t="shared" si="12"/>
        <v>38.775</v>
      </c>
      <c r="AE11" s="305">
        <f t="shared" si="13"/>
        <v>0</v>
      </c>
      <c r="AF11" s="316">
        <f>LET(numVmwShares,D11, stockRatio,Reference!$B$5, vmwToAvgoRatio,Reference!$B$6, numVmwShares * stockRatio * vmwToAvgoRatio)</f>
        <v>0</v>
      </c>
      <c r="AG11" s="316">
        <f>LET(numVmwShares,D11, stockRatio,U11, vmwToAvgoRatio,Reference!$B$6, numVmwShares * stockRatio * vmwToAvgoRatio)</f>
        <v>0</v>
      </c>
      <c r="AH11" s="316" t="str">
        <f>LET(numVmwShares,D11, stockRatio,V11, vmwToAvgoRatio,Reference!$B$6, numVmwShares * stockRatio * vmwToAvgoRatio)</f>
        <v>#DIV/0!</v>
      </c>
      <c r="AI11" s="316">
        <f>SWITCH(Reference!$E$4,"eTradeTransactionLog", AF11, "eTradeHoldingRatio", AF11, "eTradeLotQtyRatio",AG11, "manualLotRatio", AH11)</f>
        <v>0</v>
      </c>
      <c r="AJ11" s="317">
        <f>LET(numVmwShares,D11, vmwBasis,AD11, avgoQty,AI11, avgoFMV,Reference!$B$18, cashReceived,AA11, gain,cashReceived+(avgoQty*avgoFMV)-(numVmwShares*vmwBasis),
MAX(gain,0))</f>
        <v>0</v>
      </c>
      <c r="AK11" s="318">
        <f>LET(useForFraction,N11, fractionAmount,Summary!$C$41, esppFractionLots,$N$5, rsuFractionLots,RSU!J$5, IF(useForFraction, fractionAmount / (esppFractionLots+rsuFractionLots), 0))</f>
        <v>0</v>
      </c>
      <c r="AL11" s="319">
        <f>LET(useForFraction,N11, fractionSaleFMV,Reference!$B$23, postMergerBasis,AY11, lotFractionAmount,AK11, IF(useForFraction, (fractionSaleFMV - postMergerBasis)*lotFractionAmount, 0))</f>
        <v>0</v>
      </c>
      <c r="AM11" s="320">
        <f t="shared" si="14"/>
        <v>0</v>
      </c>
      <c r="AN11" s="321">
        <f>LET(
imputedIncome,BB11,
avgoQty,AI11, 
perAvgoIncome, iferror(imputedIncome/avgoQty,0),
purchaseDate,C11,
mergerDate,Reference!$B$28,
lotFractionAmount,AK11,
lotFractionGain,AL11,
mergerGain,AM11,
shortTermGain,IF(DATEDIF(purchaseDate,mergerDate,"Y")&gt;=1,
  0,
  lotFractionGain + mergerGain
),
incomeOnFraction,perAvgoIncome*lotFractionAmount, 
shortTermGain + incomeOnFraction + IF(avgoQty=0,imputedIncome-incomeOnFraction,0))</f>
        <v>0</v>
      </c>
      <c r="AO11" s="321">
        <f>LET(
purchaseDate,C11,
mergerDate,Reference!$B$28,
lotFractionGain,AL11,
mergerGain,AM11,
IF(DATEDIF(purchaseDate,mergerDate,"Y")&gt;=1,
  lotFractionGain+mergerGain,
  0
))</f>
        <v>0</v>
      </c>
      <c r="AP11" s="335" t="str">
        <f>IF(DATEDIF(L11,Reference!$B$28,"Y")&gt;=1,"Part II Box D","Part I Box A")</f>
        <v>Part II Box D</v>
      </c>
      <c r="AQ11" s="336">
        <f t="shared" si="15"/>
        <v>42035</v>
      </c>
      <c r="AR11" s="337">
        <f t="shared" si="16"/>
        <v>0</v>
      </c>
      <c r="AS11" s="337">
        <f>LET(
cashReceived,AA11, 
avgoQty,AI11, 
proceedsStyle,Reference!$E$9, 
avgoFMV,Reference!$B$18, 
SWITCH(proceedsStyle, "combined", cashReceived +(avgoQty*avgoFMV), "cashOnly", cashReceived))</f>
        <v>0</v>
      </c>
      <c r="AT11" s="338">
        <f t="shared" si="17"/>
        <v>0</v>
      </c>
      <c r="AU11" s="338" t="str">
        <f t="shared" si="18"/>
        <v/>
      </c>
      <c r="AV11" s="337">
        <f>LET(
numVmwShares,D11, 
vmwBasis, AD11, 
avgoQty,AI11, 
avgoFMV,Reference!$B$18, 
cashReceived,AA11, 
avgoTotalValue, avgoFMV*avgoQty, 
vmwTotalBasis, vmwBasis*numVmwShares,
alternateGainAmount,AJ11, 
basis1099B, AT11,
basis1099B - IF(cashReceived&lt;alternateGainAmount,
  avgoTotalValue,
  vmwTotalBasis
))</f>
        <v>0</v>
      </c>
      <c r="AW11" s="339">
        <f t="shared" si="19"/>
        <v>0</v>
      </c>
      <c r="AX11" s="327" t="str">
        <f t="shared" si="20"/>
        <v>n/a</v>
      </c>
      <c r="AY11" s="327" t="str">
        <f t="shared" si="21"/>
        <v>n/a</v>
      </c>
      <c r="AZ11" s="328">
        <f>LET(saleFMV,Reference!$B$10, postMergerBasis,AY11, avgoQty,AI11, lotFractionAmount,AK11, iferror((saleFMV - postMergerBasis) * (avgoQty - lotFractionAmount), 0))</f>
        <v>0</v>
      </c>
      <c r="BA11" s="329" t="b">
        <f>LET(grantDate,B11, postMergerSaleDate,Reference!$B$29, purchaseBeginDate,A13, AND(DATEDIF(grantDate,postMergerSaleDate,"Y")&gt;=1, DATEDIF(purchaseBeginDate, postMergerSaleDate, "Y")&gt;=2))</f>
        <v>1</v>
      </c>
      <c r="BB11" s="328">
        <f>LET(
vmwBasis,AD11,
numVmwShares,D11,
cashReceived,AA11,
gainRecognized,AM11,
pureAvgoBasis,IFERROR((vmwBasis - (cashReceived + gainRecognized)/numVmwShares),0),
isQualified,BA11,
saleFMV,Reference!$B$10,
actualPrice,L11,
purchaseDateFMV,F11,
grantDateFMV,E11,
gainFromSale,(saleFMV - pureAvgoBasis),
disqualifiedIncome,(purchaseDateFMV - actualPrice),
qualifiedIncome,MIN(
   gainFromSale,
   (0.15 * grantDateFMV)),
income,IF(isQualified,
   qualifiedIncome,
   disqualifiedIncome),
numVmwShares * income)</f>
        <v>0</v>
      </c>
      <c r="BC11" s="330">
        <f>LET(
avgoQty,AI11, 
purchaseDate,C11,
postMergerSaleDate,Reference!$B$29,
saleFMV,Reference!$B$10,
postMergerBasis,AY11, 
IF(DATEDIF(purchaseDate,postMergerSaleDate,"Y")&gt;=1,
  0,
  avgoQty * (saleFMV - postMergerBasis)
))</f>
        <v>0</v>
      </c>
      <c r="BD11" s="331">
        <f>LET(
avgoQty,AI11, 
purchaseDate,C11,
postMergerSaleDate,Reference!$B$29,
saleFMV,Reference!$B$10,
postMergerBasis,AY11, 
IFERROR(IF(DATEDIF(purchaseDate,postMergerSaleDate,"Y")&gt;=1,
  avgoQty * (saleFMV - postMergerBasis),
  0
),0))</f>
        <v>0</v>
      </c>
    </row>
    <row r="12">
      <c r="A12" s="299">
        <f t="shared" si="6"/>
        <v>42036</v>
      </c>
      <c r="B12" s="300">
        <v>42036.0</v>
      </c>
      <c r="C12" s="301">
        <f t="shared" ref="C12:C14" si="24">DATE(YEAR(C11),MONTH(C11)+6,DAY(C11))</f>
        <v>42216</v>
      </c>
      <c r="D12" s="332"/>
      <c r="E12" s="303">
        <v>77.1</v>
      </c>
      <c r="F12" s="303">
        <v>89.13</v>
      </c>
      <c r="G12" s="306"/>
      <c r="H12" s="305">
        <f t="shared" si="7"/>
        <v>0</v>
      </c>
      <c r="I12" s="303">
        <f t="shared" si="23"/>
        <v>0</v>
      </c>
      <c r="J12" s="305">
        <f t="shared" si="8"/>
        <v>0</v>
      </c>
      <c r="K12" s="305">
        <f t="shared" si="9"/>
        <v>0</v>
      </c>
      <c r="L12" s="307">
        <f t="shared" si="10"/>
        <v>65.535</v>
      </c>
      <c r="M12" s="333"/>
      <c r="N12" s="309" t="b">
        <v>0</v>
      </c>
      <c r="O12" s="310"/>
      <c r="P12" s="311">
        <v>0.0</v>
      </c>
      <c r="Q12" s="311">
        <v>0.0</v>
      </c>
      <c r="R12" s="311">
        <v>0.0</v>
      </c>
      <c r="S12" s="311">
        <v>0.0</v>
      </c>
      <c r="T12" s="312">
        <v>0.0</v>
      </c>
      <c r="U12" s="313">
        <f t="shared" si="11"/>
        <v>0</v>
      </c>
      <c r="V12" s="313" t="str">
        <f>SWITCH(W12,"cash",Reference!$E$5,"shares",Reference!$E$6,"balance",Reference!$E$7,"pro-rata",Reference!$B$5)</f>
        <v>#DIV/0!</v>
      </c>
      <c r="W12" s="314" t="s">
        <v>205</v>
      </c>
      <c r="X12" s="315">
        <f>LET(numVmwShares,D12, cashRatio,Reference!$B$4, vmwFinalPrice,Reference!$B$3, numVmwShares * cashRatio * vmwFinalPrice)</f>
        <v>0</v>
      </c>
      <c r="Y12" s="315">
        <f>iferror(LET(numVmwShares,$D12, stockRatio,U12, vmwFinalPrice,Reference!$B$3, (1 - stockRatio) * vmwFinalPrice * numVmwShares),0)</f>
        <v>0</v>
      </c>
      <c r="Z12" s="315">
        <f>iferror(LET(numVmwShares,$D12, stockRatio,V12, vmwFinalPrice,Reference!$B$3, (1 - stockRatio) * vmwFinalPrice * numVmwShares),0)</f>
        <v>0</v>
      </c>
      <c r="AA12" s="315">
        <f>SWITCH(Reference!$E$4,"eTradeTransactionLog", X12, "eTradeHoldingRatio", X12, "eTradeLotQtyRatio",Y12, "manualLotRatio", Z12)</f>
        <v>0</v>
      </c>
      <c r="AB12" s="305">
        <f>LET(purchaseDate,C12, dateOfRecord,Reference!$B$26, returnOfCapital,Reference!$C$26, IF(purchaseDate &lt; dateOfRecord, returnOfCapital,0))</f>
        <v>10.18</v>
      </c>
      <c r="AC12" s="305">
        <f>LET(purchaseDate,C12, dateOfRecord,Reference!$B$27, returnOfCapital,Reference!$C$27, IF(purchaseDate &lt; dateOfRecord, returnOfCapital,0))</f>
        <v>16.58</v>
      </c>
      <c r="AD12" s="305">
        <f t="shared" si="12"/>
        <v>38.775</v>
      </c>
      <c r="AE12" s="305">
        <f t="shared" si="13"/>
        <v>0</v>
      </c>
      <c r="AF12" s="316">
        <f>LET(numVmwShares,D12, stockRatio,Reference!$B$5, vmwToAvgoRatio,Reference!$B$6, numVmwShares * stockRatio * vmwToAvgoRatio)</f>
        <v>0</v>
      </c>
      <c r="AG12" s="316">
        <f>LET(numVmwShares,D12, stockRatio,U12, vmwToAvgoRatio,Reference!$B$6, numVmwShares * stockRatio * vmwToAvgoRatio)</f>
        <v>0</v>
      </c>
      <c r="AH12" s="316" t="str">
        <f>LET(numVmwShares,D12, stockRatio,V12, vmwToAvgoRatio,Reference!$B$6, numVmwShares * stockRatio * vmwToAvgoRatio)</f>
        <v>#DIV/0!</v>
      </c>
      <c r="AI12" s="316">
        <f>SWITCH(Reference!$E$4,"eTradeTransactionLog", AF12, "eTradeHoldingRatio", AF12, "eTradeLotQtyRatio",AG12, "manualLotRatio", AH12)</f>
        <v>0</v>
      </c>
      <c r="AJ12" s="317">
        <f>LET(numVmwShares,D12, vmwBasis,AD12, avgoQty,AI12, avgoFMV,Reference!$B$18, cashReceived,AA12, gain,cashReceived+(avgoQty*avgoFMV)-(numVmwShares*vmwBasis),
MAX(gain,0))</f>
        <v>0</v>
      </c>
      <c r="AK12" s="318">
        <f>LET(useForFraction,N12, fractionAmount,Summary!$C$41, esppFractionLots,$N$5, rsuFractionLots,RSU!J$5, IF(useForFraction, fractionAmount / (esppFractionLots+rsuFractionLots), 0))</f>
        <v>0</v>
      </c>
      <c r="AL12" s="319">
        <f>LET(useForFraction,N12, fractionSaleFMV,Reference!$B$23, postMergerBasis,AY12, lotFractionAmount,AK12, IF(useForFraction, (fractionSaleFMV - postMergerBasis)*lotFractionAmount, 0))</f>
        <v>0</v>
      </c>
      <c r="AM12" s="320">
        <f t="shared" si="14"/>
        <v>0</v>
      </c>
      <c r="AN12" s="321">
        <f>LET(
imputedIncome,BB12,
avgoQty,AI12, 
perAvgoIncome, iferror(imputedIncome/avgoQty,0),
purchaseDate,C12,
mergerDate,Reference!$B$28,
lotFractionAmount,AK12,
lotFractionGain,AL12,
mergerGain,AM12,
shortTermGain,IF(DATEDIF(purchaseDate,mergerDate,"Y")&gt;=1,
  0,
  lotFractionGain + mergerGain
),
incomeOnFraction,perAvgoIncome*lotFractionAmount, 
shortTermGain + incomeOnFraction + IF(avgoQty=0,imputedIncome-incomeOnFraction,0))</f>
        <v>0</v>
      </c>
      <c r="AO12" s="321">
        <f>LET(
purchaseDate,C12,
mergerDate,Reference!$B$28,
lotFractionGain,AL12,
mergerGain,AM12,
IF(DATEDIF(purchaseDate,mergerDate,"Y")&gt;=1,
  lotFractionGain+mergerGain,
  0
))</f>
        <v>0</v>
      </c>
      <c r="AP12" s="335" t="str">
        <f>IF(DATEDIF(L12,Reference!$B$28,"Y")&gt;=1,"Part II Box D","Part I Box A")</f>
        <v>Part II Box D</v>
      </c>
      <c r="AQ12" s="336">
        <f t="shared" si="15"/>
        <v>42216</v>
      </c>
      <c r="AR12" s="337">
        <f t="shared" si="16"/>
        <v>0</v>
      </c>
      <c r="AS12" s="337">
        <f>LET(
cashReceived,AA12, 
avgoQty,AI12, 
proceedsStyle,Reference!$E$9, 
avgoFMV,Reference!$B$18, 
SWITCH(proceedsStyle, "combined", cashReceived +(avgoQty*avgoFMV), "cashOnly", cashReceived))</f>
        <v>0</v>
      </c>
      <c r="AT12" s="338">
        <f t="shared" si="17"/>
        <v>0</v>
      </c>
      <c r="AU12" s="338" t="str">
        <f t="shared" si="18"/>
        <v/>
      </c>
      <c r="AV12" s="337">
        <f>LET(
numVmwShares,D12, 
vmwBasis, AD12, 
avgoQty,AI12, 
avgoFMV,Reference!$B$18, 
cashReceived,AA12, 
avgoTotalValue, avgoFMV*avgoQty, 
vmwTotalBasis, vmwBasis*numVmwShares,
alternateGainAmount,AJ12, 
basis1099B, AT12,
basis1099B - IF(cashReceived&lt;alternateGainAmount,
  avgoTotalValue,
  vmwTotalBasis
))</f>
        <v>0</v>
      </c>
      <c r="AW12" s="339">
        <f t="shared" si="19"/>
        <v>0</v>
      </c>
      <c r="AX12" s="327" t="str">
        <f t="shared" si="20"/>
        <v>n/a</v>
      </c>
      <c r="AY12" s="327" t="str">
        <f t="shared" si="21"/>
        <v>n/a</v>
      </c>
      <c r="AZ12" s="328">
        <f>LET(saleFMV,Reference!$B$10, postMergerBasis,AY12, avgoQty,AI12, lotFractionAmount,AK12, iferror((saleFMV - postMergerBasis) * (avgoQty - lotFractionAmount), 0))</f>
        <v>0</v>
      </c>
      <c r="BA12" s="329" t="b">
        <f>LET(grantDate,B12, postMergerSaleDate,Reference!$B$29, purchaseBeginDate,A14, AND(DATEDIF(grantDate,postMergerSaleDate,"Y")&gt;=1, DATEDIF(purchaseBeginDate, postMergerSaleDate, "Y")&gt;=2))</f>
        <v>1</v>
      </c>
      <c r="BB12" s="328">
        <f>LET(
vmwBasis,AD12,
numVmwShares,D12,
cashReceived,AA12,
gainRecognized,AM12,
pureAvgoBasis,IFERROR((vmwBasis - (cashReceived + gainRecognized)/numVmwShares),0),
isQualified,BA12,
saleFMV,Reference!$B$10,
actualPrice,L12,
purchaseDateFMV,F12,
grantDateFMV,E12,
gainFromSale,(saleFMV - pureAvgoBasis),
disqualifiedIncome,(purchaseDateFMV - actualPrice),
qualifiedIncome,MIN(
   gainFromSale,
   (0.15 * grantDateFMV)),
income,IF(isQualified,
   qualifiedIncome,
   disqualifiedIncome),
numVmwShares * income)</f>
        <v>0</v>
      </c>
      <c r="BC12" s="330">
        <f>LET(
avgoQty,AI12, 
purchaseDate,C12,
postMergerSaleDate,Reference!$B$29,
saleFMV,Reference!$B$10,
postMergerBasis,AY12, 
IF(DATEDIF(purchaseDate,postMergerSaleDate,"Y")&gt;=1,
  0,
  avgoQty * (saleFMV - postMergerBasis)
))</f>
        <v>0</v>
      </c>
      <c r="BD12" s="331">
        <f>LET(
avgoQty,AI12, 
purchaseDate,C12,
postMergerSaleDate,Reference!$B$29,
saleFMV,Reference!$B$10,
postMergerBasis,AY12, 
IFERROR(IF(DATEDIF(purchaseDate,postMergerSaleDate,"Y")&gt;=1,
  avgoQty * (saleFMV - postMergerBasis),
  0
),0))</f>
        <v>0</v>
      </c>
    </row>
    <row r="13">
      <c r="A13" s="299">
        <f t="shared" si="6"/>
        <v>42217</v>
      </c>
      <c r="B13" s="300">
        <v>42217.0</v>
      </c>
      <c r="C13" s="301">
        <f t="shared" si="24"/>
        <v>42400</v>
      </c>
      <c r="D13" s="332"/>
      <c r="E13" s="303">
        <v>89.13</v>
      </c>
      <c r="F13" s="303">
        <v>45.75</v>
      </c>
      <c r="G13" s="306"/>
      <c r="H13" s="305">
        <f t="shared" si="7"/>
        <v>0</v>
      </c>
      <c r="I13" s="303">
        <f t="shared" si="23"/>
        <v>0</v>
      </c>
      <c r="J13" s="305">
        <f t="shared" si="8"/>
        <v>0</v>
      </c>
      <c r="K13" s="305">
        <f t="shared" si="9"/>
        <v>0</v>
      </c>
      <c r="L13" s="307">
        <f t="shared" si="10"/>
        <v>38.8875</v>
      </c>
      <c r="M13" s="333"/>
      <c r="N13" s="342" t="b">
        <v>0</v>
      </c>
      <c r="O13" s="343"/>
      <c r="P13" s="311">
        <v>0.0</v>
      </c>
      <c r="Q13" s="311">
        <v>0.0</v>
      </c>
      <c r="R13" s="311">
        <v>0.0</v>
      </c>
      <c r="S13" s="311">
        <v>0.0</v>
      </c>
      <c r="T13" s="312">
        <v>0.0</v>
      </c>
      <c r="U13" s="313">
        <f t="shared" si="11"/>
        <v>0</v>
      </c>
      <c r="V13" s="313" t="str">
        <f>SWITCH(W13,"cash",Reference!$E$5,"shares",Reference!$E$6,"balance",Reference!$E$7,"pro-rata",Reference!$B$5)</f>
        <v>#DIV/0!</v>
      </c>
      <c r="W13" s="314" t="s">
        <v>205</v>
      </c>
      <c r="X13" s="315">
        <f>LET(numVmwShares,D13, cashRatio,Reference!$B$4, vmwFinalPrice,Reference!$B$3, numVmwShares * cashRatio * vmwFinalPrice)</f>
        <v>0</v>
      </c>
      <c r="Y13" s="315">
        <f>iferror(LET(numVmwShares,$D13, stockRatio,U13, vmwFinalPrice,Reference!$B$3, (1 - stockRatio) * vmwFinalPrice * numVmwShares),0)</f>
        <v>0</v>
      </c>
      <c r="Z13" s="315">
        <f>iferror(LET(numVmwShares,$D13, stockRatio,V13, vmwFinalPrice,Reference!$B$3, (1 - stockRatio) * vmwFinalPrice * numVmwShares),0)</f>
        <v>0</v>
      </c>
      <c r="AA13" s="315">
        <f>SWITCH(Reference!$E$4,"eTradeTransactionLog", X13, "eTradeHoldingRatio", X13, "eTradeLotQtyRatio",Y13, "manualLotRatio", Z13)</f>
        <v>0</v>
      </c>
      <c r="AB13" s="305">
        <f>LET(purchaseDate,C13, dateOfRecord,Reference!$B$26, returnOfCapital,Reference!$C$26, IF(purchaseDate &lt; dateOfRecord, returnOfCapital,0))</f>
        <v>10.18</v>
      </c>
      <c r="AC13" s="305">
        <f>LET(purchaseDate,C13, dateOfRecord,Reference!$B$27, returnOfCapital,Reference!$C$27, IF(purchaseDate &lt; dateOfRecord, returnOfCapital,0))</f>
        <v>16.58</v>
      </c>
      <c r="AD13" s="305">
        <f t="shared" si="12"/>
        <v>12.1275</v>
      </c>
      <c r="AE13" s="305">
        <f t="shared" si="13"/>
        <v>0</v>
      </c>
      <c r="AF13" s="316">
        <f>LET(numVmwShares,D13, stockRatio,Reference!$B$5, vmwToAvgoRatio,Reference!$B$6, numVmwShares * stockRatio * vmwToAvgoRatio)</f>
        <v>0</v>
      </c>
      <c r="AG13" s="316">
        <f>LET(numVmwShares,D13, stockRatio,U13, vmwToAvgoRatio,Reference!$B$6, numVmwShares * stockRatio * vmwToAvgoRatio)</f>
        <v>0</v>
      </c>
      <c r="AH13" s="316" t="str">
        <f>LET(numVmwShares,D13, stockRatio,V13, vmwToAvgoRatio,Reference!$B$6, numVmwShares * stockRatio * vmwToAvgoRatio)</f>
        <v>#DIV/0!</v>
      </c>
      <c r="AI13" s="316">
        <f>SWITCH(Reference!$E$4,"eTradeTransactionLog", AF13, "eTradeHoldingRatio", AF13, "eTradeLotQtyRatio",AG13, "manualLotRatio", AH13)</f>
        <v>0</v>
      </c>
      <c r="AJ13" s="317">
        <f>LET(numVmwShares,D13, vmwBasis,AD13, avgoQty,AI13, avgoFMV,Reference!$B$18, cashReceived,AA13, gain,cashReceived+(avgoQty*avgoFMV)-(numVmwShares*vmwBasis),
MAX(gain,0))</f>
        <v>0</v>
      </c>
      <c r="AK13" s="318">
        <f>LET(useForFraction,N13, fractionAmount,Summary!$C$41, esppFractionLots,$N$5, rsuFractionLots,RSU!J$5, IF(useForFraction, fractionAmount / (esppFractionLots+rsuFractionLots), 0))</f>
        <v>0</v>
      </c>
      <c r="AL13" s="319">
        <f>LET(useForFraction,N13, fractionSaleFMV,Reference!$B$23, postMergerBasis,AY13, lotFractionAmount,AK13, IF(useForFraction, (fractionSaleFMV - postMergerBasis)*lotFractionAmount, 0))</f>
        <v>0</v>
      </c>
      <c r="AM13" s="320">
        <f t="shared" si="14"/>
        <v>0</v>
      </c>
      <c r="AN13" s="321">
        <f>LET(
imputedIncome,BB13,
avgoQty,AI13, 
perAvgoIncome, iferror(imputedIncome/avgoQty,0),
purchaseDate,C13,
mergerDate,Reference!$B$28,
lotFractionAmount,AK13,
lotFractionGain,AL13,
mergerGain,AM13,
shortTermGain,IF(DATEDIF(purchaseDate,mergerDate,"Y")&gt;=1,
  0,
  lotFractionGain + mergerGain
),
incomeOnFraction,perAvgoIncome*lotFractionAmount, 
shortTermGain + incomeOnFraction + IF(avgoQty=0,imputedIncome-incomeOnFraction,0))</f>
        <v>0</v>
      </c>
      <c r="AO13" s="321">
        <f>LET(
purchaseDate,C13,
mergerDate,Reference!$B$28,
lotFractionGain,AL13,
mergerGain,AM13,
IF(DATEDIF(purchaseDate,mergerDate,"Y")&gt;=1,
  lotFractionGain+mergerGain,
  0
))</f>
        <v>0</v>
      </c>
      <c r="AP13" s="335" t="str">
        <f>IF(DATEDIF(L13,Reference!$B$28,"Y")&gt;=1,"Part II Box D","Part I Box A")</f>
        <v>Part II Box D</v>
      </c>
      <c r="AQ13" s="336">
        <f t="shared" si="15"/>
        <v>42400</v>
      </c>
      <c r="AR13" s="337">
        <f t="shared" si="16"/>
        <v>0</v>
      </c>
      <c r="AS13" s="337">
        <f>LET(
cashReceived,AA13, 
avgoQty,AI13, 
proceedsStyle,Reference!$E$9, 
avgoFMV,Reference!$B$18, 
SWITCH(proceedsStyle, "combined", cashReceived +(avgoQty*avgoFMV), "cashOnly", cashReceived))</f>
        <v>0</v>
      </c>
      <c r="AT13" s="338">
        <f t="shared" si="17"/>
        <v>0</v>
      </c>
      <c r="AU13" s="338" t="str">
        <f t="shared" si="18"/>
        <v/>
      </c>
      <c r="AV13" s="337">
        <f>LET(
numVmwShares,D13, 
vmwBasis, AD13, 
avgoQty,AI13, 
avgoFMV,Reference!$B$18, 
cashReceived,AA13, 
avgoTotalValue, avgoFMV*avgoQty, 
vmwTotalBasis, vmwBasis*numVmwShares,
alternateGainAmount,AJ13, 
basis1099B, AT13,
basis1099B - IF(cashReceived&lt;alternateGainAmount,
  avgoTotalValue,
  vmwTotalBasis
))</f>
        <v>0</v>
      </c>
      <c r="AW13" s="339">
        <f t="shared" si="19"/>
        <v>0</v>
      </c>
      <c r="AX13" s="327" t="str">
        <f t="shared" si="20"/>
        <v>n/a</v>
      </c>
      <c r="AY13" s="327" t="str">
        <f t="shared" si="21"/>
        <v>n/a</v>
      </c>
      <c r="AZ13" s="328">
        <f>LET(saleFMV,Reference!$B$10, postMergerBasis,AY13, avgoQty,AI13, lotFractionAmount,AK13, iferror((saleFMV - postMergerBasis) * (avgoQty - lotFractionAmount), 0))</f>
        <v>0</v>
      </c>
      <c r="BA13" s="329" t="b">
        <f>LET(grantDate,B13, postMergerSaleDate,Reference!$B$29, purchaseBeginDate,A15, AND(DATEDIF(grantDate,postMergerSaleDate,"Y")&gt;=1, DATEDIF(purchaseBeginDate, postMergerSaleDate, "Y")&gt;=2))</f>
        <v>1</v>
      </c>
      <c r="BB13" s="328">
        <f>LET(
vmwBasis,AD13,
numVmwShares,D13,
cashReceived,AA13,
gainRecognized,AM13,
pureAvgoBasis,IFERROR((vmwBasis - (cashReceived + gainRecognized)/numVmwShares),0),
isQualified,BA13,
saleFMV,Reference!$B$10,
actualPrice,L13,
purchaseDateFMV,F13,
grantDateFMV,E13,
gainFromSale,(saleFMV - pureAvgoBasis),
disqualifiedIncome,(purchaseDateFMV - actualPrice),
qualifiedIncome,MIN(
   gainFromSale,
   (0.15 * grantDateFMV)),
income,IF(isQualified,
   qualifiedIncome,
   disqualifiedIncome),
numVmwShares * income)</f>
        <v>0</v>
      </c>
      <c r="BC13" s="330">
        <f>LET(
avgoQty,AI13, 
purchaseDate,C13,
postMergerSaleDate,Reference!$B$29,
saleFMV,Reference!$B$10,
postMergerBasis,AY13, 
IF(DATEDIF(purchaseDate,postMergerSaleDate,"Y")&gt;=1,
  0,
  avgoQty * (saleFMV - postMergerBasis)
))</f>
        <v>0</v>
      </c>
      <c r="BD13" s="331">
        <f>LET(
avgoQty,AI13, 
purchaseDate,C13,
postMergerSaleDate,Reference!$B$29,
saleFMV,Reference!$B$10,
postMergerBasis,AY13, 
IFERROR(IF(DATEDIF(purchaseDate,postMergerSaleDate,"Y")&gt;=1,
  avgoQty * (saleFMV - postMergerBasis),
  0
),0))</f>
        <v>0</v>
      </c>
    </row>
    <row r="14">
      <c r="A14" s="299">
        <f t="shared" si="6"/>
        <v>42401</v>
      </c>
      <c r="B14" s="300">
        <v>42401.0</v>
      </c>
      <c r="C14" s="301">
        <f t="shared" si="24"/>
        <v>42582</v>
      </c>
      <c r="D14" s="332"/>
      <c r="E14" s="303">
        <v>45.49</v>
      </c>
      <c r="F14" s="303">
        <v>72.98</v>
      </c>
      <c r="G14" s="306"/>
      <c r="H14" s="305">
        <f t="shared" si="7"/>
        <v>0</v>
      </c>
      <c r="I14" s="303">
        <f t="shared" si="23"/>
        <v>0</v>
      </c>
      <c r="J14" s="305">
        <f t="shared" si="8"/>
        <v>0</v>
      </c>
      <c r="K14" s="305">
        <f t="shared" si="9"/>
        <v>0</v>
      </c>
      <c r="L14" s="344">
        <f t="shared" ref="L14:L26" si="25">ROUND(0.85*MIN(E14,F14),2)</f>
        <v>38.67</v>
      </c>
      <c r="M14" s="341"/>
      <c r="N14" s="342" t="b">
        <v>0</v>
      </c>
      <c r="O14" s="343"/>
      <c r="P14" s="311">
        <v>0.0</v>
      </c>
      <c r="Q14" s="311">
        <v>0.0</v>
      </c>
      <c r="R14" s="311">
        <v>0.0</v>
      </c>
      <c r="S14" s="311">
        <v>0.0</v>
      </c>
      <c r="T14" s="312">
        <v>0.0</v>
      </c>
      <c r="U14" s="313">
        <f t="shared" si="11"/>
        <v>0</v>
      </c>
      <c r="V14" s="313" t="str">
        <f>SWITCH(W14,"cash",Reference!$E$5,"shares",Reference!$E$6,"balance",Reference!$E$7,"pro-rata",Reference!$B$5)</f>
        <v>#DIV/0!</v>
      </c>
      <c r="W14" s="314" t="s">
        <v>205</v>
      </c>
      <c r="X14" s="315">
        <f>LET(numVmwShares,D14, cashRatio,Reference!$B$4, vmwFinalPrice,Reference!$B$3, numVmwShares * cashRatio * vmwFinalPrice)</f>
        <v>0</v>
      </c>
      <c r="Y14" s="315">
        <f>iferror(LET(numVmwShares,$D14, stockRatio,U14, vmwFinalPrice,Reference!$B$3, (1 - stockRatio) * vmwFinalPrice * numVmwShares),0)</f>
        <v>0</v>
      </c>
      <c r="Z14" s="315">
        <f>iferror(LET(numVmwShares,$D14, stockRatio,V14, vmwFinalPrice,Reference!$B$3, (1 - stockRatio) * vmwFinalPrice * numVmwShares),0)</f>
        <v>0</v>
      </c>
      <c r="AA14" s="315">
        <f>SWITCH(Reference!$E$4,"eTradeTransactionLog", X14, "eTradeHoldingRatio", X14, "eTradeLotQtyRatio",Y14, "manualLotRatio", Z14)</f>
        <v>0</v>
      </c>
      <c r="AB14" s="305">
        <f>LET(purchaseDate,C14, dateOfRecord,Reference!$B$26, returnOfCapital,Reference!$C$26, IF(purchaseDate &lt; dateOfRecord, returnOfCapital,0))</f>
        <v>10.18</v>
      </c>
      <c r="AC14" s="305">
        <f>LET(purchaseDate,C14, dateOfRecord,Reference!$B$27, returnOfCapital,Reference!$C$27, IF(purchaseDate &lt; dateOfRecord, returnOfCapital,0))</f>
        <v>16.58</v>
      </c>
      <c r="AD14" s="305">
        <f t="shared" si="12"/>
        <v>11.91</v>
      </c>
      <c r="AE14" s="305">
        <f t="shared" si="13"/>
        <v>0</v>
      </c>
      <c r="AF14" s="316">
        <f>LET(numVmwShares,D14, stockRatio,Reference!$B$5, vmwToAvgoRatio,Reference!$B$6, numVmwShares * stockRatio * vmwToAvgoRatio)</f>
        <v>0</v>
      </c>
      <c r="AG14" s="316">
        <f>LET(numVmwShares,D14, stockRatio,U14, vmwToAvgoRatio,Reference!$B$6, numVmwShares * stockRatio * vmwToAvgoRatio)</f>
        <v>0</v>
      </c>
      <c r="AH14" s="316" t="str">
        <f>LET(numVmwShares,D14, stockRatio,V14, vmwToAvgoRatio,Reference!$B$6, numVmwShares * stockRatio * vmwToAvgoRatio)</f>
        <v>#DIV/0!</v>
      </c>
      <c r="AI14" s="316">
        <f>SWITCH(Reference!$E$4,"eTradeTransactionLog", AF14, "eTradeHoldingRatio", AF14, "eTradeLotQtyRatio",AG14, "manualLotRatio", AH14)</f>
        <v>0</v>
      </c>
      <c r="AJ14" s="317">
        <f>LET(numVmwShares,D14, vmwBasis,AD14, avgoQty,AI14, avgoFMV,Reference!$B$18, cashReceived,AA14, gain,cashReceived+(avgoQty*avgoFMV)-(numVmwShares*vmwBasis),
MAX(gain,0))</f>
        <v>0</v>
      </c>
      <c r="AK14" s="318">
        <f>LET(useForFraction,N14, fractionAmount,Summary!$C$41, esppFractionLots,$N$5, rsuFractionLots,RSU!J$5, IF(useForFraction, fractionAmount / (esppFractionLots+rsuFractionLots), 0))</f>
        <v>0</v>
      </c>
      <c r="AL14" s="319">
        <f>LET(useForFraction,N14, fractionSaleFMV,Reference!$B$23, postMergerBasis,AY14, lotFractionAmount,AK14, IF(useForFraction, (fractionSaleFMV - postMergerBasis)*lotFractionAmount, 0))</f>
        <v>0</v>
      </c>
      <c r="AM14" s="320">
        <f t="shared" si="14"/>
        <v>0</v>
      </c>
      <c r="AN14" s="321">
        <f>LET(
imputedIncome,BB14,
avgoQty,AI14, 
perAvgoIncome, iferror(imputedIncome/avgoQty,0),
purchaseDate,C14,
mergerDate,Reference!$B$28,
lotFractionAmount,AK14,
lotFractionGain,AL14,
mergerGain,AM14,
shortTermGain,IF(DATEDIF(purchaseDate,mergerDate,"Y")&gt;=1,
  0,
  lotFractionGain + mergerGain
),
incomeOnFraction,perAvgoIncome*lotFractionAmount, 
shortTermGain + incomeOnFraction + IF(avgoQty=0,imputedIncome-incomeOnFraction,0))</f>
        <v>0</v>
      </c>
      <c r="AO14" s="321">
        <f>LET(
purchaseDate,C14,
mergerDate,Reference!$B$28,
lotFractionGain,AL14,
mergerGain,AM14,
IF(DATEDIF(purchaseDate,mergerDate,"Y")&gt;=1,
  lotFractionGain+mergerGain,
  0
))</f>
        <v>0</v>
      </c>
      <c r="AP14" s="335" t="str">
        <f>IF(DATEDIF(L14,Reference!$B$28,"Y")&gt;=1,"Part II Box D","Part I Box A")</f>
        <v>Part II Box D</v>
      </c>
      <c r="AQ14" s="336">
        <f t="shared" si="15"/>
        <v>42582</v>
      </c>
      <c r="AR14" s="337">
        <f t="shared" si="16"/>
        <v>0</v>
      </c>
      <c r="AS14" s="337">
        <f>LET(
cashReceived,AA14, 
avgoQty,AI14, 
proceedsStyle,Reference!$E$9, 
avgoFMV,Reference!$B$18, 
SWITCH(proceedsStyle, "combined", cashReceived +(avgoQty*avgoFMV), "cashOnly", cashReceived))</f>
        <v>0</v>
      </c>
      <c r="AT14" s="338">
        <f t="shared" si="17"/>
        <v>0</v>
      </c>
      <c r="AU14" s="338" t="str">
        <f t="shared" si="18"/>
        <v/>
      </c>
      <c r="AV14" s="337">
        <f>LET(
numVmwShares,D14, 
vmwBasis, AD14, 
avgoQty,AI14, 
avgoFMV,Reference!$B$18, 
cashReceived,AA14, 
avgoTotalValue, avgoFMV*avgoQty, 
vmwTotalBasis, vmwBasis*numVmwShares,
alternateGainAmount,AJ14, 
basis1099B, AT14,
basis1099B - IF(cashReceived&lt;alternateGainAmount,
  avgoTotalValue,
  vmwTotalBasis
))</f>
        <v>0</v>
      </c>
      <c r="AW14" s="339">
        <f t="shared" si="19"/>
        <v>0</v>
      </c>
      <c r="AX14" s="327" t="str">
        <f t="shared" si="20"/>
        <v>n/a</v>
      </c>
      <c r="AY14" s="327" t="str">
        <f t="shared" si="21"/>
        <v>n/a</v>
      </c>
      <c r="AZ14" s="328">
        <f>LET(saleFMV,Reference!$B$10, postMergerBasis,AY14, avgoQty,AI14, lotFractionAmount,AK14, iferror((saleFMV - postMergerBasis) * (avgoQty - lotFractionAmount), 0))</f>
        <v>0</v>
      </c>
      <c r="BA14" s="329" t="b">
        <f>LET(grantDate,B14, postMergerSaleDate,Reference!$B$29, purchaseBeginDate,A16, AND(DATEDIF(grantDate,postMergerSaleDate,"Y")&gt;=1, DATEDIF(purchaseBeginDate, postMergerSaleDate, "Y")&gt;=2))</f>
        <v>1</v>
      </c>
      <c r="BB14" s="328">
        <f>LET(
vmwBasis,AD14,
numVmwShares,D14,
cashReceived,AA14,
gainRecognized,AM14,
pureAvgoBasis,IFERROR((vmwBasis - (cashReceived + gainRecognized)/numVmwShares),0),
isQualified,BA14,
saleFMV,Reference!$B$10,
actualPrice,L14,
purchaseDateFMV,F14,
grantDateFMV,E14,
gainFromSale,(saleFMV - pureAvgoBasis),
disqualifiedIncome,(purchaseDateFMV - actualPrice),
qualifiedIncome,MIN(
   gainFromSale,
   (0.15 * grantDateFMV)),
income,IF(isQualified,
   qualifiedIncome,
   disqualifiedIncome),
numVmwShares * income)</f>
        <v>0</v>
      </c>
      <c r="BC14" s="330">
        <f>LET(
avgoQty,AI14, 
purchaseDate,C14,
postMergerSaleDate,Reference!$B$29,
saleFMV,Reference!$B$10,
postMergerBasis,AY14, 
IF(DATEDIF(purchaseDate,postMergerSaleDate,"Y")&gt;=1,
  0,
  avgoQty * (saleFMV - postMergerBasis)
))</f>
        <v>0</v>
      </c>
      <c r="BD14" s="331">
        <f>LET(
avgoQty,AI14, 
purchaseDate,C14,
postMergerSaleDate,Reference!$B$29,
saleFMV,Reference!$B$10,
postMergerBasis,AY14, 
IFERROR(IF(DATEDIF(purchaseDate,postMergerSaleDate,"Y")&gt;=1,
  avgoQty * (saleFMV - postMergerBasis),
  0
),0))</f>
        <v>0</v>
      </c>
    </row>
    <row r="15">
      <c r="A15" s="299">
        <f t="shared" si="6"/>
        <v>42401</v>
      </c>
      <c r="B15" s="300">
        <v>42401.0</v>
      </c>
      <c r="C15" s="301">
        <v>42766.0</v>
      </c>
      <c r="D15" s="332"/>
      <c r="E15" s="303">
        <v>45.49</v>
      </c>
      <c r="F15" s="303">
        <v>87.54</v>
      </c>
      <c r="G15" s="306"/>
      <c r="H15" s="305">
        <f t="shared" si="7"/>
        <v>0</v>
      </c>
      <c r="I15" s="303">
        <f t="shared" si="23"/>
        <v>0</v>
      </c>
      <c r="J15" s="305">
        <f t="shared" si="8"/>
        <v>0</v>
      </c>
      <c r="K15" s="305">
        <f t="shared" si="9"/>
        <v>0</v>
      </c>
      <c r="L15" s="344">
        <f t="shared" si="25"/>
        <v>38.67</v>
      </c>
      <c r="M15" s="341"/>
      <c r="N15" s="342" t="b">
        <v>0</v>
      </c>
      <c r="O15" s="343"/>
      <c r="P15" s="311">
        <v>0.0</v>
      </c>
      <c r="Q15" s="311">
        <v>0.0</v>
      </c>
      <c r="R15" s="311">
        <v>0.0</v>
      </c>
      <c r="S15" s="311">
        <v>0.0</v>
      </c>
      <c r="T15" s="312">
        <v>0.0</v>
      </c>
      <c r="U15" s="313">
        <f t="shared" si="11"/>
        <v>0</v>
      </c>
      <c r="V15" s="313" t="str">
        <f>SWITCH(W15,"cash",Reference!$E$5,"shares",Reference!$E$6,"balance",Reference!$E$7,"pro-rata",Reference!$B$5)</f>
        <v>#DIV/0!</v>
      </c>
      <c r="W15" s="314" t="s">
        <v>205</v>
      </c>
      <c r="X15" s="315">
        <f>LET(numVmwShares,D15, cashRatio,Reference!$B$4, vmwFinalPrice,Reference!$B$3, numVmwShares * cashRatio * vmwFinalPrice)</f>
        <v>0</v>
      </c>
      <c r="Y15" s="315">
        <f>iferror(LET(numVmwShares,$D15, stockRatio,U15, vmwFinalPrice,Reference!$B$3, (1 - stockRatio) * vmwFinalPrice * numVmwShares),0)</f>
        <v>0</v>
      </c>
      <c r="Z15" s="315">
        <f>iferror(LET(numVmwShares,$D15, stockRatio,V15, vmwFinalPrice,Reference!$B$3, (1 - stockRatio) * vmwFinalPrice * numVmwShares),0)</f>
        <v>0</v>
      </c>
      <c r="AA15" s="315">
        <f>SWITCH(Reference!$E$4,"eTradeTransactionLog", X15, "eTradeHoldingRatio", X15, "eTradeLotQtyRatio",Y15, "manualLotRatio", Z15)</f>
        <v>0</v>
      </c>
      <c r="AB15" s="305">
        <f>LET(purchaseDate,C15, dateOfRecord,Reference!$B$26, returnOfCapital,Reference!$C$26, IF(purchaseDate &lt; dateOfRecord, returnOfCapital,0))</f>
        <v>10.18</v>
      </c>
      <c r="AC15" s="305">
        <f>LET(purchaseDate,C15, dateOfRecord,Reference!$B$27, returnOfCapital,Reference!$C$27, IF(purchaseDate &lt; dateOfRecord, returnOfCapital,0))</f>
        <v>16.58</v>
      </c>
      <c r="AD15" s="305">
        <f t="shared" si="12"/>
        <v>11.91</v>
      </c>
      <c r="AE15" s="305">
        <f t="shared" si="13"/>
        <v>0</v>
      </c>
      <c r="AF15" s="316">
        <f>LET(numVmwShares,D15, stockRatio,Reference!$B$5, vmwToAvgoRatio,Reference!$B$6, numVmwShares * stockRatio * vmwToAvgoRatio)</f>
        <v>0</v>
      </c>
      <c r="AG15" s="316">
        <f>LET(numVmwShares,D15, stockRatio,U15, vmwToAvgoRatio,Reference!$B$6, numVmwShares * stockRatio * vmwToAvgoRatio)</f>
        <v>0</v>
      </c>
      <c r="AH15" s="316" t="str">
        <f>LET(numVmwShares,D15, stockRatio,V15, vmwToAvgoRatio,Reference!$B$6, numVmwShares * stockRatio * vmwToAvgoRatio)</f>
        <v>#DIV/0!</v>
      </c>
      <c r="AI15" s="316">
        <f>SWITCH(Reference!$E$4,"eTradeTransactionLog", AF15, "eTradeHoldingRatio", AF15, "eTradeLotQtyRatio",AG15, "manualLotRatio", AH15)</f>
        <v>0</v>
      </c>
      <c r="AJ15" s="317">
        <f>LET(numVmwShares,D15, vmwBasis,AD15, avgoQty,AI15, avgoFMV,Reference!$B$18, cashReceived,AA15, gain,cashReceived+(avgoQty*avgoFMV)-(numVmwShares*vmwBasis),
MAX(gain,0))</f>
        <v>0</v>
      </c>
      <c r="AK15" s="318">
        <f>LET(useForFraction,N15, fractionAmount,Summary!$C$41, esppFractionLots,$N$5, rsuFractionLots,RSU!J$5, IF(useForFraction, fractionAmount / (esppFractionLots+rsuFractionLots), 0))</f>
        <v>0</v>
      </c>
      <c r="AL15" s="319">
        <f>LET(useForFraction,N15, fractionSaleFMV,Reference!$B$23, postMergerBasis,AY15, lotFractionAmount,AK15, IF(useForFraction, (fractionSaleFMV - postMergerBasis)*lotFractionAmount, 0))</f>
        <v>0</v>
      </c>
      <c r="AM15" s="320">
        <f t="shared" si="14"/>
        <v>0</v>
      </c>
      <c r="AN15" s="321">
        <f>LET(
imputedIncome,BB15,
avgoQty,AI15, 
perAvgoIncome, iferror(imputedIncome/avgoQty,0),
purchaseDate,C15,
mergerDate,Reference!$B$28,
lotFractionAmount,AK15,
lotFractionGain,AL15,
mergerGain,AM15,
shortTermGain,IF(DATEDIF(purchaseDate,mergerDate,"Y")&gt;=1,
  0,
  lotFractionGain + mergerGain
),
incomeOnFraction,perAvgoIncome*lotFractionAmount, 
shortTermGain + incomeOnFraction + IF(avgoQty=0,imputedIncome-incomeOnFraction,0))</f>
        <v>0</v>
      </c>
      <c r="AO15" s="321">
        <f>LET(
purchaseDate,C15,
mergerDate,Reference!$B$28,
lotFractionGain,AL15,
mergerGain,AM15,
IF(DATEDIF(purchaseDate,mergerDate,"Y")&gt;=1,
  lotFractionGain+mergerGain,
  0
))</f>
        <v>0</v>
      </c>
      <c r="AP15" s="335" t="str">
        <f>IF(DATEDIF(L15,Reference!$B$28,"Y")&gt;=1,"Part II Box D","Part I Box A")</f>
        <v>Part II Box D</v>
      </c>
      <c r="AQ15" s="336">
        <f t="shared" si="15"/>
        <v>42766</v>
      </c>
      <c r="AR15" s="337">
        <f t="shared" si="16"/>
        <v>0</v>
      </c>
      <c r="AS15" s="337">
        <f>LET(
cashReceived,AA15, 
avgoQty,AI15, 
proceedsStyle,Reference!$E$9, 
avgoFMV,Reference!$B$18, 
SWITCH(proceedsStyle, "combined", cashReceived +(avgoQty*avgoFMV), "cashOnly", cashReceived))</f>
        <v>0</v>
      </c>
      <c r="AT15" s="338">
        <f t="shared" si="17"/>
        <v>0</v>
      </c>
      <c r="AU15" s="338" t="str">
        <f t="shared" si="18"/>
        <v/>
      </c>
      <c r="AV15" s="337">
        <f>LET(
numVmwShares,D15, 
vmwBasis, AD15, 
avgoQty,AI15, 
avgoFMV,Reference!$B$18, 
cashReceived,AA15, 
avgoTotalValue, avgoFMV*avgoQty, 
vmwTotalBasis, vmwBasis*numVmwShares,
alternateGainAmount,AJ15, 
basis1099B, AT15,
basis1099B - IF(cashReceived&lt;alternateGainAmount,
  avgoTotalValue,
  vmwTotalBasis
))</f>
        <v>0</v>
      </c>
      <c r="AW15" s="339">
        <f t="shared" si="19"/>
        <v>0</v>
      </c>
      <c r="AX15" s="327" t="str">
        <f t="shared" si="20"/>
        <v>n/a</v>
      </c>
      <c r="AY15" s="327" t="str">
        <f t="shared" si="21"/>
        <v>n/a</v>
      </c>
      <c r="AZ15" s="328">
        <f>LET(saleFMV,Reference!$B$10, postMergerBasis,AY15, avgoQty,AI15, lotFractionAmount,AK15, iferror((saleFMV - postMergerBasis) * (avgoQty - lotFractionAmount), 0))</f>
        <v>0</v>
      </c>
      <c r="BA15" s="329" t="b">
        <f>LET(grantDate,B15, postMergerSaleDate,Reference!$B$29, purchaseBeginDate,A17, AND(DATEDIF(grantDate,postMergerSaleDate,"Y")&gt;=1, DATEDIF(purchaseBeginDate, postMergerSaleDate, "Y")&gt;=2))</f>
        <v>1</v>
      </c>
      <c r="BB15" s="328">
        <f>LET(
vmwBasis,AD15,
numVmwShares,D15,
cashReceived,AA15,
gainRecognized,AM15,
pureAvgoBasis,IFERROR((vmwBasis - (cashReceived + gainRecognized)/numVmwShares),0),
isQualified,BA15,
saleFMV,Reference!$B$10,
actualPrice,L15,
purchaseDateFMV,F15,
grantDateFMV,E15,
gainFromSale,(saleFMV - pureAvgoBasis),
disqualifiedIncome,(purchaseDateFMV - actualPrice),
qualifiedIncome,MIN(
   gainFromSale,
   (0.15 * grantDateFMV)),
income,IF(isQualified,
   qualifiedIncome,
   disqualifiedIncome),
numVmwShares * income)</f>
        <v>0</v>
      </c>
      <c r="BC15" s="330">
        <f>LET(
avgoQty,AI15, 
purchaseDate,C15,
postMergerSaleDate,Reference!$B$29,
saleFMV,Reference!$B$10,
postMergerBasis,AY15, 
IF(DATEDIF(purchaseDate,postMergerSaleDate,"Y")&gt;=1,
  0,
  avgoQty * (saleFMV - postMergerBasis)
))</f>
        <v>0</v>
      </c>
      <c r="BD15" s="331">
        <f>LET(
avgoQty,AI15, 
purchaseDate,C15,
postMergerSaleDate,Reference!$B$29,
saleFMV,Reference!$B$10,
postMergerBasis,AY15, 
IFERROR(IF(DATEDIF(purchaseDate,postMergerSaleDate,"Y")&gt;=1,
  avgoQty * (saleFMV - postMergerBasis),
  0
),0))</f>
        <v>0</v>
      </c>
    </row>
    <row r="16">
      <c r="A16" s="299">
        <f t="shared" si="6"/>
        <v>42767</v>
      </c>
      <c r="B16" s="300">
        <v>42767.0</v>
      </c>
      <c r="C16" s="301">
        <v>42947.0</v>
      </c>
      <c r="D16" s="332"/>
      <c r="E16" s="303">
        <v>87.19</v>
      </c>
      <c r="F16" s="303">
        <v>92.71</v>
      </c>
      <c r="G16" s="306"/>
      <c r="H16" s="305">
        <f t="shared" si="7"/>
        <v>0</v>
      </c>
      <c r="I16" s="303">
        <f t="shared" si="23"/>
        <v>0</v>
      </c>
      <c r="J16" s="305">
        <f t="shared" si="8"/>
        <v>0</v>
      </c>
      <c r="K16" s="305">
        <f t="shared" si="9"/>
        <v>0</v>
      </c>
      <c r="L16" s="344">
        <f t="shared" si="25"/>
        <v>74.11</v>
      </c>
      <c r="M16" s="333"/>
      <c r="N16" s="342" t="b">
        <v>0</v>
      </c>
      <c r="O16" s="343"/>
      <c r="P16" s="311">
        <v>0.0</v>
      </c>
      <c r="Q16" s="311">
        <v>0.0</v>
      </c>
      <c r="R16" s="311">
        <v>0.0</v>
      </c>
      <c r="S16" s="311">
        <v>0.0</v>
      </c>
      <c r="T16" s="312">
        <v>0.0</v>
      </c>
      <c r="U16" s="313">
        <f t="shared" si="11"/>
        <v>0</v>
      </c>
      <c r="V16" s="313" t="str">
        <f>SWITCH(W16,"cash",Reference!$E$5,"shares",Reference!$E$6,"balance",Reference!$E$7,"pro-rata",Reference!$B$5)</f>
        <v>#DIV/0!</v>
      </c>
      <c r="W16" s="314" t="s">
        <v>205</v>
      </c>
      <c r="X16" s="315">
        <f>LET(numVmwShares,D16, cashRatio,Reference!$B$4, vmwFinalPrice,Reference!$B$3, numVmwShares * cashRatio * vmwFinalPrice)</f>
        <v>0</v>
      </c>
      <c r="Y16" s="315">
        <f>iferror(LET(numVmwShares,$D16, stockRatio,U16, vmwFinalPrice,Reference!$B$3, (1 - stockRatio) * vmwFinalPrice * numVmwShares),0)</f>
        <v>0</v>
      </c>
      <c r="Z16" s="315">
        <f>iferror(LET(numVmwShares,$D16, stockRatio,V16, vmwFinalPrice,Reference!$B$3, (1 - stockRatio) * vmwFinalPrice * numVmwShares),0)</f>
        <v>0</v>
      </c>
      <c r="AA16" s="315">
        <f>SWITCH(Reference!$E$4,"eTradeTransactionLog", X16, "eTradeHoldingRatio", X16, "eTradeLotQtyRatio",Y16, "manualLotRatio", Z16)</f>
        <v>0</v>
      </c>
      <c r="AB16" s="305">
        <f>LET(purchaseDate,C16, dateOfRecord,Reference!$B$26, returnOfCapital,Reference!$C$26, IF(purchaseDate &lt; dateOfRecord, returnOfCapital,0))</f>
        <v>10.18</v>
      </c>
      <c r="AC16" s="305">
        <f>LET(purchaseDate,C16, dateOfRecord,Reference!$B$27, returnOfCapital,Reference!$C$27, IF(purchaseDate &lt; dateOfRecord, returnOfCapital,0))</f>
        <v>16.58</v>
      </c>
      <c r="AD16" s="305">
        <f t="shared" si="12"/>
        <v>47.35</v>
      </c>
      <c r="AE16" s="305">
        <f t="shared" si="13"/>
        <v>0</v>
      </c>
      <c r="AF16" s="316">
        <f>LET(numVmwShares,D16, stockRatio,Reference!$B$5, vmwToAvgoRatio,Reference!$B$6, numVmwShares * stockRatio * vmwToAvgoRatio)</f>
        <v>0</v>
      </c>
      <c r="AG16" s="316">
        <f>LET(numVmwShares,D16, stockRatio,U16, vmwToAvgoRatio,Reference!$B$6, numVmwShares * stockRatio * vmwToAvgoRatio)</f>
        <v>0</v>
      </c>
      <c r="AH16" s="316" t="str">
        <f>LET(numVmwShares,D16, stockRatio,V16, vmwToAvgoRatio,Reference!$B$6, numVmwShares * stockRatio * vmwToAvgoRatio)</f>
        <v>#DIV/0!</v>
      </c>
      <c r="AI16" s="316">
        <f>SWITCH(Reference!$E$4,"eTradeTransactionLog", AF16, "eTradeHoldingRatio", AF16, "eTradeLotQtyRatio",AG16, "manualLotRatio", AH16)</f>
        <v>0</v>
      </c>
      <c r="AJ16" s="317">
        <f>LET(numVmwShares,D16, vmwBasis,AD16, avgoQty,AI16, avgoFMV,Reference!$B$18, cashReceived,AA16, gain,cashReceived+(avgoQty*avgoFMV)-(numVmwShares*vmwBasis),
MAX(gain,0))</f>
        <v>0</v>
      </c>
      <c r="AK16" s="318">
        <f>LET(useForFraction,N16, fractionAmount,Summary!$C$41, esppFractionLots,$N$5, rsuFractionLots,RSU!J$5, IF(useForFraction, fractionAmount / (esppFractionLots+rsuFractionLots), 0))</f>
        <v>0</v>
      </c>
      <c r="AL16" s="319">
        <f>LET(useForFraction,N16, fractionSaleFMV,Reference!$B$23, postMergerBasis,AY16, lotFractionAmount,AK16, IF(useForFraction, (fractionSaleFMV - postMergerBasis)*lotFractionAmount, 0))</f>
        <v>0</v>
      </c>
      <c r="AM16" s="320">
        <f t="shared" si="14"/>
        <v>0</v>
      </c>
      <c r="AN16" s="321">
        <f>LET(
imputedIncome,BB16,
avgoQty,AI16, 
perAvgoIncome, iferror(imputedIncome/avgoQty,0),
purchaseDate,C16,
mergerDate,Reference!$B$28,
lotFractionAmount,AK16,
lotFractionGain,AL16,
mergerGain,AM16,
shortTermGain,IF(DATEDIF(purchaseDate,mergerDate,"Y")&gt;=1,
  0,
  lotFractionGain + mergerGain
),
incomeOnFraction,perAvgoIncome*lotFractionAmount, 
shortTermGain + incomeOnFraction + IF(avgoQty=0,imputedIncome-incomeOnFraction,0))</f>
        <v>0</v>
      </c>
      <c r="AO16" s="321">
        <f>LET(
purchaseDate,C16,
mergerDate,Reference!$B$28,
lotFractionGain,AL16,
mergerGain,AM16,
IF(DATEDIF(purchaseDate,mergerDate,"Y")&gt;=1,
  lotFractionGain+mergerGain,
  0
))</f>
        <v>0</v>
      </c>
      <c r="AP16" s="335" t="str">
        <f>IF(DATEDIF(L16,Reference!$B$28,"Y")&gt;=1,"Part II Box D","Part I Box A")</f>
        <v>Part II Box D</v>
      </c>
      <c r="AQ16" s="336">
        <f t="shared" si="15"/>
        <v>42947</v>
      </c>
      <c r="AR16" s="337">
        <f t="shared" si="16"/>
        <v>0</v>
      </c>
      <c r="AS16" s="337">
        <f>LET(
cashReceived,AA16, 
avgoQty,AI16, 
proceedsStyle,Reference!$E$9, 
avgoFMV,Reference!$B$18, 
SWITCH(proceedsStyle, "combined", cashReceived +(avgoQty*avgoFMV), "cashOnly", cashReceived))</f>
        <v>0</v>
      </c>
      <c r="AT16" s="338">
        <f t="shared" si="17"/>
        <v>0</v>
      </c>
      <c r="AU16" s="338" t="str">
        <f t="shared" si="18"/>
        <v/>
      </c>
      <c r="AV16" s="337">
        <f>LET(
numVmwShares,D16, 
vmwBasis, AD16, 
avgoQty,AI16, 
avgoFMV,Reference!$B$18, 
cashReceived,AA16, 
avgoTotalValue, avgoFMV*avgoQty, 
vmwTotalBasis, vmwBasis*numVmwShares,
alternateGainAmount,AJ16, 
basis1099B, AT16,
basis1099B - IF(cashReceived&lt;alternateGainAmount,
  avgoTotalValue,
  vmwTotalBasis
))</f>
        <v>0</v>
      </c>
      <c r="AW16" s="339">
        <f t="shared" si="19"/>
        <v>0</v>
      </c>
      <c r="AX16" s="327" t="str">
        <f t="shared" si="20"/>
        <v>n/a</v>
      </c>
      <c r="AY16" s="327" t="str">
        <f t="shared" si="21"/>
        <v>n/a</v>
      </c>
      <c r="AZ16" s="328">
        <f>LET(saleFMV,Reference!$B$10, postMergerBasis,AY16, avgoQty,AI16, lotFractionAmount,AK16, iferror((saleFMV - postMergerBasis) * (avgoQty - lotFractionAmount), 0))</f>
        <v>0</v>
      </c>
      <c r="BA16" s="329" t="b">
        <f>LET(grantDate,B16, postMergerSaleDate,Reference!$B$29, purchaseBeginDate,A18, AND(DATEDIF(grantDate,postMergerSaleDate,"Y")&gt;=1, DATEDIF(purchaseBeginDate, postMergerSaleDate, "Y")&gt;=2))</f>
        <v>1</v>
      </c>
      <c r="BB16" s="328">
        <f>LET(
vmwBasis,AD16,
numVmwShares,D16,
cashReceived,AA16,
gainRecognized,AM16,
pureAvgoBasis,IFERROR((vmwBasis - (cashReceived + gainRecognized)/numVmwShares),0),
isQualified,BA16,
saleFMV,Reference!$B$10,
actualPrice,L16,
purchaseDateFMV,F16,
grantDateFMV,E16,
gainFromSale,(saleFMV - pureAvgoBasis),
disqualifiedIncome,(purchaseDateFMV - actualPrice),
qualifiedIncome,MIN(
   gainFromSale,
   (0.15 * grantDateFMV)),
income,IF(isQualified,
   qualifiedIncome,
   disqualifiedIncome),
numVmwShares * income)</f>
        <v>0</v>
      </c>
      <c r="BC16" s="330">
        <f>LET(
avgoQty,AI16, 
purchaseDate,C16,
postMergerSaleDate,Reference!$B$29,
saleFMV,Reference!$B$10,
postMergerBasis,AY16, 
IF(DATEDIF(purchaseDate,postMergerSaleDate,"Y")&gt;=1,
  0,
  avgoQty * (saleFMV - postMergerBasis)
))</f>
        <v>0</v>
      </c>
      <c r="BD16" s="331">
        <f>LET(
avgoQty,AI16, 
purchaseDate,C16,
postMergerSaleDate,Reference!$B$29,
saleFMV,Reference!$B$10,
postMergerBasis,AY16, 
IFERROR(IF(DATEDIF(purchaseDate,postMergerSaleDate,"Y")&gt;=1,
  avgoQty * (saleFMV - postMergerBasis),
  0
),0))</f>
        <v>0</v>
      </c>
    </row>
    <row r="17">
      <c r="A17" s="299">
        <f t="shared" si="6"/>
        <v>42767</v>
      </c>
      <c r="B17" s="300">
        <v>42767.0</v>
      </c>
      <c r="C17" s="301">
        <v>43159.0</v>
      </c>
      <c r="D17" s="332"/>
      <c r="E17" s="303">
        <v>87.19</v>
      </c>
      <c r="F17" s="303">
        <v>131.75</v>
      </c>
      <c r="G17" s="306"/>
      <c r="H17" s="305">
        <f t="shared" si="7"/>
        <v>0</v>
      </c>
      <c r="I17" s="303">
        <f t="shared" si="23"/>
        <v>0</v>
      </c>
      <c r="J17" s="305">
        <f t="shared" si="8"/>
        <v>0</v>
      </c>
      <c r="K17" s="305">
        <f t="shared" si="9"/>
        <v>0</v>
      </c>
      <c r="L17" s="344">
        <f t="shared" si="25"/>
        <v>74.11</v>
      </c>
      <c r="M17" s="333"/>
      <c r="N17" s="342" t="b">
        <v>0</v>
      </c>
      <c r="O17" s="343"/>
      <c r="P17" s="311">
        <v>0.0</v>
      </c>
      <c r="Q17" s="311">
        <v>0.0</v>
      </c>
      <c r="R17" s="311">
        <v>0.0</v>
      </c>
      <c r="S17" s="311">
        <v>0.0</v>
      </c>
      <c r="T17" s="312">
        <v>0.0</v>
      </c>
      <c r="U17" s="313">
        <f t="shared" si="11"/>
        <v>0</v>
      </c>
      <c r="V17" s="313" t="str">
        <f>SWITCH(W17,"cash",Reference!$E$5,"shares",Reference!$E$6,"balance",Reference!$E$7,"pro-rata",Reference!$B$5)</f>
        <v>#DIV/0!</v>
      </c>
      <c r="W17" s="314" t="s">
        <v>205</v>
      </c>
      <c r="X17" s="315">
        <f>LET(numVmwShares,D17, cashRatio,Reference!$B$4, vmwFinalPrice,Reference!$B$3, numVmwShares * cashRatio * vmwFinalPrice)</f>
        <v>0</v>
      </c>
      <c r="Y17" s="315">
        <f>iferror(LET(numVmwShares,$D17, stockRatio,U17, vmwFinalPrice,Reference!$B$3, (1 - stockRatio) * vmwFinalPrice * numVmwShares),0)</f>
        <v>0</v>
      </c>
      <c r="Z17" s="315">
        <f>iferror(LET(numVmwShares,$D17, stockRatio,V17, vmwFinalPrice,Reference!$B$3, (1 - stockRatio) * vmwFinalPrice * numVmwShares),0)</f>
        <v>0</v>
      </c>
      <c r="AA17" s="315">
        <f>SWITCH(Reference!$E$4,"eTradeTransactionLog", X17, "eTradeHoldingRatio", X17, "eTradeLotQtyRatio",Y17, "manualLotRatio", Z17)</f>
        <v>0</v>
      </c>
      <c r="AB17" s="305">
        <f>LET(purchaseDate,C17, dateOfRecord,Reference!$B$26, returnOfCapital,Reference!$C$26, IF(purchaseDate &lt; dateOfRecord, returnOfCapital,0))</f>
        <v>10.18</v>
      </c>
      <c r="AC17" s="305">
        <f>LET(purchaseDate,C17, dateOfRecord,Reference!$B$27, returnOfCapital,Reference!$C$27, IF(purchaseDate &lt; dateOfRecord, returnOfCapital,0))</f>
        <v>16.58</v>
      </c>
      <c r="AD17" s="305">
        <f t="shared" si="12"/>
        <v>47.35</v>
      </c>
      <c r="AE17" s="305">
        <f t="shared" si="13"/>
        <v>0</v>
      </c>
      <c r="AF17" s="316">
        <f>LET(numVmwShares,D17, stockRatio,Reference!$B$5, vmwToAvgoRatio,Reference!$B$6, numVmwShares * stockRatio * vmwToAvgoRatio)</f>
        <v>0</v>
      </c>
      <c r="AG17" s="316">
        <f>LET(numVmwShares,D17, stockRatio,U17, vmwToAvgoRatio,Reference!$B$6, numVmwShares * stockRatio * vmwToAvgoRatio)</f>
        <v>0</v>
      </c>
      <c r="AH17" s="316" t="str">
        <f>LET(numVmwShares,D17, stockRatio,V17, vmwToAvgoRatio,Reference!$B$6, numVmwShares * stockRatio * vmwToAvgoRatio)</f>
        <v>#DIV/0!</v>
      </c>
      <c r="AI17" s="316">
        <f>SWITCH(Reference!$E$4,"eTradeTransactionLog", AF17, "eTradeHoldingRatio", AF17, "eTradeLotQtyRatio",AG17, "manualLotRatio", AH17)</f>
        <v>0</v>
      </c>
      <c r="AJ17" s="317">
        <f>LET(numVmwShares,D17, vmwBasis,AD17, avgoQty,AI17, avgoFMV,Reference!$B$18, cashReceived,AA17, gain,cashReceived+(avgoQty*avgoFMV)-(numVmwShares*vmwBasis),
MAX(gain,0))</f>
        <v>0</v>
      </c>
      <c r="AK17" s="318">
        <f>LET(useForFraction,N17, fractionAmount,Summary!$C$41, esppFractionLots,$N$5, rsuFractionLots,RSU!J$5, IF(useForFraction, fractionAmount / (esppFractionLots+rsuFractionLots), 0))</f>
        <v>0</v>
      </c>
      <c r="AL17" s="319">
        <f>LET(useForFraction,N17, fractionSaleFMV,Reference!$B$23, postMergerBasis,AY17, lotFractionAmount,AK17, IF(useForFraction, (fractionSaleFMV - postMergerBasis)*lotFractionAmount, 0))</f>
        <v>0</v>
      </c>
      <c r="AM17" s="320">
        <f t="shared" si="14"/>
        <v>0</v>
      </c>
      <c r="AN17" s="321">
        <f>LET(
imputedIncome,BB17,
avgoQty,AI17, 
perAvgoIncome, iferror(imputedIncome/avgoQty,0),
purchaseDate,C17,
mergerDate,Reference!$B$28,
lotFractionAmount,AK17,
lotFractionGain,AL17,
mergerGain,AM17,
shortTermGain,IF(DATEDIF(purchaseDate,mergerDate,"Y")&gt;=1,
  0,
  lotFractionGain + mergerGain
),
incomeOnFraction,perAvgoIncome*lotFractionAmount, 
shortTermGain + incomeOnFraction + IF(avgoQty=0,imputedIncome-incomeOnFraction,0))</f>
        <v>0</v>
      </c>
      <c r="AO17" s="321">
        <f>LET(
purchaseDate,C17,
mergerDate,Reference!$B$28,
lotFractionGain,AL17,
mergerGain,AM17,
IF(DATEDIF(purchaseDate,mergerDate,"Y")&gt;=1,
  lotFractionGain+mergerGain,
  0
))</f>
        <v>0</v>
      </c>
      <c r="AP17" s="335" t="str">
        <f>IF(DATEDIF(L17,Reference!$B$28,"Y")&gt;=1,"Part II Box D","Part I Box A")</f>
        <v>Part II Box D</v>
      </c>
      <c r="AQ17" s="336">
        <f t="shared" si="15"/>
        <v>43159</v>
      </c>
      <c r="AR17" s="337">
        <f t="shared" si="16"/>
        <v>0</v>
      </c>
      <c r="AS17" s="337">
        <f>LET(
cashReceived,AA17, 
avgoQty,AI17, 
proceedsStyle,Reference!$E$9, 
avgoFMV,Reference!$B$18, 
SWITCH(proceedsStyle, "combined", cashReceived +(avgoQty*avgoFMV), "cashOnly", cashReceived))</f>
        <v>0</v>
      </c>
      <c r="AT17" s="338">
        <f t="shared" si="17"/>
        <v>0</v>
      </c>
      <c r="AU17" s="338" t="str">
        <f t="shared" si="18"/>
        <v/>
      </c>
      <c r="AV17" s="337">
        <f>LET(
numVmwShares,D17, 
vmwBasis, AD17, 
avgoQty,AI17, 
avgoFMV,Reference!$B$18, 
cashReceived,AA17, 
avgoTotalValue, avgoFMV*avgoQty, 
vmwTotalBasis, vmwBasis*numVmwShares,
alternateGainAmount,AJ17, 
basis1099B, AT17,
basis1099B - IF(cashReceived&lt;alternateGainAmount,
  avgoTotalValue,
  vmwTotalBasis
))</f>
        <v>0</v>
      </c>
      <c r="AW17" s="339">
        <f t="shared" si="19"/>
        <v>0</v>
      </c>
      <c r="AX17" s="327" t="str">
        <f t="shared" si="20"/>
        <v>n/a</v>
      </c>
      <c r="AY17" s="327" t="str">
        <f t="shared" si="21"/>
        <v>n/a</v>
      </c>
      <c r="AZ17" s="328">
        <f>LET(saleFMV,Reference!$B$10, postMergerBasis,AY17, avgoQty,AI17, lotFractionAmount,AK17, iferror((saleFMV - postMergerBasis) * (avgoQty - lotFractionAmount), 0))</f>
        <v>0</v>
      </c>
      <c r="BA17" s="329" t="b">
        <f>LET(grantDate,B17, postMergerSaleDate,Reference!$B$29, purchaseBeginDate,A19, AND(DATEDIF(grantDate,postMergerSaleDate,"Y")&gt;=1, DATEDIF(purchaseBeginDate, postMergerSaleDate, "Y")&gt;=2))</f>
        <v>1</v>
      </c>
      <c r="BB17" s="328">
        <f>LET(
vmwBasis,AD17,
numVmwShares,D17,
cashReceived,AA17,
gainRecognized,AM17,
pureAvgoBasis,IFERROR((vmwBasis - (cashReceived + gainRecognized)/numVmwShares),0),
isQualified,BA17,
saleFMV,Reference!$B$10,
actualPrice,L17,
purchaseDateFMV,F17,
grantDateFMV,E17,
gainFromSale,(saleFMV - pureAvgoBasis),
disqualifiedIncome,(purchaseDateFMV - actualPrice),
qualifiedIncome,MIN(
   gainFromSale,
   (0.15 * grantDateFMV)),
income,IF(isQualified,
   qualifiedIncome,
   disqualifiedIncome),
numVmwShares * income)</f>
        <v>0</v>
      </c>
      <c r="BC17" s="330">
        <f>LET(
avgoQty,AI17, 
purchaseDate,C17,
postMergerSaleDate,Reference!$B$29,
saleFMV,Reference!$B$10,
postMergerBasis,AY17, 
IF(DATEDIF(purchaseDate,postMergerSaleDate,"Y")&gt;=1,
  0,
  avgoQty * (saleFMV - postMergerBasis)
))</f>
        <v>0</v>
      </c>
      <c r="BD17" s="331">
        <f>LET(
avgoQty,AI17, 
purchaseDate,C17,
postMergerSaleDate,Reference!$B$29,
saleFMV,Reference!$B$10,
postMergerBasis,AY17, 
IFERROR(IF(DATEDIF(purchaseDate,postMergerSaleDate,"Y")&gt;=1,
  avgoQty * (saleFMV - postMergerBasis),
  0
),0))</f>
        <v>0</v>
      </c>
    </row>
    <row r="18">
      <c r="A18" s="299">
        <f t="shared" si="6"/>
        <v>43160</v>
      </c>
      <c r="B18" s="300">
        <v>43160.0</v>
      </c>
      <c r="C18" s="301">
        <v>43343.0</v>
      </c>
      <c r="D18" s="332"/>
      <c r="E18" s="303">
        <v>123.66</v>
      </c>
      <c r="F18" s="303">
        <v>153.26</v>
      </c>
      <c r="G18" s="306"/>
      <c r="H18" s="305">
        <f t="shared" si="7"/>
        <v>0</v>
      </c>
      <c r="I18" s="303">
        <f t="shared" si="23"/>
        <v>0</v>
      </c>
      <c r="J18" s="305">
        <f t="shared" si="8"/>
        <v>0</v>
      </c>
      <c r="K18" s="305">
        <f t="shared" si="9"/>
        <v>0</v>
      </c>
      <c r="L18" s="344">
        <f t="shared" si="25"/>
        <v>105.11</v>
      </c>
      <c r="M18" s="333"/>
      <c r="N18" s="342" t="b">
        <v>0</v>
      </c>
      <c r="O18" s="343"/>
      <c r="P18" s="311">
        <v>0.0</v>
      </c>
      <c r="Q18" s="311">
        <v>0.0</v>
      </c>
      <c r="R18" s="311">
        <v>0.0</v>
      </c>
      <c r="S18" s="311">
        <v>0.0</v>
      </c>
      <c r="T18" s="312">
        <v>0.0</v>
      </c>
      <c r="U18" s="313">
        <f t="shared" si="11"/>
        <v>0</v>
      </c>
      <c r="V18" s="313" t="str">
        <f>SWITCH(W18,"cash",Reference!$E$5,"shares",Reference!$E$6,"balance",Reference!$E$7,"pro-rata",Reference!$B$5)</f>
        <v>#DIV/0!</v>
      </c>
      <c r="W18" s="314" t="s">
        <v>205</v>
      </c>
      <c r="X18" s="315">
        <f>LET(numVmwShares,D18, cashRatio,Reference!$B$4, vmwFinalPrice,Reference!$B$3, numVmwShares * cashRatio * vmwFinalPrice)</f>
        <v>0</v>
      </c>
      <c r="Y18" s="315">
        <f>iferror(LET(numVmwShares,$D18, stockRatio,U18, vmwFinalPrice,Reference!$B$3, (1 - stockRatio) * vmwFinalPrice * numVmwShares),0)</f>
        <v>0</v>
      </c>
      <c r="Z18" s="315">
        <f>iferror(LET(numVmwShares,$D18, stockRatio,V18, vmwFinalPrice,Reference!$B$3, (1 - stockRatio) * vmwFinalPrice * numVmwShares),0)</f>
        <v>0</v>
      </c>
      <c r="AA18" s="315">
        <f>SWITCH(Reference!$E$4,"eTradeTransactionLog", X18, "eTradeHoldingRatio", X18, "eTradeLotQtyRatio",Y18, "manualLotRatio", Z18)</f>
        <v>0</v>
      </c>
      <c r="AB18" s="305">
        <f>LET(purchaseDate,C18, dateOfRecord,Reference!$B$26, returnOfCapital,Reference!$C$26, IF(purchaseDate &lt; dateOfRecord, returnOfCapital,0))</f>
        <v>10.18</v>
      </c>
      <c r="AC18" s="305">
        <f>LET(purchaseDate,C18, dateOfRecord,Reference!$B$27, returnOfCapital,Reference!$C$27, IF(purchaseDate &lt; dateOfRecord, returnOfCapital,0))</f>
        <v>16.58</v>
      </c>
      <c r="AD18" s="305">
        <f t="shared" si="12"/>
        <v>78.35</v>
      </c>
      <c r="AE18" s="305">
        <f t="shared" si="13"/>
        <v>0</v>
      </c>
      <c r="AF18" s="316">
        <f>LET(numVmwShares,D18, stockRatio,Reference!$B$5, vmwToAvgoRatio,Reference!$B$6, numVmwShares * stockRatio * vmwToAvgoRatio)</f>
        <v>0</v>
      </c>
      <c r="AG18" s="316">
        <f>LET(numVmwShares,D18, stockRatio,U18, vmwToAvgoRatio,Reference!$B$6, numVmwShares * stockRatio * vmwToAvgoRatio)</f>
        <v>0</v>
      </c>
      <c r="AH18" s="316" t="str">
        <f>LET(numVmwShares,D18, stockRatio,V18, vmwToAvgoRatio,Reference!$B$6, numVmwShares * stockRatio * vmwToAvgoRatio)</f>
        <v>#DIV/0!</v>
      </c>
      <c r="AI18" s="316">
        <f>SWITCH(Reference!$E$4,"eTradeTransactionLog", AF18, "eTradeHoldingRatio", AF18, "eTradeLotQtyRatio",AG18, "manualLotRatio", AH18)</f>
        <v>0</v>
      </c>
      <c r="AJ18" s="317">
        <f>LET(numVmwShares,D18, vmwBasis,AD18, avgoQty,AI18, avgoFMV,Reference!$B$18, cashReceived,AA18, gain,cashReceived+(avgoQty*avgoFMV)-(numVmwShares*vmwBasis),
MAX(gain,0))</f>
        <v>0</v>
      </c>
      <c r="AK18" s="318">
        <f>LET(useForFraction,N18, fractionAmount,Summary!$C$41, esppFractionLots,$N$5, rsuFractionLots,RSU!J$5, IF(useForFraction, fractionAmount / (esppFractionLots+rsuFractionLots), 0))</f>
        <v>0</v>
      </c>
      <c r="AL18" s="319">
        <f>LET(useForFraction,N18, fractionSaleFMV,Reference!$B$23, postMergerBasis,AY18, lotFractionAmount,AK18, IF(useForFraction, (fractionSaleFMV - postMergerBasis)*lotFractionAmount, 0))</f>
        <v>0</v>
      </c>
      <c r="AM18" s="320">
        <f t="shared" si="14"/>
        <v>0</v>
      </c>
      <c r="AN18" s="321">
        <f>LET(
imputedIncome,BB18,
avgoQty,AI18, 
perAvgoIncome, iferror(imputedIncome/avgoQty,0),
purchaseDate,C18,
mergerDate,Reference!$B$28,
lotFractionAmount,AK18,
lotFractionGain,AL18,
mergerGain,AM18,
shortTermGain,IF(DATEDIF(purchaseDate,mergerDate,"Y")&gt;=1,
  0,
  lotFractionGain + mergerGain
),
incomeOnFraction,perAvgoIncome*lotFractionAmount, 
shortTermGain + incomeOnFraction + IF(avgoQty=0,imputedIncome-incomeOnFraction,0))</f>
        <v>0</v>
      </c>
      <c r="AO18" s="321">
        <f>LET(
purchaseDate,C18,
mergerDate,Reference!$B$28,
lotFractionGain,AL18,
mergerGain,AM18,
IF(DATEDIF(purchaseDate,mergerDate,"Y")&gt;=1,
  lotFractionGain+mergerGain,
  0
))</f>
        <v>0</v>
      </c>
      <c r="AP18" s="335" t="str">
        <f>IF(DATEDIF(L18,Reference!$B$28,"Y")&gt;=1,"Part II Box D","Part I Box A")</f>
        <v>Part II Box D</v>
      </c>
      <c r="AQ18" s="336">
        <f t="shared" si="15"/>
        <v>43343</v>
      </c>
      <c r="AR18" s="337">
        <f t="shared" si="16"/>
        <v>0</v>
      </c>
      <c r="AS18" s="337">
        <f>LET(
cashReceived,AA18, 
avgoQty,AI18, 
proceedsStyle,Reference!$E$9, 
avgoFMV,Reference!$B$18, 
SWITCH(proceedsStyle, "combined", cashReceived +(avgoQty*avgoFMV), "cashOnly", cashReceived))</f>
        <v>0</v>
      </c>
      <c r="AT18" s="338">
        <f t="shared" si="17"/>
        <v>0</v>
      </c>
      <c r="AU18" s="338" t="str">
        <f t="shared" si="18"/>
        <v/>
      </c>
      <c r="AV18" s="337">
        <f>LET(
numVmwShares,D18, 
vmwBasis, AD18, 
avgoQty,AI18, 
avgoFMV,Reference!$B$18, 
cashReceived,AA18, 
avgoTotalValue, avgoFMV*avgoQty, 
vmwTotalBasis, vmwBasis*numVmwShares,
alternateGainAmount,AJ18, 
basis1099B, AT18,
basis1099B - IF(cashReceived&lt;alternateGainAmount,
  avgoTotalValue,
  vmwTotalBasis
))</f>
        <v>0</v>
      </c>
      <c r="AW18" s="339">
        <f t="shared" si="19"/>
        <v>0</v>
      </c>
      <c r="AX18" s="327" t="str">
        <f t="shared" si="20"/>
        <v>n/a</v>
      </c>
      <c r="AY18" s="327" t="str">
        <f t="shared" si="21"/>
        <v>n/a</v>
      </c>
      <c r="AZ18" s="328">
        <f>LET(saleFMV,Reference!$B$10, postMergerBasis,AY18, avgoQty,AI18, lotFractionAmount,AK18, iferror((saleFMV - postMergerBasis) * (avgoQty - lotFractionAmount), 0))</f>
        <v>0</v>
      </c>
      <c r="BA18" s="329" t="b">
        <f>LET(grantDate,B18, postMergerSaleDate,Reference!$B$29, purchaseBeginDate,A20, AND(DATEDIF(grantDate,postMergerSaleDate,"Y")&gt;=1, DATEDIF(purchaseBeginDate, postMergerSaleDate, "Y")&gt;=2))</f>
        <v>1</v>
      </c>
      <c r="BB18" s="328">
        <f>LET(
vmwBasis,AD18,
numVmwShares,D18,
cashReceived,AA18,
gainRecognized,AM18,
pureAvgoBasis,IFERROR((vmwBasis - (cashReceived + gainRecognized)/numVmwShares),0),
isQualified,BA18,
saleFMV,Reference!$B$10,
actualPrice,L18,
purchaseDateFMV,F18,
grantDateFMV,E18,
gainFromSale,(saleFMV - pureAvgoBasis),
disqualifiedIncome,(purchaseDateFMV - actualPrice),
qualifiedIncome,MIN(
   gainFromSale,
   (0.15 * grantDateFMV)),
income,IF(isQualified,
   qualifiedIncome,
   disqualifiedIncome),
numVmwShares * income)</f>
        <v>0</v>
      </c>
      <c r="BC18" s="330">
        <f>LET(
avgoQty,AI18, 
purchaseDate,C18,
postMergerSaleDate,Reference!$B$29,
saleFMV,Reference!$B$10,
postMergerBasis,AY18, 
IF(DATEDIF(purchaseDate,postMergerSaleDate,"Y")&gt;=1,
  0,
  avgoQty * (saleFMV - postMergerBasis)
))</f>
        <v>0</v>
      </c>
      <c r="BD18" s="331">
        <f>LET(
avgoQty,AI18, 
purchaseDate,C18,
postMergerSaleDate,Reference!$B$29,
saleFMV,Reference!$B$10,
postMergerBasis,AY18, 
IFERROR(IF(DATEDIF(purchaseDate,postMergerSaleDate,"Y")&gt;=1,
  avgoQty * (saleFMV - postMergerBasis),
  0
),0))</f>
        <v>0</v>
      </c>
    </row>
    <row r="19">
      <c r="A19" s="299">
        <f t="shared" si="6"/>
        <v>43160</v>
      </c>
      <c r="B19" s="300">
        <v>43160.0</v>
      </c>
      <c r="C19" s="301">
        <v>43524.0</v>
      </c>
      <c r="D19" s="332"/>
      <c r="E19" s="303">
        <v>123.66</v>
      </c>
      <c r="F19" s="303">
        <v>171.81</v>
      </c>
      <c r="G19" s="306"/>
      <c r="H19" s="305">
        <f t="shared" si="7"/>
        <v>0</v>
      </c>
      <c r="I19" s="303">
        <f t="shared" si="23"/>
        <v>0</v>
      </c>
      <c r="J19" s="305">
        <f t="shared" si="8"/>
        <v>0</v>
      </c>
      <c r="K19" s="305">
        <f t="shared" si="9"/>
        <v>0</v>
      </c>
      <c r="L19" s="344">
        <f t="shared" si="25"/>
        <v>105.11</v>
      </c>
      <c r="M19" s="333"/>
      <c r="N19" s="342" t="b">
        <v>0</v>
      </c>
      <c r="O19" s="343"/>
      <c r="P19" s="311">
        <v>0.0</v>
      </c>
      <c r="Q19" s="311">
        <v>0.0</v>
      </c>
      <c r="R19" s="311">
        <v>0.0</v>
      </c>
      <c r="S19" s="311">
        <v>0.0</v>
      </c>
      <c r="T19" s="312">
        <v>0.0</v>
      </c>
      <c r="U19" s="313">
        <f t="shared" si="11"/>
        <v>0</v>
      </c>
      <c r="V19" s="313" t="str">
        <f>SWITCH(W19,"cash",Reference!$E$5,"shares",Reference!$E$6,"balance",Reference!$E$7,"pro-rata",Reference!$B$5)</f>
        <v>#DIV/0!</v>
      </c>
      <c r="W19" s="314" t="s">
        <v>205</v>
      </c>
      <c r="X19" s="315">
        <f>LET(numVmwShares,D19, cashRatio,Reference!$B$4, vmwFinalPrice,Reference!$B$3, numVmwShares * cashRatio * vmwFinalPrice)</f>
        <v>0</v>
      </c>
      <c r="Y19" s="315">
        <f>iferror(LET(numVmwShares,$D19, stockRatio,U19, vmwFinalPrice,Reference!$B$3, (1 - stockRatio) * vmwFinalPrice * numVmwShares),0)</f>
        <v>0</v>
      </c>
      <c r="Z19" s="315">
        <f>iferror(LET(numVmwShares,$D19, stockRatio,V19, vmwFinalPrice,Reference!$B$3, (1 - stockRatio) * vmwFinalPrice * numVmwShares),0)</f>
        <v>0</v>
      </c>
      <c r="AA19" s="315">
        <f>SWITCH(Reference!$E$4,"eTradeTransactionLog", X19, "eTradeHoldingRatio", X19, "eTradeLotQtyRatio",Y19, "manualLotRatio", Z19)</f>
        <v>0</v>
      </c>
      <c r="AB19" s="305">
        <f>LET(purchaseDate,C19, dateOfRecord,Reference!$B$26, returnOfCapital,Reference!$C$26, IF(purchaseDate &lt; dateOfRecord, returnOfCapital,0))</f>
        <v>0</v>
      </c>
      <c r="AC19" s="305">
        <f>LET(purchaseDate,C19, dateOfRecord,Reference!$B$27, returnOfCapital,Reference!$C$27, IF(purchaseDate &lt; dateOfRecord, returnOfCapital,0))</f>
        <v>16.58</v>
      </c>
      <c r="AD19" s="305">
        <f t="shared" si="12"/>
        <v>88.53</v>
      </c>
      <c r="AE19" s="305">
        <f t="shared" si="13"/>
        <v>0</v>
      </c>
      <c r="AF19" s="316">
        <f>LET(numVmwShares,D19, stockRatio,Reference!$B$5, vmwToAvgoRatio,Reference!$B$6, numVmwShares * stockRatio * vmwToAvgoRatio)</f>
        <v>0</v>
      </c>
      <c r="AG19" s="316">
        <f>LET(numVmwShares,D19, stockRatio,U19, vmwToAvgoRatio,Reference!$B$6, numVmwShares * stockRatio * vmwToAvgoRatio)</f>
        <v>0</v>
      </c>
      <c r="AH19" s="316" t="str">
        <f>LET(numVmwShares,D19, stockRatio,V19, vmwToAvgoRatio,Reference!$B$6, numVmwShares * stockRatio * vmwToAvgoRatio)</f>
        <v>#DIV/0!</v>
      </c>
      <c r="AI19" s="316">
        <f>SWITCH(Reference!$E$4,"eTradeTransactionLog", AF19, "eTradeHoldingRatio", AF19, "eTradeLotQtyRatio",AG19, "manualLotRatio", AH19)</f>
        <v>0</v>
      </c>
      <c r="AJ19" s="317">
        <f>LET(numVmwShares,D19, vmwBasis,AD19, avgoQty,AI19, avgoFMV,Reference!$B$18, cashReceived,AA19, gain,cashReceived+(avgoQty*avgoFMV)-(numVmwShares*vmwBasis),
MAX(gain,0))</f>
        <v>0</v>
      </c>
      <c r="AK19" s="318">
        <f>LET(useForFraction,N19, fractionAmount,Summary!$C$41, esppFractionLots,$N$5, rsuFractionLots,RSU!J$5, IF(useForFraction, fractionAmount / (esppFractionLots+rsuFractionLots), 0))</f>
        <v>0</v>
      </c>
      <c r="AL19" s="319">
        <f>LET(useForFraction,N19, fractionSaleFMV,Reference!$B$23, postMergerBasis,AY19, lotFractionAmount,AK19, IF(useForFraction, (fractionSaleFMV - postMergerBasis)*lotFractionAmount, 0))</f>
        <v>0</v>
      </c>
      <c r="AM19" s="320">
        <f t="shared" si="14"/>
        <v>0</v>
      </c>
      <c r="AN19" s="321">
        <f>LET(
imputedIncome,BB19,
avgoQty,AI19, 
perAvgoIncome, iferror(imputedIncome/avgoQty,0),
purchaseDate,C19,
mergerDate,Reference!$B$28,
lotFractionAmount,AK19,
lotFractionGain,AL19,
mergerGain,AM19,
shortTermGain,IF(DATEDIF(purchaseDate,mergerDate,"Y")&gt;=1,
  0,
  lotFractionGain + mergerGain
),
incomeOnFraction,perAvgoIncome*lotFractionAmount, 
shortTermGain + incomeOnFraction + IF(avgoQty=0,imputedIncome-incomeOnFraction,0))</f>
        <v>0</v>
      </c>
      <c r="AO19" s="321">
        <f>LET(
purchaseDate,C19,
mergerDate,Reference!$B$28,
lotFractionGain,AL19,
mergerGain,AM19,
IF(DATEDIF(purchaseDate,mergerDate,"Y")&gt;=1,
  lotFractionGain+mergerGain,
  0
))</f>
        <v>0</v>
      </c>
      <c r="AP19" s="335" t="str">
        <f>IF(DATEDIF(L19,Reference!$B$28,"Y")&gt;=1,"Part II Box D","Part I Box A")</f>
        <v>Part II Box D</v>
      </c>
      <c r="AQ19" s="336">
        <f t="shared" si="15"/>
        <v>43524</v>
      </c>
      <c r="AR19" s="337">
        <f t="shared" si="16"/>
        <v>0</v>
      </c>
      <c r="AS19" s="337">
        <f>LET(
cashReceived,AA19, 
avgoQty,AI19, 
proceedsStyle,Reference!$E$9, 
avgoFMV,Reference!$B$18, 
SWITCH(proceedsStyle, "combined", cashReceived +(avgoQty*avgoFMV), "cashOnly", cashReceived))</f>
        <v>0</v>
      </c>
      <c r="AT19" s="338">
        <f t="shared" si="17"/>
        <v>0</v>
      </c>
      <c r="AU19" s="338" t="str">
        <f t="shared" si="18"/>
        <v/>
      </c>
      <c r="AV19" s="337">
        <f>LET(
numVmwShares,D19, 
vmwBasis, AD19, 
avgoQty,AI19, 
avgoFMV,Reference!$B$18, 
cashReceived,AA19, 
avgoTotalValue, avgoFMV*avgoQty, 
vmwTotalBasis, vmwBasis*numVmwShares,
alternateGainAmount,AJ19, 
basis1099B, AT19,
basis1099B - IF(cashReceived&lt;alternateGainAmount,
  avgoTotalValue,
  vmwTotalBasis
))</f>
        <v>0</v>
      </c>
      <c r="AW19" s="339">
        <f t="shared" si="19"/>
        <v>0</v>
      </c>
      <c r="AX19" s="327" t="str">
        <f t="shared" si="20"/>
        <v>n/a</v>
      </c>
      <c r="AY19" s="327" t="str">
        <f t="shared" si="21"/>
        <v>n/a</v>
      </c>
      <c r="AZ19" s="328">
        <f>LET(saleFMV,Reference!$B$10, postMergerBasis,AY19, avgoQty,AI19, lotFractionAmount,AK19, iferror((saleFMV - postMergerBasis) * (avgoQty - lotFractionAmount), 0))</f>
        <v>0</v>
      </c>
      <c r="BA19" s="329" t="b">
        <f>LET(grantDate,B19, postMergerSaleDate,Reference!$B$29, purchaseBeginDate,A21, AND(DATEDIF(grantDate,postMergerSaleDate,"Y")&gt;=1, DATEDIF(purchaseBeginDate, postMergerSaleDate, "Y")&gt;=2))</f>
        <v>1</v>
      </c>
      <c r="BB19" s="328">
        <f>LET(
vmwBasis,AD19,
numVmwShares,D19,
cashReceived,AA19,
gainRecognized,AM19,
pureAvgoBasis,IFERROR((vmwBasis - (cashReceived + gainRecognized)/numVmwShares),0),
isQualified,BA19,
saleFMV,Reference!$B$10,
actualPrice,L19,
purchaseDateFMV,F19,
grantDateFMV,E19,
gainFromSale,(saleFMV - pureAvgoBasis),
disqualifiedIncome,(purchaseDateFMV - actualPrice),
qualifiedIncome,MIN(
   gainFromSale,
   (0.15 * grantDateFMV)),
income,IF(isQualified,
   qualifiedIncome,
   disqualifiedIncome),
numVmwShares * income)</f>
        <v>0</v>
      </c>
      <c r="BC19" s="330">
        <f>LET(
avgoQty,AI19, 
purchaseDate,C19,
postMergerSaleDate,Reference!$B$29,
saleFMV,Reference!$B$10,
postMergerBasis,AY19, 
IF(DATEDIF(purchaseDate,postMergerSaleDate,"Y")&gt;=1,
  0,
  avgoQty * (saleFMV - postMergerBasis)
))</f>
        <v>0</v>
      </c>
      <c r="BD19" s="331">
        <f>LET(
avgoQty,AI19, 
purchaseDate,C19,
postMergerSaleDate,Reference!$B$29,
saleFMV,Reference!$B$10,
postMergerBasis,AY19, 
IFERROR(IF(DATEDIF(purchaseDate,postMergerSaleDate,"Y")&gt;=1,
  avgoQty * (saleFMV - postMergerBasis),
  0
),0))</f>
        <v>0</v>
      </c>
    </row>
    <row r="20">
      <c r="A20" s="299">
        <f t="shared" si="6"/>
        <v>43525</v>
      </c>
      <c r="B20" s="300">
        <v>43525.0</v>
      </c>
      <c r="C20" s="301">
        <v>43708.0</v>
      </c>
      <c r="D20" s="332"/>
      <c r="E20" s="303">
        <v>178.2</v>
      </c>
      <c r="F20" s="303">
        <v>141.44</v>
      </c>
      <c r="G20" s="306"/>
      <c r="H20" s="305">
        <f t="shared" si="7"/>
        <v>0</v>
      </c>
      <c r="I20" s="303">
        <f t="shared" si="23"/>
        <v>0</v>
      </c>
      <c r="J20" s="305">
        <f t="shared" si="8"/>
        <v>0</v>
      </c>
      <c r="K20" s="305">
        <f t="shared" si="9"/>
        <v>0</v>
      </c>
      <c r="L20" s="344">
        <f t="shared" si="25"/>
        <v>120.22</v>
      </c>
      <c r="M20" s="341"/>
      <c r="N20" s="342" t="b">
        <v>0</v>
      </c>
      <c r="O20" s="343"/>
      <c r="P20" s="311">
        <v>0.0</v>
      </c>
      <c r="Q20" s="311">
        <v>0.0</v>
      </c>
      <c r="R20" s="311">
        <v>0.0</v>
      </c>
      <c r="S20" s="311">
        <v>0.0</v>
      </c>
      <c r="T20" s="312">
        <v>0.0</v>
      </c>
      <c r="U20" s="313">
        <f t="shared" si="11"/>
        <v>0</v>
      </c>
      <c r="V20" s="313" t="str">
        <f>SWITCH(W20,"cash",Reference!$E$5,"shares",Reference!$E$6,"balance",Reference!$E$7,"pro-rata",Reference!$B$5)</f>
        <v>#DIV/0!</v>
      </c>
      <c r="W20" s="314" t="s">
        <v>205</v>
      </c>
      <c r="X20" s="315">
        <f>LET(numVmwShares,D20, cashRatio,Reference!$B$4, vmwFinalPrice,Reference!$B$3, numVmwShares * cashRatio * vmwFinalPrice)</f>
        <v>0</v>
      </c>
      <c r="Y20" s="315">
        <f>iferror(LET(numVmwShares,$D20, stockRatio,U20, vmwFinalPrice,Reference!$B$3, (1 - stockRatio) * vmwFinalPrice * numVmwShares),0)</f>
        <v>0</v>
      </c>
      <c r="Z20" s="315">
        <f>iferror(LET(numVmwShares,$D20, stockRatio,V20, vmwFinalPrice,Reference!$B$3, (1 - stockRatio) * vmwFinalPrice * numVmwShares),0)</f>
        <v>0</v>
      </c>
      <c r="AA20" s="315">
        <f>SWITCH(Reference!$E$4,"eTradeTransactionLog", X20, "eTradeHoldingRatio", X20, "eTradeLotQtyRatio",Y20, "manualLotRatio", Z20)</f>
        <v>0</v>
      </c>
      <c r="AB20" s="305">
        <f>LET(purchaseDate,C20, dateOfRecord,Reference!$B$26, returnOfCapital,Reference!$C$26, IF(purchaseDate &lt; dateOfRecord, returnOfCapital,0))</f>
        <v>0</v>
      </c>
      <c r="AC20" s="305">
        <f>LET(purchaseDate,C20, dateOfRecord,Reference!$B$27, returnOfCapital,Reference!$C$27, IF(purchaseDate &lt; dateOfRecord, returnOfCapital,0))</f>
        <v>16.58</v>
      </c>
      <c r="AD20" s="305">
        <f t="shared" si="12"/>
        <v>103.64</v>
      </c>
      <c r="AE20" s="305">
        <f t="shared" si="13"/>
        <v>0</v>
      </c>
      <c r="AF20" s="316">
        <f>LET(numVmwShares,D20, stockRatio,Reference!$B$5, vmwToAvgoRatio,Reference!$B$6, numVmwShares * stockRatio * vmwToAvgoRatio)</f>
        <v>0</v>
      </c>
      <c r="AG20" s="316">
        <f>LET(numVmwShares,D20, stockRatio,U20, vmwToAvgoRatio,Reference!$B$6, numVmwShares * stockRatio * vmwToAvgoRatio)</f>
        <v>0</v>
      </c>
      <c r="AH20" s="316" t="str">
        <f>LET(numVmwShares,D20, stockRatio,V20, vmwToAvgoRatio,Reference!$B$6, numVmwShares * stockRatio * vmwToAvgoRatio)</f>
        <v>#DIV/0!</v>
      </c>
      <c r="AI20" s="316">
        <f>SWITCH(Reference!$E$4,"eTradeTransactionLog", AF20, "eTradeHoldingRatio", AF20, "eTradeLotQtyRatio",AG20, "manualLotRatio", AH20)</f>
        <v>0</v>
      </c>
      <c r="AJ20" s="317">
        <f>LET(numVmwShares,D20, vmwBasis,AD20, avgoQty,AI20, avgoFMV,Reference!$B$18, cashReceived,AA20, gain,cashReceived+(avgoQty*avgoFMV)-(numVmwShares*vmwBasis),
MAX(gain,0))</f>
        <v>0</v>
      </c>
      <c r="AK20" s="318">
        <f>LET(useForFraction,N20, fractionAmount,Summary!$C$41, esppFractionLots,$N$5, rsuFractionLots,RSU!J$5, IF(useForFraction, fractionAmount / (esppFractionLots+rsuFractionLots), 0))</f>
        <v>0</v>
      </c>
      <c r="AL20" s="319">
        <f>LET(useForFraction,N20, fractionSaleFMV,Reference!$B$23, postMergerBasis,AY20, lotFractionAmount,AK20, IF(useForFraction, (fractionSaleFMV - postMergerBasis)*lotFractionAmount, 0))</f>
        <v>0</v>
      </c>
      <c r="AM20" s="320">
        <f t="shared" si="14"/>
        <v>0</v>
      </c>
      <c r="AN20" s="321">
        <f>LET(
imputedIncome,BB20,
avgoQty,AI20, 
perAvgoIncome, iferror(imputedIncome/avgoQty,0),
purchaseDate,C20,
mergerDate,Reference!$B$28,
lotFractionAmount,AK20,
lotFractionGain,AL20,
mergerGain,AM20,
shortTermGain,IF(DATEDIF(purchaseDate,mergerDate,"Y")&gt;=1,
  0,
  lotFractionGain + mergerGain
),
incomeOnFraction,perAvgoIncome*lotFractionAmount, 
shortTermGain + incomeOnFraction + IF(avgoQty=0,imputedIncome-incomeOnFraction,0))</f>
        <v>0</v>
      </c>
      <c r="AO20" s="321">
        <f>LET(
purchaseDate,C20,
mergerDate,Reference!$B$28,
lotFractionGain,AL20,
mergerGain,AM20,
IF(DATEDIF(purchaseDate,mergerDate,"Y")&gt;=1,
  lotFractionGain+mergerGain,
  0
))</f>
        <v>0</v>
      </c>
      <c r="AP20" s="335" t="str">
        <f>IF(DATEDIF(L20,Reference!$B$28,"Y")&gt;=1,"Part II Box D","Part I Box A")</f>
        <v>Part II Box D</v>
      </c>
      <c r="AQ20" s="336">
        <f t="shared" si="15"/>
        <v>43708</v>
      </c>
      <c r="AR20" s="337">
        <f t="shared" si="16"/>
        <v>0</v>
      </c>
      <c r="AS20" s="337">
        <f>LET(
cashReceived,AA20, 
avgoQty,AI20, 
proceedsStyle,Reference!$E$9, 
avgoFMV,Reference!$B$18, 
SWITCH(proceedsStyle, "combined", cashReceived +(avgoQty*avgoFMV), "cashOnly", cashReceived))</f>
        <v>0</v>
      </c>
      <c r="AT20" s="338">
        <f t="shared" si="17"/>
        <v>0</v>
      </c>
      <c r="AU20" s="338" t="str">
        <f t="shared" si="18"/>
        <v/>
      </c>
      <c r="AV20" s="337">
        <f>LET(
numVmwShares,D20, 
vmwBasis, AD20, 
avgoQty,AI20, 
avgoFMV,Reference!$B$18, 
cashReceived,AA20, 
avgoTotalValue, avgoFMV*avgoQty, 
vmwTotalBasis, vmwBasis*numVmwShares,
alternateGainAmount,AJ20, 
basis1099B, AT20,
basis1099B - IF(cashReceived&lt;alternateGainAmount,
  avgoTotalValue,
  vmwTotalBasis
))</f>
        <v>0</v>
      </c>
      <c r="AW20" s="339">
        <f t="shared" si="19"/>
        <v>0</v>
      </c>
      <c r="AX20" s="327" t="str">
        <f t="shared" si="20"/>
        <v>n/a</v>
      </c>
      <c r="AY20" s="327" t="str">
        <f t="shared" si="21"/>
        <v>n/a</v>
      </c>
      <c r="AZ20" s="328">
        <f>LET(saleFMV,Reference!$B$10, postMergerBasis,AY20, avgoQty,AI20, lotFractionAmount,AK20, iferror((saleFMV - postMergerBasis) * (avgoQty - lotFractionAmount), 0))</f>
        <v>0</v>
      </c>
      <c r="BA20" s="329" t="b">
        <f>LET(grantDate,B20, postMergerSaleDate,Reference!$B$29, purchaseBeginDate,A22, AND(DATEDIF(grantDate,postMergerSaleDate,"Y")&gt;=1, DATEDIF(purchaseBeginDate, postMergerSaleDate, "Y")&gt;=2))</f>
        <v>1</v>
      </c>
      <c r="BB20" s="328">
        <f>LET(
vmwBasis,AD20,
numVmwShares,D20,
cashReceived,AA20,
gainRecognized,AM20,
pureAvgoBasis,IFERROR((vmwBasis - (cashReceived + gainRecognized)/numVmwShares),0),
isQualified,BA20,
saleFMV,Reference!$B$10,
actualPrice,L20,
purchaseDateFMV,F20,
grantDateFMV,E20,
gainFromSale,(saleFMV - pureAvgoBasis),
disqualifiedIncome,(purchaseDateFMV - actualPrice),
qualifiedIncome,MIN(
   gainFromSale,
   (0.15 * grantDateFMV)),
income,IF(isQualified,
   qualifiedIncome,
   disqualifiedIncome),
numVmwShares * income)</f>
        <v>0</v>
      </c>
      <c r="BC20" s="330">
        <f>LET(
avgoQty,AI20, 
purchaseDate,C20,
postMergerSaleDate,Reference!$B$29,
saleFMV,Reference!$B$10,
postMergerBasis,AY20, 
IF(DATEDIF(purchaseDate,postMergerSaleDate,"Y")&gt;=1,
  0,
  avgoQty * (saleFMV - postMergerBasis)
))</f>
        <v>0</v>
      </c>
      <c r="BD20" s="331">
        <f>LET(
avgoQty,AI20, 
purchaseDate,C20,
postMergerSaleDate,Reference!$B$29,
saleFMV,Reference!$B$10,
postMergerBasis,AY20, 
IFERROR(IF(DATEDIF(purchaseDate,postMergerSaleDate,"Y")&gt;=1,
  avgoQty * (saleFMV - postMergerBasis),
  0
),0))</f>
        <v>0</v>
      </c>
    </row>
    <row r="21">
      <c r="A21" s="299">
        <f t="shared" si="6"/>
        <v>43709</v>
      </c>
      <c r="B21" s="300">
        <v>43709.0</v>
      </c>
      <c r="C21" s="301">
        <v>43890.0</v>
      </c>
      <c r="D21" s="332"/>
      <c r="E21" s="303">
        <v>141.44</v>
      </c>
      <c r="F21" s="303">
        <v>120.52</v>
      </c>
      <c r="G21" s="306"/>
      <c r="H21" s="305">
        <f t="shared" si="7"/>
        <v>0</v>
      </c>
      <c r="I21" s="303">
        <f t="shared" si="23"/>
        <v>0</v>
      </c>
      <c r="J21" s="305">
        <f t="shared" si="8"/>
        <v>0</v>
      </c>
      <c r="K21" s="305">
        <f t="shared" si="9"/>
        <v>0</v>
      </c>
      <c r="L21" s="344">
        <f t="shared" si="25"/>
        <v>102.44</v>
      </c>
      <c r="M21" s="341"/>
      <c r="N21" s="342" t="b">
        <v>0</v>
      </c>
      <c r="O21" s="343"/>
      <c r="P21" s="311">
        <v>0.0</v>
      </c>
      <c r="Q21" s="311">
        <v>0.0</v>
      </c>
      <c r="R21" s="311">
        <v>0.0</v>
      </c>
      <c r="S21" s="311">
        <v>0.0</v>
      </c>
      <c r="T21" s="312">
        <v>0.0</v>
      </c>
      <c r="U21" s="313">
        <f t="shared" si="11"/>
        <v>0</v>
      </c>
      <c r="V21" s="313" t="str">
        <f>SWITCH(W21,"cash",Reference!$E$5,"shares",Reference!$E$6,"balance",Reference!$E$7,"pro-rata",Reference!$B$5)</f>
        <v>#DIV/0!</v>
      </c>
      <c r="W21" s="314" t="s">
        <v>205</v>
      </c>
      <c r="X21" s="315">
        <f>LET(numVmwShares,D21, cashRatio,Reference!$B$4, vmwFinalPrice,Reference!$B$3, numVmwShares * cashRatio * vmwFinalPrice)</f>
        <v>0</v>
      </c>
      <c r="Y21" s="315">
        <f>iferror(LET(numVmwShares,$D21, stockRatio,U21, vmwFinalPrice,Reference!$B$3, (1 - stockRatio) * vmwFinalPrice * numVmwShares),0)</f>
        <v>0</v>
      </c>
      <c r="Z21" s="315">
        <f>iferror(LET(numVmwShares,$D21, stockRatio,V21, vmwFinalPrice,Reference!$B$3, (1 - stockRatio) * vmwFinalPrice * numVmwShares),0)</f>
        <v>0</v>
      </c>
      <c r="AA21" s="315">
        <f>SWITCH(Reference!$E$4,"eTradeTransactionLog", X21, "eTradeHoldingRatio", X21, "eTradeLotQtyRatio",Y21, "manualLotRatio", Z21)</f>
        <v>0</v>
      </c>
      <c r="AB21" s="305">
        <f>LET(purchaseDate,C21, dateOfRecord,Reference!$B$26, returnOfCapital,Reference!$C$26, IF(purchaseDate &lt; dateOfRecord, returnOfCapital,0))</f>
        <v>0</v>
      </c>
      <c r="AC21" s="305">
        <f>LET(purchaseDate,C21, dateOfRecord,Reference!$B$27, returnOfCapital,Reference!$C$27, IF(purchaseDate &lt; dateOfRecord, returnOfCapital,0))</f>
        <v>16.58</v>
      </c>
      <c r="AD21" s="305">
        <f t="shared" si="12"/>
        <v>85.86</v>
      </c>
      <c r="AE21" s="305">
        <f t="shared" si="13"/>
        <v>0</v>
      </c>
      <c r="AF21" s="316">
        <f>LET(numVmwShares,D21, stockRatio,Reference!$B$5, vmwToAvgoRatio,Reference!$B$6, numVmwShares * stockRatio * vmwToAvgoRatio)</f>
        <v>0</v>
      </c>
      <c r="AG21" s="316">
        <f>LET(numVmwShares,D21, stockRatio,U21, vmwToAvgoRatio,Reference!$B$6, numVmwShares * stockRatio * vmwToAvgoRatio)</f>
        <v>0</v>
      </c>
      <c r="AH21" s="316" t="str">
        <f>LET(numVmwShares,D21, stockRatio,V21, vmwToAvgoRatio,Reference!$B$6, numVmwShares * stockRatio * vmwToAvgoRatio)</f>
        <v>#DIV/0!</v>
      </c>
      <c r="AI21" s="316">
        <f>SWITCH(Reference!$E$4,"eTradeTransactionLog", AF21, "eTradeHoldingRatio", AF21, "eTradeLotQtyRatio",AG21, "manualLotRatio", AH21)</f>
        <v>0</v>
      </c>
      <c r="AJ21" s="317">
        <f>LET(numVmwShares,D21, vmwBasis,AD21, avgoQty,AI21, avgoFMV,Reference!$B$18, cashReceived,AA21, gain,cashReceived+(avgoQty*avgoFMV)-(numVmwShares*vmwBasis),
MAX(gain,0))</f>
        <v>0</v>
      </c>
      <c r="AK21" s="318">
        <f>LET(useForFraction,N21, fractionAmount,Summary!$C$41, esppFractionLots,$N$5, rsuFractionLots,RSU!J$5, IF(useForFraction, fractionAmount / (esppFractionLots+rsuFractionLots), 0))</f>
        <v>0</v>
      </c>
      <c r="AL21" s="319">
        <f>LET(useForFraction,N21, fractionSaleFMV,Reference!$B$23, postMergerBasis,AY21, lotFractionAmount,AK21, IF(useForFraction, (fractionSaleFMV - postMergerBasis)*lotFractionAmount, 0))</f>
        <v>0</v>
      </c>
      <c r="AM21" s="320">
        <f t="shared" si="14"/>
        <v>0</v>
      </c>
      <c r="AN21" s="321">
        <f>LET(
imputedIncome,BB21,
avgoQty,AI21, 
perAvgoIncome, iferror(imputedIncome/avgoQty,0),
purchaseDate,C21,
mergerDate,Reference!$B$28,
lotFractionAmount,AK21,
lotFractionGain,AL21,
mergerGain,AM21,
shortTermGain,IF(DATEDIF(purchaseDate,mergerDate,"Y")&gt;=1,
  0,
  lotFractionGain + mergerGain
),
incomeOnFraction,perAvgoIncome*lotFractionAmount, 
shortTermGain + incomeOnFraction + IF(avgoQty=0,imputedIncome-incomeOnFraction,0))</f>
        <v>0</v>
      </c>
      <c r="AO21" s="321">
        <f>LET(
purchaseDate,C21,
mergerDate,Reference!$B$28,
lotFractionGain,AL21,
mergerGain,AM21,
IF(DATEDIF(purchaseDate,mergerDate,"Y")&gt;=1,
  lotFractionGain+mergerGain,
  0
))</f>
        <v>0</v>
      </c>
      <c r="AP21" s="335" t="str">
        <f>IF(DATEDIF(L21,Reference!$B$28,"Y")&gt;=1,"Part II Box D","Part I Box A")</f>
        <v>Part II Box D</v>
      </c>
      <c r="AQ21" s="336">
        <f t="shared" si="15"/>
        <v>43890</v>
      </c>
      <c r="AR21" s="337">
        <f t="shared" si="16"/>
        <v>0</v>
      </c>
      <c r="AS21" s="337">
        <f>LET(
cashReceived,AA21, 
avgoQty,AI21, 
proceedsStyle,Reference!$E$9, 
avgoFMV,Reference!$B$18, 
SWITCH(proceedsStyle, "combined", cashReceived +(avgoQty*avgoFMV), "cashOnly", cashReceived))</f>
        <v>0</v>
      </c>
      <c r="AT21" s="338">
        <f t="shared" si="17"/>
        <v>0</v>
      </c>
      <c r="AU21" s="338" t="str">
        <f t="shared" si="18"/>
        <v/>
      </c>
      <c r="AV21" s="337">
        <f>LET(
numVmwShares,D21, 
vmwBasis, AD21, 
avgoQty,AI21, 
avgoFMV,Reference!$B$18, 
cashReceived,AA21, 
avgoTotalValue, avgoFMV*avgoQty, 
vmwTotalBasis, vmwBasis*numVmwShares,
alternateGainAmount,AJ21, 
basis1099B, AT21,
basis1099B - IF(cashReceived&lt;alternateGainAmount,
  avgoTotalValue,
  vmwTotalBasis
))</f>
        <v>0</v>
      </c>
      <c r="AW21" s="339">
        <f t="shared" si="19"/>
        <v>0</v>
      </c>
      <c r="AX21" s="327" t="str">
        <f t="shared" si="20"/>
        <v>n/a</v>
      </c>
      <c r="AY21" s="327" t="str">
        <f t="shared" si="21"/>
        <v>n/a</v>
      </c>
      <c r="AZ21" s="328">
        <f>LET(saleFMV,Reference!$B$10, postMergerBasis,AY21, avgoQty,AI21, lotFractionAmount,AK21, iferror((saleFMV - postMergerBasis) * (avgoQty - lotFractionAmount), 0))</f>
        <v>0</v>
      </c>
      <c r="BA21" s="329" t="b">
        <f>LET(grantDate,B21, postMergerSaleDate,Reference!$B$29, purchaseBeginDate,A23, AND(DATEDIF(grantDate,postMergerSaleDate,"Y")&gt;=1, DATEDIF(purchaseBeginDate, postMergerSaleDate, "Y")&gt;=2))</f>
        <v>1</v>
      </c>
      <c r="BB21" s="328">
        <f>LET(
vmwBasis,AD21,
numVmwShares,D21,
cashReceived,AA21,
gainRecognized,AM21,
pureAvgoBasis,IFERROR((vmwBasis - (cashReceived + gainRecognized)/numVmwShares),0),
isQualified,BA21,
saleFMV,Reference!$B$10,
actualPrice,L21,
purchaseDateFMV,F21,
grantDateFMV,E21,
gainFromSale,(saleFMV - pureAvgoBasis),
disqualifiedIncome,(purchaseDateFMV - actualPrice),
qualifiedIncome,MIN(
   gainFromSale,
   (0.15 * grantDateFMV)),
income,IF(isQualified,
   qualifiedIncome,
   disqualifiedIncome),
numVmwShares * income)</f>
        <v>0</v>
      </c>
      <c r="BC21" s="330">
        <f>LET(
avgoQty,AI21, 
purchaseDate,C21,
postMergerSaleDate,Reference!$B$29,
saleFMV,Reference!$B$10,
postMergerBasis,AY21, 
IF(DATEDIF(purchaseDate,postMergerSaleDate,"Y")&gt;=1,
  0,
  avgoQty * (saleFMV - postMergerBasis)
))</f>
        <v>0</v>
      </c>
      <c r="BD21" s="331">
        <f>LET(
avgoQty,AI21, 
purchaseDate,C21,
postMergerSaleDate,Reference!$B$29,
saleFMV,Reference!$B$10,
postMergerBasis,AY21, 
IFERROR(IF(DATEDIF(purchaseDate,postMergerSaleDate,"Y")&gt;=1,
  avgoQty * (saleFMV - postMergerBasis),
  0
),0))</f>
        <v>0</v>
      </c>
    </row>
    <row r="22">
      <c r="A22" s="299">
        <f t="shared" si="6"/>
        <v>43891</v>
      </c>
      <c r="B22" s="300">
        <v>43891.0</v>
      </c>
      <c r="C22" s="301">
        <v>44074.0</v>
      </c>
      <c r="D22" s="332"/>
      <c r="E22" s="303">
        <v>120.52</v>
      </c>
      <c r="F22" s="303">
        <v>144.44</v>
      </c>
      <c r="G22" s="306"/>
      <c r="H22" s="305">
        <f t="shared" si="7"/>
        <v>0</v>
      </c>
      <c r="I22" s="303">
        <f t="shared" si="23"/>
        <v>0</v>
      </c>
      <c r="J22" s="305">
        <f t="shared" si="8"/>
        <v>0</v>
      </c>
      <c r="K22" s="305">
        <f t="shared" si="9"/>
        <v>0</v>
      </c>
      <c r="L22" s="344">
        <f t="shared" si="25"/>
        <v>102.44</v>
      </c>
      <c r="M22" s="333"/>
      <c r="N22" s="342" t="b">
        <v>0</v>
      </c>
      <c r="O22" s="343"/>
      <c r="P22" s="311">
        <v>0.0</v>
      </c>
      <c r="Q22" s="311">
        <v>0.0</v>
      </c>
      <c r="R22" s="311">
        <v>0.0</v>
      </c>
      <c r="S22" s="311">
        <v>0.0</v>
      </c>
      <c r="T22" s="312">
        <v>0.0</v>
      </c>
      <c r="U22" s="313">
        <f t="shared" si="11"/>
        <v>0</v>
      </c>
      <c r="V22" s="313" t="str">
        <f>SWITCH(W22,"cash",Reference!$E$5,"shares",Reference!$E$6,"balance",Reference!$E$7,"pro-rata",Reference!$B$5)</f>
        <v>#DIV/0!</v>
      </c>
      <c r="W22" s="314" t="s">
        <v>205</v>
      </c>
      <c r="X22" s="315">
        <f>LET(numVmwShares,D22, cashRatio,Reference!$B$4, vmwFinalPrice,Reference!$B$3, numVmwShares * cashRatio * vmwFinalPrice)</f>
        <v>0</v>
      </c>
      <c r="Y22" s="315">
        <f>iferror(LET(numVmwShares,$D22, stockRatio,U22, vmwFinalPrice,Reference!$B$3, (1 - stockRatio) * vmwFinalPrice * numVmwShares),0)</f>
        <v>0</v>
      </c>
      <c r="Z22" s="315">
        <f>iferror(LET(numVmwShares,$D22, stockRatio,V22, vmwFinalPrice,Reference!$B$3, (1 - stockRatio) * vmwFinalPrice * numVmwShares),0)</f>
        <v>0</v>
      </c>
      <c r="AA22" s="315">
        <f>SWITCH(Reference!$E$4,"eTradeTransactionLog", X22, "eTradeHoldingRatio", X22, "eTradeLotQtyRatio",Y22, "manualLotRatio", Z22)</f>
        <v>0</v>
      </c>
      <c r="AB22" s="305">
        <f>LET(purchaseDate,C22, dateOfRecord,Reference!$B$26, returnOfCapital,Reference!$C$26, IF(purchaseDate &lt; dateOfRecord, returnOfCapital,0))</f>
        <v>0</v>
      </c>
      <c r="AC22" s="305">
        <f>LET(purchaseDate,C22, dateOfRecord,Reference!$B$27, returnOfCapital,Reference!$C$27, IF(purchaseDate &lt; dateOfRecord, returnOfCapital,0))</f>
        <v>16.58</v>
      </c>
      <c r="AD22" s="305">
        <f t="shared" si="12"/>
        <v>85.86</v>
      </c>
      <c r="AE22" s="305">
        <f t="shared" si="13"/>
        <v>0</v>
      </c>
      <c r="AF22" s="316">
        <f>LET(numVmwShares,D22, stockRatio,Reference!$B$5, vmwToAvgoRatio,Reference!$B$6, numVmwShares * stockRatio * vmwToAvgoRatio)</f>
        <v>0</v>
      </c>
      <c r="AG22" s="316">
        <f>LET(numVmwShares,D22, stockRatio,U22, vmwToAvgoRatio,Reference!$B$6, numVmwShares * stockRatio * vmwToAvgoRatio)</f>
        <v>0</v>
      </c>
      <c r="AH22" s="316" t="str">
        <f>LET(numVmwShares,D22, stockRatio,V22, vmwToAvgoRatio,Reference!$B$6, numVmwShares * stockRatio * vmwToAvgoRatio)</f>
        <v>#DIV/0!</v>
      </c>
      <c r="AI22" s="316">
        <f>SWITCH(Reference!$E$4,"eTradeTransactionLog", AF22, "eTradeHoldingRatio", AF22, "eTradeLotQtyRatio",AG22, "manualLotRatio", AH22)</f>
        <v>0</v>
      </c>
      <c r="AJ22" s="317">
        <f>LET(numVmwShares,D22, vmwBasis,AD22, avgoQty,AI22, avgoFMV,Reference!$B$18, cashReceived,AA22, gain,cashReceived+(avgoQty*avgoFMV)-(numVmwShares*vmwBasis),
MAX(gain,0))</f>
        <v>0</v>
      </c>
      <c r="AK22" s="318">
        <f>LET(useForFraction,N22, fractionAmount,Summary!$C$41, esppFractionLots,$N$5, rsuFractionLots,RSU!J$5, IF(useForFraction, fractionAmount / (esppFractionLots+rsuFractionLots), 0))</f>
        <v>0</v>
      </c>
      <c r="AL22" s="319">
        <f>LET(useForFraction,N22, fractionSaleFMV,Reference!$B$23, postMergerBasis,AY22, lotFractionAmount,AK22, IF(useForFraction, (fractionSaleFMV - postMergerBasis)*lotFractionAmount, 0))</f>
        <v>0</v>
      </c>
      <c r="AM22" s="320">
        <f t="shared" si="14"/>
        <v>0</v>
      </c>
      <c r="AN22" s="321">
        <f>LET(
imputedIncome,BB22,
avgoQty,AI22, 
perAvgoIncome, iferror(imputedIncome/avgoQty,0),
purchaseDate,C22,
mergerDate,Reference!$B$28,
lotFractionAmount,AK22,
lotFractionGain,AL22,
mergerGain,AM22,
shortTermGain,IF(DATEDIF(purchaseDate,mergerDate,"Y")&gt;=1,
  0,
  lotFractionGain + mergerGain
),
incomeOnFraction,perAvgoIncome*lotFractionAmount, 
shortTermGain + incomeOnFraction + IF(avgoQty=0,imputedIncome-incomeOnFraction,0))</f>
        <v>0</v>
      </c>
      <c r="AO22" s="321">
        <f>LET(
purchaseDate,C22,
mergerDate,Reference!$B$28,
lotFractionGain,AL22,
mergerGain,AM22,
IF(DATEDIF(purchaseDate,mergerDate,"Y")&gt;=1,
  lotFractionGain+mergerGain,
  0
))</f>
        <v>0</v>
      </c>
      <c r="AP22" s="335" t="str">
        <f>IF(DATEDIF(L22,Reference!$B$28,"Y")&gt;=1,"Part II Box D","Part I Box A")</f>
        <v>Part II Box D</v>
      </c>
      <c r="AQ22" s="336">
        <f t="shared" si="15"/>
        <v>44074</v>
      </c>
      <c r="AR22" s="337">
        <f t="shared" si="16"/>
        <v>0</v>
      </c>
      <c r="AS22" s="337">
        <f>LET(
cashReceived,AA22, 
avgoQty,AI22, 
proceedsStyle,Reference!$E$9, 
avgoFMV,Reference!$B$18, 
SWITCH(proceedsStyle, "combined", cashReceived +(avgoQty*avgoFMV), "cashOnly", cashReceived))</f>
        <v>0</v>
      </c>
      <c r="AT22" s="338">
        <f t="shared" si="17"/>
        <v>0</v>
      </c>
      <c r="AU22" s="338" t="str">
        <f t="shared" si="18"/>
        <v/>
      </c>
      <c r="AV22" s="337">
        <f>LET(
numVmwShares,D22, 
vmwBasis, AD22, 
avgoQty,AI22, 
avgoFMV,Reference!$B$18, 
cashReceived,AA22, 
avgoTotalValue, avgoFMV*avgoQty, 
vmwTotalBasis, vmwBasis*numVmwShares,
alternateGainAmount,AJ22, 
basis1099B, AT22,
basis1099B - IF(cashReceived&lt;alternateGainAmount,
  avgoTotalValue,
  vmwTotalBasis
))</f>
        <v>0</v>
      </c>
      <c r="AW22" s="339">
        <f t="shared" si="19"/>
        <v>0</v>
      </c>
      <c r="AX22" s="327" t="str">
        <f t="shared" si="20"/>
        <v>n/a</v>
      </c>
      <c r="AY22" s="327" t="str">
        <f t="shared" si="21"/>
        <v>n/a</v>
      </c>
      <c r="AZ22" s="328">
        <f>LET(saleFMV,Reference!$B$10, postMergerBasis,AY22, avgoQty,AI22, lotFractionAmount,AK22, iferror((saleFMV - postMergerBasis) * (avgoQty - lotFractionAmount), 0))</f>
        <v>0</v>
      </c>
      <c r="BA22" s="329" t="b">
        <f>LET(grantDate,B22, postMergerSaleDate,Reference!$B$29, purchaseBeginDate,A24, AND(DATEDIF(grantDate,postMergerSaleDate,"Y")&gt;=1, DATEDIF(purchaseBeginDate, postMergerSaleDate, "Y")&gt;=2))</f>
        <v>1</v>
      </c>
      <c r="BB22" s="328">
        <f>LET(
vmwBasis,AD22,
numVmwShares,D22,
cashReceived,AA22,
gainRecognized,AM22,
pureAvgoBasis,IFERROR((vmwBasis - (cashReceived + gainRecognized)/numVmwShares),0),
isQualified,BA22,
saleFMV,Reference!$B$10,
actualPrice,L22,
purchaseDateFMV,F22,
grantDateFMV,E22,
gainFromSale,(saleFMV - pureAvgoBasis),
disqualifiedIncome,(purchaseDateFMV - actualPrice),
qualifiedIncome,MIN(
   gainFromSale,
   (0.15 * grantDateFMV)),
income,IF(isQualified,
   qualifiedIncome,
   disqualifiedIncome),
numVmwShares * income)</f>
        <v>0</v>
      </c>
      <c r="BC22" s="330">
        <f>LET(
avgoQty,AI22, 
purchaseDate,C22,
postMergerSaleDate,Reference!$B$29,
saleFMV,Reference!$B$10,
postMergerBasis,AY22, 
IF(DATEDIF(purchaseDate,postMergerSaleDate,"Y")&gt;=1,
  0,
  avgoQty * (saleFMV - postMergerBasis)
))</f>
        <v>0</v>
      </c>
      <c r="BD22" s="331">
        <f>LET(
avgoQty,AI22, 
purchaseDate,C22,
postMergerSaleDate,Reference!$B$29,
saleFMV,Reference!$B$10,
postMergerBasis,AY22, 
IFERROR(IF(DATEDIF(purchaseDate,postMergerSaleDate,"Y")&gt;=1,
  avgoQty * (saleFMV - postMergerBasis),
  0
),0))</f>
        <v>0</v>
      </c>
    </row>
    <row r="23">
      <c r="A23" s="299">
        <f t="shared" si="6"/>
        <v>43891</v>
      </c>
      <c r="B23" s="300">
        <v>43891.0</v>
      </c>
      <c r="C23" s="301">
        <v>44255.0</v>
      </c>
      <c r="D23" s="332"/>
      <c r="E23" s="303">
        <v>120.52</v>
      </c>
      <c r="F23" s="303">
        <v>138.21</v>
      </c>
      <c r="G23" s="306"/>
      <c r="H23" s="305">
        <f t="shared" si="7"/>
        <v>0</v>
      </c>
      <c r="I23" s="303">
        <f t="shared" si="23"/>
        <v>0</v>
      </c>
      <c r="J23" s="305">
        <f t="shared" si="8"/>
        <v>0</v>
      </c>
      <c r="K23" s="305">
        <f t="shared" si="9"/>
        <v>0</v>
      </c>
      <c r="L23" s="344">
        <f t="shared" si="25"/>
        <v>102.44</v>
      </c>
      <c r="M23" s="341"/>
      <c r="N23" s="342" t="b">
        <v>0</v>
      </c>
      <c r="O23" s="343"/>
      <c r="P23" s="311">
        <v>0.0</v>
      </c>
      <c r="Q23" s="311">
        <v>0.0</v>
      </c>
      <c r="R23" s="311">
        <v>0.0</v>
      </c>
      <c r="S23" s="311">
        <v>0.0</v>
      </c>
      <c r="T23" s="312">
        <v>0.0</v>
      </c>
      <c r="U23" s="313">
        <f t="shared" si="11"/>
        <v>0</v>
      </c>
      <c r="V23" s="313" t="str">
        <f>SWITCH(W23,"cash",Reference!$E$5,"shares",Reference!$E$6,"balance",Reference!$E$7,"pro-rata",Reference!$B$5)</f>
        <v>#DIV/0!</v>
      </c>
      <c r="W23" s="314" t="s">
        <v>205</v>
      </c>
      <c r="X23" s="315">
        <f>LET(numVmwShares,D23, cashRatio,Reference!$B$4, vmwFinalPrice,Reference!$B$3, numVmwShares * cashRatio * vmwFinalPrice)</f>
        <v>0</v>
      </c>
      <c r="Y23" s="315">
        <f>iferror(LET(numVmwShares,$D23, stockRatio,U23, vmwFinalPrice,Reference!$B$3, (1 - stockRatio) * vmwFinalPrice * numVmwShares),0)</f>
        <v>0</v>
      </c>
      <c r="Z23" s="315">
        <f>iferror(LET(numVmwShares,$D23, stockRatio,V23, vmwFinalPrice,Reference!$B$3, (1 - stockRatio) * vmwFinalPrice * numVmwShares),0)</f>
        <v>0</v>
      </c>
      <c r="AA23" s="315">
        <f>SWITCH(Reference!$E$4,"eTradeTransactionLog", X23, "eTradeHoldingRatio", X23, "eTradeLotQtyRatio",Y23, "manualLotRatio", Z23)</f>
        <v>0</v>
      </c>
      <c r="AB23" s="305">
        <f>LET(purchaseDate,C23, dateOfRecord,Reference!$B$26, returnOfCapital,Reference!$C$26, IF(purchaseDate &lt; dateOfRecord, returnOfCapital,0))</f>
        <v>0</v>
      </c>
      <c r="AC23" s="305">
        <f>LET(purchaseDate,C23, dateOfRecord,Reference!$B$27, returnOfCapital,Reference!$C$27, IF(purchaseDate &lt; dateOfRecord, returnOfCapital,0))</f>
        <v>16.58</v>
      </c>
      <c r="AD23" s="305">
        <f t="shared" si="12"/>
        <v>85.86</v>
      </c>
      <c r="AE23" s="305">
        <f t="shared" si="13"/>
        <v>0</v>
      </c>
      <c r="AF23" s="316">
        <f>LET(numVmwShares,D23, stockRatio,Reference!$B$5, vmwToAvgoRatio,Reference!$B$6, numVmwShares * stockRatio * vmwToAvgoRatio)</f>
        <v>0</v>
      </c>
      <c r="AG23" s="316">
        <f>LET(numVmwShares,D23, stockRatio,U23, vmwToAvgoRatio,Reference!$B$6, numVmwShares * stockRatio * vmwToAvgoRatio)</f>
        <v>0</v>
      </c>
      <c r="AH23" s="316" t="str">
        <f>LET(numVmwShares,D23, stockRatio,V23, vmwToAvgoRatio,Reference!$B$6, numVmwShares * stockRatio * vmwToAvgoRatio)</f>
        <v>#DIV/0!</v>
      </c>
      <c r="AI23" s="316">
        <f>SWITCH(Reference!$E$4,"eTradeTransactionLog", AF23, "eTradeHoldingRatio", AF23, "eTradeLotQtyRatio",AG23, "manualLotRatio", AH23)</f>
        <v>0</v>
      </c>
      <c r="AJ23" s="317">
        <f>LET(numVmwShares,D23, vmwBasis,AD23, avgoQty,AI23, avgoFMV,Reference!$B$18, cashReceived,AA23, gain,cashReceived+(avgoQty*avgoFMV)-(numVmwShares*vmwBasis),
MAX(gain,0))</f>
        <v>0</v>
      </c>
      <c r="AK23" s="318">
        <f>LET(useForFraction,N23, fractionAmount,Summary!$C$41, esppFractionLots,$N$5, rsuFractionLots,RSU!J$5, IF(useForFraction, fractionAmount / (esppFractionLots+rsuFractionLots), 0))</f>
        <v>0</v>
      </c>
      <c r="AL23" s="319">
        <f>LET(useForFraction,N23, fractionSaleFMV,Reference!$B$23, postMergerBasis,AY23, lotFractionAmount,AK23, IF(useForFraction, (fractionSaleFMV - postMergerBasis)*lotFractionAmount, 0))</f>
        <v>0</v>
      </c>
      <c r="AM23" s="320">
        <f t="shared" si="14"/>
        <v>0</v>
      </c>
      <c r="AN23" s="321">
        <f>LET(
imputedIncome,BB23,
avgoQty,AI23, 
perAvgoIncome, iferror(imputedIncome/avgoQty,0),
purchaseDate,C23,
mergerDate,Reference!$B$28,
lotFractionAmount,AK23,
lotFractionGain,AL23,
mergerGain,AM23,
shortTermGain,IF(DATEDIF(purchaseDate,mergerDate,"Y")&gt;=1,
  0,
  lotFractionGain + mergerGain
),
incomeOnFraction,perAvgoIncome*lotFractionAmount, 
shortTermGain + incomeOnFraction + IF(avgoQty=0,imputedIncome-incomeOnFraction,0))</f>
        <v>0</v>
      </c>
      <c r="AO23" s="321">
        <f>LET(
purchaseDate,C23,
mergerDate,Reference!$B$28,
lotFractionGain,AL23,
mergerGain,AM23,
IF(DATEDIF(purchaseDate,mergerDate,"Y")&gt;=1,
  lotFractionGain+mergerGain,
  0
))</f>
        <v>0</v>
      </c>
      <c r="AP23" s="335" t="str">
        <f>IF(DATEDIF(L23,Reference!$B$28,"Y")&gt;=1,"Part II Box D","Part I Box A")</f>
        <v>Part II Box D</v>
      </c>
      <c r="AQ23" s="336">
        <f t="shared" si="15"/>
        <v>44255</v>
      </c>
      <c r="AR23" s="337">
        <f t="shared" si="16"/>
        <v>0</v>
      </c>
      <c r="AS23" s="337">
        <f>LET(
cashReceived,AA23, 
avgoQty,AI23, 
proceedsStyle,Reference!$E$9, 
avgoFMV,Reference!$B$18, 
SWITCH(proceedsStyle, "combined", cashReceived +(avgoQty*avgoFMV), "cashOnly", cashReceived))</f>
        <v>0</v>
      </c>
      <c r="AT23" s="338">
        <f t="shared" si="17"/>
        <v>0</v>
      </c>
      <c r="AU23" s="338" t="str">
        <f t="shared" si="18"/>
        <v/>
      </c>
      <c r="AV23" s="337">
        <f>LET(
numVmwShares,D23, 
vmwBasis, AD23, 
avgoQty,AI23, 
avgoFMV,Reference!$B$18, 
cashReceived,AA23, 
avgoTotalValue, avgoFMV*avgoQty, 
vmwTotalBasis, vmwBasis*numVmwShares,
alternateGainAmount,AJ23, 
basis1099B, AT23,
basis1099B - IF(cashReceived&lt;alternateGainAmount,
  avgoTotalValue,
  vmwTotalBasis
))</f>
        <v>0</v>
      </c>
      <c r="AW23" s="339">
        <f t="shared" si="19"/>
        <v>0</v>
      </c>
      <c r="AX23" s="327" t="str">
        <f t="shared" si="20"/>
        <v>n/a</v>
      </c>
      <c r="AY23" s="327" t="str">
        <f t="shared" si="21"/>
        <v>n/a</v>
      </c>
      <c r="AZ23" s="328">
        <f>LET(saleFMV,Reference!$B$10, postMergerBasis,AY23, avgoQty,AI23, lotFractionAmount,AK23, iferror((saleFMV - postMergerBasis) * (avgoQty - lotFractionAmount), 0))</f>
        <v>0</v>
      </c>
      <c r="BA23" s="329" t="b">
        <f>LET(grantDate,B23, postMergerSaleDate,Reference!$B$29, purchaseBeginDate,A25, AND(DATEDIF(grantDate,postMergerSaleDate,"Y")&gt;=1, DATEDIF(purchaseBeginDate, postMergerSaleDate, "Y")&gt;=2))</f>
        <v>1</v>
      </c>
      <c r="BB23" s="328">
        <f>LET(
vmwBasis,AD23,
numVmwShares,D23,
cashReceived,AA23,
gainRecognized,AM23,
pureAvgoBasis,IFERROR((vmwBasis - (cashReceived + gainRecognized)/numVmwShares),0),
isQualified,BA23,
saleFMV,Reference!$B$10,
actualPrice,L23,
purchaseDateFMV,F23,
grantDateFMV,E23,
gainFromSale,(saleFMV - pureAvgoBasis),
disqualifiedIncome,(purchaseDateFMV - actualPrice),
qualifiedIncome,MIN(
   gainFromSale,
   (0.15 * grantDateFMV)),
income,IF(isQualified,
   qualifiedIncome,
   disqualifiedIncome),
numVmwShares * income)</f>
        <v>0</v>
      </c>
      <c r="BC23" s="330">
        <f>LET(
avgoQty,AI23, 
purchaseDate,C23,
postMergerSaleDate,Reference!$B$29,
saleFMV,Reference!$B$10,
postMergerBasis,AY23, 
IF(DATEDIF(purchaseDate,postMergerSaleDate,"Y")&gt;=1,
  0,
  avgoQty * (saleFMV - postMergerBasis)
))</f>
        <v>0</v>
      </c>
      <c r="BD23" s="331">
        <f>LET(
avgoQty,AI23, 
purchaseDate,C23,
postMergerSaleDate,Reference!$B$29,
saleFMV,Reference!$B$10,
postMergerBasis,AY23, 
IFERROR(IF(DATEDIF(purchaseDate,postMergerSaleDate,"Y")&gt;=1,
  avgoQty * (saleFMV - postMergerBasis),
  0
),0))</f>
        <v>0</v>
      </c>
    </row>
    <row r="24">
      <c r="A24" s="299">
        <f t="shared" si="6"/>
        <v>44256</v>
      </c>
      <c r="B24" s="300">
        <v>44256.0</v>
      </c>
      <c r="C24" s="301">
        <v>44439.0</v>
      </c>
      <c r="D24" s="332"/>
      <c r="E24" s="303">
        <v>140.41</v>
      </c>
      <c r="F24" s="303">
        <v>148.87</v>
      </c>
      <c r="G24" s="306"/>
      <c r="H24" s="305">
        <f t="shared" si="7"/>
        <v>0</v>
      </c>
      <c r="I24" s="303">
        <f t="shared" si="23"/>
        <v>0</v>
      </c>
      <c r="J24" s="305">
        <f t="shared" si="8"/>
        <v>0</v>
      </c>
      <c r="K24" s="305">
        <f t="shared" si="9"/>
        <v>0</v>
      </c>
      <c r="L24" s="344">
        <f t="shared" si="25"/>
        <v>119.35</v>
      </c>
      <c r="M24" s="333"/>
      <c r="N24" s="342" t="b">
        <v>0</v>
      </c>
      <c r="O24" s="343"/>
      <c r="P24" s="311">
        <v>0.0</v>
      </c>
      <c r="Q24" s="311">
        <v>0.0</v>
      </c>
      <c r="R24" s="311">
        <v>0.0</v>
      </c>
      <c r="S24" s="311">
        <v>0.0</v>
      </c>
      <c r="T24" s="312">
        <v>0.0</v>
      </c>
      <c r="U24" s="313">
        <f t="shared" si="11"/>
        <v>0</v>
      </c>
      <c r="V24" s="313" t="str">
        <f>SWITCH(W24,"cash",Reference!$E$5,"shares",Reference!$E$6,"balance",Reference!$E$7,"pro-rata",Reference!$B$5)</f>
        <v>#DIV/0!</v>
      </c>
      <c r="W24" s="314" t="s">
        <v>205</v>
      </c>
      <c r="X24" s="315">
        <f>LET(numVmwShares,D24, cashRatio,Reference!$B$4, vmwFinalPrice,Reference!$B$3, numVmwShares * cashRatio * vmwFinalPrice)</f>
        <v>0</v>
      </c>
      <c r="Y24" s="315">
        <f>iferror(LET(numVmwShares,$D24, stockRatio,U24, vmwFinalPrice,Reference!$B$3, (1 - stockRatio) * vmwFinalPrice * numVmwShares),0)</f>
        <v>0</v>
      </c>
      <c r="Z24" s="315">
        <f>iferror(LET(numVmwShares,$D24, stockRatio,V24, vmwFinalPrice,Reference!$B$3, (1 - stockRatio) * vmwFinalPrice * numVmwShares),0)</f>
        <v>0</v>
      </c>
      <c r="AA24" s="315">
        <f>SWITCH(Reference!$E$4,"eTradeTransactionLog", X24, "eTradeHoldingRatio", X24, "eTradeLotQtyRatio",Y24, "manualLotRatio", Z24)</f>
        <v>0</v>
      </c>
      <c r="AB24" s="305">
        <f>LET(purchaseDate,C24, dateOfRecord,Reference!$B$26, returnOfCapital,Reference!$C$26, IF(purchaseDate &lt; dateOfRecord, returnOfCapital,0))</f>
        <v>0</v>
      </c>
      <c r="AC24" s="305">
        <f>LET(purchaseDate,C24, dateOfRecord,Reference!$B$27, returnOfCapital,Reference!$C$27, IF(purchaseDate &lt; dateOfRecord, returnOfCapital,0))</f>
        <v>16.58</v>
      </c>
      <c r="AD24" s="305">
        <f t="shared" si="12"/>
        <v>102.77</v>
      </c>
      <c r="AE24" s="305">
        <f t="shared" si="13"/>
        <v>0</v>
      </c>
      <c r="AF24" s="316">
        <f>LET(numVmwShares,D24, stockRatio,Reference!$B$5, vmwToAvgoRatio,Reference!$B$6, numVmwShares * stockRatio * vmwToAvgoRatio)</f>
        <v>0</v>
      </c>
      <c r="AG24" s="316">
        <f>LET(numVmwShares,D24, stockRatio,U24, vmwToAvgoRatio,Reference!$B$6, numVmwShares * stockRatio * vmwToAvgoRatio)</f>
        <v>0</v>
      </c>
      <c r="AH24" s="316" t="str">
        <f>LET(numVmwShares,D24, stockRatio,V24, vmwToAvgoRatio,Reference!$B$6, numVmwShares * stockRatio * vmwToAvgoRatio)</f>
        <v>#DIV/0!</v>
      </c>
      <c r="AI24" s="316">
        <f>SWITCH(Reference!$E$4,"eTradeTransactionLog", AF24, "eTradeHoldingRatio", AF24, "eTradeLotQtyRatio",AG24, "manualLotRatio", AH24)</f>
        <v>0</v>
      </c>
      <c r="AJ24" s="317">
        <f>LET(numVmwShares,D24, vmwBasis,AD24, avgoQty,AI24, avgoFMV,Reference!$B$18, cashReceived,AA24, gain,cashReceived+(avgoQty*avgoFMV)-(numVmwShares*vmwBasis),
MAX(gain,0))</f>
        <v>0</v>
      </c>
      <c r="AK24" s="318">
        <f>LET(useForFraction,N24, fractionAmount,Summary!$C$41, esppFractionLots,$N$5, rsuFractionLots,RSU!J$5, IF(useForFraction, fractionAmount / (esppFractionLots+rsuFractionLots), 0))</f>
        <v>0</v>
      </c>
      <c r="AL24" s="319">
        <f>LET(useForFraction,N24, fractionSaleFMV,Reference!$B$23, postMergerBasis,AY24, lotFractionAmount,AK24, IF(useForFraction, (fractionSaleFMV - postMergerBasis)*lotFractionAmount, 0))</f>
        <v>0</v>
      </c>
      <c r="AM24" s="320">
        <f t="shared" si="14"/>
        <v>0</v>
      </c>
      <c r="AN24" s="321">
        <f>LET(
imputedIncome,BB24,
avgoQty,AI24, 
perAvgoIncome, iferror(imputedIncome/avgoQty,0),
purchaseDate,C24,
mergerDate,Reference!$B$28,
lotFractionAmount,AK24,
lotFractionGain,AL24,
mergerGain,AM24,
shortTermGain,IF(DATEDIF(purchaseDate,mergerDate,"Y")&gt;=1,
  0,
  lotFractionGain + mergerGain
),
incomeOnFraction,perAvgoIncome*lotFractionAmount, 
shortTermGain + incomeOnFraction + IF(avgoQty=0,imputedIncome-incomeOnFraction,0))</f>
        <v>0</v>
      </c>
      <c r="AO24" s="321">
        <f>LET(
purchaseDate,C24,
mergerDate,Reference!$B$28,
lotFractionGain,AL24,
mergerGain,AM24,
IF(DATEDIF(purchaseDate,mergerDate,"Y")&gt;=1,
  lotFractionGain+mergerGain,
  0
))</f>
        <v>0</v>
      </c>
      <c r="AP24" s="335" t="str">
        <f>IF(DATEDIF(L24,Reference!$B$28,"Y")&gt;=1,"Part II Box D","Part I Box A")</f>
        <v>Part II Box D</v>
      </c>
      <c r="AQ24" s="336">
        <f t="shared" si="15"/>
        <v>44439</v>
      </c>
      <c r="AR24" s="337">
        <f t="shared" si="16"/>
        <v>0</v>
      </c>
      <c r="AS24" s="337">
        <f>LET(
cashReceived,AA24, 
avgoQty,AI24, 
proceedsStyle,Reference!$E$9, 
avgoFMV,Reference!$B$18, 
SWITCH(proceedsStyle, "combined", cashReceived +(avgoQty*avgoFMV), "cashOnly", cashReceived))</f>
        <v>0</v>
      </c>
      <c r="AT24" s="338">
        <f t="shared" si="17"/>
        <v>0</v>
      </c>
      <c r="AU24" s="338" t="str">
        <f t="shared" si="18"/>
        <v/>
      </c>
      <c r="AV24" s="337">
        <f>LET(
numVmwShares,D24, 
vmwBasis, AD24, 
avgoQty,AI24, 
avgoFMV,Reference!$B$18, 
cashReceived,AA24, 
avgoTotalValue, avgoFMV*avgoQty, 
vmwTotalBasis, vmwBasis*numVmwShares,
alternateGainAmount,AJ24, 
basis1099B, AT24,
basis1099B - IF(cashReceived&lt;alternateGainAmount,
  avgoTotalValue,
  vmwTotalBasis
))</f>
        <v>0</v>
      </c>
      <c r="AW24" s="339">
        <f t="shared" si="19"/>
        <v>0</v>
      </c>
      <c r="AX24" s="327" t="str">
        <f t="shared" si="20"/>
        <v>n/a</v>
      </c>
      <c r="AY24" s="327" t="str">
        <f t="shared" si="21"/>
        <v>n/a</v>
      </c>
      <c r="AZ24" s="328">
        <f>LET(saleFMV,Reference!$B$10, postMergerBasis,AY24, avgoQty,AI24, lotFractionAmount,AK24, iferror((saleFMV - postMergerBasis) * (avgoQty - lotFractionAmount), 0))</f>
        <v>0</v>
      </c>
      <c r="BA24" s="329" t="b">
        <f>LET(grantDate,B24, postMergerSaleDate,Reference!$B$29, purchaseBeginDate,A26, AND(DATEDIF(grantDate,postMergerSaleDate,"Y")&gt;=1, DATEDIF(purchaseBeginDate, postMergerSaleDate, "Y")&gt;=2))</f>
        <v>1</v>
      </c>
      <c r="BB24" s="328">
        <f>LET(
vmwBasis,AD24,
numVmwShares,D24,
cashReceived,AA24,
gainRecognized,AM24,
pureAvgoBasis,IFERROR((vmwBasis - (cashReceived + gainRecognized)/numVmwShares),0),
isQualified,BA24,
saleFMV,Reference!$B$10,
actualPrice,L24,
purchaseDateFMV,F24,
grantDateFMV,E24,
gainFromSale,(saleFMV - pureAvgoBasis),
disqualifiedIncome,(purchaseDateFMV - actualPrice),
qualifiedIncome,MIN(
   gainFromSale,
   (0.15 * grantDateFMV)),
income,IF(isQualified,
   qualifiedIncome,
   disqualifiedIncome),
numVmwShares * income)</f>
        <v>0</v>
      </c>
      <c r="BC24" s="330">
        <f>LET(
avgoQty,AI24, 
purchaseDate,C24,
postMergerSaleDate,Reference!$B$29,
saleFMV,Reference!$B$10,
postMergerBasis,AY24, 
IF(DATEDIF(purchaseDate,postMergerSaleDate,"Y")&gt;=1,
  0,
  avgoQty * (saleFMV - postMergerBasis)
))</f>
        <v>0</v>
      </c>
      <c r="BD24" s="331">
        <f>LET(
avgoQty,AI24, 
purchaseDate,C24,
postMergerSaleDate,Reference!$B$29,
saleFMV,Reference!$B$10,
postMergerBasis,AY24, 
IFERROR(IF(DATEDIF(purchaseDate,postMergerSaleDate,"Y")&gt;=1,
  avgoQty * (saleFMV - postMergerBasis),
  0
),0))</f>
        <v>0</v>
      </c>
    </row>
    <row r="25">
      <c r="A25" s="299">
        <f t="shared" si="6"/>
        <v>44256</v>
      </c>
      <c r="B25" s="300">
        <v>44256.0</v>
      </c>
      <c r="C25" s="301">
        <v>44620.0</v>
      </c>
      <c r="D25" s="332"/>
      <c r="E25" s="303">
        <v>140.41</v>
      </c>
      <c r="F25" s="303">
        <v>117.32</v>
      </c>
      <c r="G25" s="306"/>
      <c r="H25" s="305">
        <f t="shared" si="7"/>
        <v>0</v>
      </c>
      <c r="I25" s="303">
        <f t="shared" si="23"/>
        <v>0</v>
      </c>
      <c r="J25" s="305">
        <f t="shared" si="8"/>
        <v>0</v>
      </c>
      <c r="K25" s="305">
        <f t="shared" si="9"/>
        <v>0</v>
      </c>
      <c r="L25" s="344">
        <f t="shared" si="25"/>
        <v>99.72</v>
      </c>
      <c r="M25" s="333"/>
      <c r="N25" s="342" t="b">
        <v>0</v>
      </c>
      <c r="O25" s="343"/>
      <c r="P25" s="311">
        <v>0.0</v>
      </c>
      <c r="Q25" s="311">
        <v>0.0</v>
      </c>
      <c r="R25" s="311">
        <v>0.0</v>
      </c>
      <c r="S25" s="311">
        <v>0.0</v>
      </c>
      <c r="T25" s="312">
        <v>0.0</v>
      </c>
      <c r="U25" s="313">
        <f t="shared" si="11"/>
        <v>0</v>
      </c>
      <c r="V25" s="313" t="str">
        <f>SWITCH(W25,"cash",Reference!$E$5,"shares",Reference!$E$6,"balance",Reference!$E$7,"pro-rata",Reference!$B$5)</f>
        <v>#DIV/0!</v>
      </c>
      <c r="W25" s="314" t="s">
        <v>205</v>
      </c>
      <c r="X25" s="315">
        <f>LET(numVmwShares,D25, cashRatio,Reference!$B$4, vmwFinalPrice,Reference!$B$3, numVmwShares * cashRatio * vmwFinalPrice)</f>
        <v>0</v>
      </c>
      <c r="Y25" s="315">
        <f>iferror(LET(numVmwShares,$D25, stockRatio,U25, vmwFinalPrice,Reference!$B$3, (1 - stockRatio) * vmwFinalPrice * numVmwShares),0)</f>
        <v>0</v>
      </c>
      <c r="Z25" s="315">
        <f>iferror(LET(numVmwShares,$D25, stockRatio,V25, vmwFinalPrice,Reference!$B$3, (1 - stockRatio) * vmwFinalPrice * numVmwShares),0)</f>
        <v>0</v>
      </c>
      <c r="AA25" s="315">
        <f>SWITCH(Reference!$E$4,"eTradeTransactionLog", X25, "eTradeHoldingRatio", X25, "eTradeLotQtyRatio",Y25, "manualLotRatio", Z25)</f>
        <v>0</v>
      </c>
      <c r="AB25" s="305">
        <f>LET(purchaseDate,C25, dateOfRecord,Reference!$B$26, returnOfCapital,Reference!$C$26, IF(purchaseDate &lt; dateOfRecord, returnOfCapital,0))</f>
        <v>0</v>
      </c>
      <c r="AC25" s="305">
        <f>LET(purchaseDate,C25, dateOfRecord,Reference!$B$27, returnOfCapital,Reference!$C$27, IF(purchaseDate &lt; dateOfRecord, returnOfCapital,0))</f>
        <v>0</v>
      </c>
      <c r="AD25" s="305">
        <f t="shared" si="12"/>
        <v>99.72</v>
      </c>
      <c r="AE25" s="305">
        <f t="shared" si="13"/>
        <v>0</v>
      </c>
      <c r="AF25" s="316">
        <f>LET(numVmwShares,D25, stockRatio,Reference!$B$5, vmwToAvgoRatio,Reference!$B$6, numVmwShares * stockRatio * vmwToAvgoRatio)</f>
        <v>0</v>
      </c>
      <c r="AG25" s="316">
        <f>LET(numVmwShares,D25, stockRatio,U25, vmwToAvgoRatio,Reference!$B$6, numVmwShares * stockRatio * vmwToAvgoRatio)</f>
        <v>0</v>
      </c>
      <c r="AH25" s="316" t="str">
        <f>LET(numVmwShares,D25, stockRatio,V25, vmwToAvgoRatio,Reference!$B$6, numVmwShares * stockRatio * vmwToAvgoRatio)</f>
        <v>#DIV/0!</v>
      </c>
      <c r="AI25" s="316">
        <f>SWITCH(Reference!$E$4,"eTradeTransactionLog", AF25, "eTradeHoldingRatio", AF25, "eTradeLotQtyRatio",AG25, "manualLotRatio", AH25)</f>
        <v>0</v>
      </c>
      <c r="AJ25" s="317">
        <f>LET(numVmwShares,D25, vmwBasis,AD25, avgoQty,AI25, avgoFMV,Reference!$B$18, cashReceived,AA25, gain,cashReceived+(avgoQty*avgoFMV)-(numVmwShares*vmwBasis),
MAX(gain,0))</f>
        <v>0</v>
      </c>
      <c r="AK25" s="318">
        <f>LET(useForFraction,N25, fractionAmount,Summary!$C$41, esppFractionLots,$N$5, rsuFractionLots,RSU!J$5, IF(useForFraction, fractionAmount / (esppFractionLots+rsuFractionLots), 0))</f>
        <v>0</v>
      </c>
      <c r="AL25" s="319">
        <f>LET(useForFraction,N25, fractionSaleFMV,Reference!$B$23, postMergerBasis,AY25, lotFractionAmount,AK25, IF(useForFraction, (fractionSaleFMV - postMergerBasis)*lotFractionAmount, 0))</f>
        <v>0</v>
      </c>
      <c r="AM25" s="320">
        <f t="shared" si="14"/>
        <v>0</v>
      </c>
      <c r="AN25" s="321">
        <f>LET(
imputedIncome,BB25,
avgoQty,AI25, 
perAvgoIncome, iferror(imputedIncome/avgoQty,0),
purchaseDate,C25,
mergerDate,Reference!$B$28,
lotFractionAmount,AK25,
lotFractionGain,AL25,
mergerGain,AM25,
shortTermGain,IF(DATEDIF(purchaseDate,mergerDate,"Y")&gt;=1,
  0,
  lotFractionGain + mergerGain
),
incomeOnFraction,perAvgoIncome*lotFractionAmount, 
shortTermGain + incomeOnFraction + IF(avgoQty=0,imputedIncome-incomeOnFraction,0))</f>
        <v>0</v>
      </c>
      <c r="AO25" s="321">
        <f>LET(
purchaseDate,C25,
mergerDate,Reference!$B$28,
lotFractionGain,AL25,
mergerGain,AM25,
IF(DATEDIF(purchaseDate,mergerDate,"Y")&gt;=1,
  lotFractionGain+mergerGain,
  0
))</f>
        <v>0</v>
      </c>
      <c r="AP25" s="335" t="str">
        <f>IF(DATEDIF(L25,Reference!$B$28,"Y")&gt;=1,"Part II Box D","Part I Box A")</f>
        <v>Part II Box D</v>
      </c>
      <c r="AQ25" s="336">
        <f t="shared" si="15"/>
        <v>44620</v>
      </c>
      <c r="AR25" s="337">
        <f t="shared" si="16"/>
        <v>0</v>
      </c>
      <c r="AS25" s="337">
        <f>LET(
cashReceived,AA25, 
avgoQty,AI25, 
proceedsStyle,Reference!$E$9, 
avgoFMV,Reference!$B$18, 
SWITCH(proceedsStyle, "combined", cashReceived +(avgoQty*avgoFMV), "cashOnly", cashReceived))</f>
        <v>0</v>
      </c>
      <c r="AT25" s="338">
        <f t="shared" si="17"/>
        <v>0</v>
      </c>
      <c r="AU25" s="338" t="str">
        <f t="shared" si="18"/>
        <v/>
      </c>
      <c r="AV25" s="337">
        <f>LET(
numVmwShares,D25, 
vmwBasis, AD25, 
avgoQty,AI25, 
avgoFMV,Reference!$B$18, 
cashReceived,AA25, 
avgoTotalValue, avgoFMV*avgoQty, 
vmwTotalBasis, vmwBasis*numVmwShares,
alternateGainAmount,AJ25, 
basis1099B, AT25,
basis1099B - IF(cashReceived&lt;alternateGainAmount,
  avgoTotalValue,
  vmwTotalBasis
))</f>
        <v>0</v>
      </c>
      <c r="AW25" s="339">
        <f t="shared" si="19"/>
        <v>0</v>
      </c>
      <c r="AX25" s="327" t="str">
        <f t="shared" si="20"/>
        <v>n/a</v>
      </c>
      <c r="AY25" s="327" t="str">
        <f t="shared" si="21"/>
        <v>n/a</v>
      </c>
      <c r="AZ25" s="328">
        <f>LET(saleFMV,Reference!$B$10, postMergerBasis,AY25, avgoQty,AI25, lotFractionAmount,AK25, iferror((saleFMV - postMergerBasis) * (avgoQty - lotFractionAmount), 0))</f>
        <v>0</v>
      </c>
      <c r="BA25" s="329" t="b">
        <f>LET(grantDate,B25, postMergerSaleDate,Reference!$B$29, purchaseBeginDate,A27, AND(DATEDIF(grantDate,postMergerSaleDate,"Y")&gt;=1, DATEDIF(purchaseBeginDate, postMergerSaleDate, "Y")&gt;=2))</f>
        <v>1</v>
      </c>
      <c r="BB25" s="328">
        <f>LET(
vmwBasis,AD25,
numVmwShares,D25,
cashReceived,AA25,
gainRecognized,AM25,
pureAvgoBasis,IFERROR((vmwBasis - (cashReceived + gainRecognized)/numVmwShares),0),
isQualified,BA25,
saleFMV,Reference!$B$10,
actualPrice,L25,
purchaseDateFMV,F25,
grantDateFMV,E25,
gainFromSale,(saleFMV - pureAvgoBasis),
disqualifiedIncome,(purchaseDateFMV - actualPrice),
qualifiedIncome,MIN(
   gainFromSale,
   (0.15 * grantDateFMV)),
income,IF(isQualified,
   qualifiedIncome,
   disqualifiedIncome),
numVmwShares * income)</f>
        <v>0</v>
      </c>
      <c r="BC25" s="330">
        <f>LET(
avgoQty,AI25, 
purchaseDate,C25,
postMergerSaleDate,Reference!$B$29,
saleFMV,Reference!$B$10,
postMergerBasis,AY25, 
IF(DATEDIF(purchaseDate,postMergerSaleDate,"Y")&gt;=1,
  0,
  avgoQty * (saleFMV - postMergerBasis)
))</f>
        <v>0</v>
      </c>
      <c r="BD25" s="331">
        <f>LET(
avgoQty,AI25, 
purchaseDate,C25,
postMergerSaleDate,Reference!$B$29,
saleFMV,Reference!$B$10,
postMergerBasis,AY25, 
IFERROR(IF(DATEDIF(purchaseDate,postMergerSaleDate,"Y")&gt;=1,
  avgoQty * (saleFMV - postMergerBasis),
  0
),0))</f>
        <v>0</v>
      </c>
    </row>
    <row r="26">
      <c r="A26" s="345">
        <f t="shared" si="6"/>
        <v>44621</v>
      </c>
      <c r="B26" s="346">
        <v>44621.0</v>
      </c>
      <c r="C26" s="347">
        <v>44804.0</v>
      </c>
      <c r="D26" s="348"/>
      <c r="E26" s="349">
        <v>115.91</v>
      </c>
      <c r="F26" s="349">
        <v>116.03</v>
      </c>
      <c r="G26" s="350"/>
      <c r="H26" s="351">
        <f t="shared" si="7"/>
        <v>0</v>
      </c>
      <c r="I26" s="349">
        <f t="shared" si="23"/>
        <v>0</v>
      </c>
      <c r="J26" s="351">
        <f t="shared" si="8"/>
        <v>0</v>
      </c>
      <c r="K26" s="351">
        <f t="shared" si="9"/>
        <v>0</v>
      </c>
      <c r="L26" s="352">
        <f t="shared" si="25"/>
        <v>98.52</v>
      </c>
      <c r="M26" s="353"/>
      <c r="N26" s="354" t="b">
        <v>0</v>
      </c>
      <c r="O26" s="355"/>
      <c r="P26" s="356">
        <v>0.0</v>
      </c>
      <c r="Q26" s="356">
        <v>0.0</v>
      </c>
      <c r="R26" s="356">
        <v>0.0</v>
      </c>
      <c r="S26" s="356">
        <v>0.0</v>
      </c>
      <c r="T26" s="357">
        <v>0.0</v>
      </c>
      <c r="U26" s="358">
        <f t="shared" si="11"/>
        <v>0</v>
      </c>
      <c r="V26" s="313" t="str">
        <f>SWITCH(W26,"cash",Reference!$E$5,"shares",Reference!$E$6,"balance",Reference!$E$7,"pro-rata",Reference!$B$5)</f>
        <v>#DIV/0!</v>
      </c>
      <c r="W26" s="359" t="s">
        <v>205</v>
      </c>
      <c r="X26" s="315">
        <f>LET(numVmwShares,D26, cashRatio,Reference!$B$4, vmwFinalPrice,Reference!$B$3, numVmwShares * cashRatio * vmwFinalPrice)</f>
        <v>0</v>
      </c>
      <c r="Y26" s="315">
        <f>iferror(LET(numVmwShares,$D26, stockRatio,U26, vmwFinalPrice,Reference!$B$3, (1 - stockRatio) * vmwFinalPrice * numVmwShares),0)</f>
        <v>0</v>
      </c>
      <c r="Z26" s="315">
        <f>iferror(LET(numVmwShares,$D26, stockRatio,V26, vmwFinalPrice,Reference!$B$3, (1 - stockRatio) * vmwFinalPrice * numVmwShares),0)</f>
        <v>0</v>
      </c>
      <c r="AA26" s="360">
        <f>SWITCH(Reference!$E$4,"eTradeTransactionLog", X26, "eTradeHoldingRatio", X26, "eTradeLotQtyRatio",Y26, "manualLotRatio", Z26)</f>
        <v>0</v>
      </c>
      <c r="AB26" s="305">
        <f>LET(purchaseDate,C26, dateOfRecord,Reference!$B$26, returnOfCapital,Reference!$C$26, IF(purchaseDate &lt; dateOfRecord, returnOfCapital,0))</f>
        <v>0</v>
      </c>
      <c r="AC26" s="305">
        <f>LET(purchaseDate,C26, dateOfRecord,Reference!$B$27, returnOfCapital,Reference!$C$27, IF(purchaseDate &lt; dateOfRecord, returnOfCapital,0))</f>
        <v>0</v>
      </c>
      <c r="AD26" s="305">
        <f t="shared" si="12"/>
        <v>98.52</v>
      </c>
      <c r="AE26" s="305">
        <f t="shared" si="13"/>
        <v>0</v>
      </c>
      <c r="AF26" s="316">
        <f>LET(numVmwShares,D26, stockRatio,Reference!$B$5, vmwToAvgoRatio,Reference!$B$6, numVmwShares * stockRatio * vmwToAvgoRatio)</f>
        <v>0</v>
      </c>
      <c r="AG26" s="316">
        <f>LET(numVmwShares,D26, stockRatio,U26, vmwToAvgoRatio,Reference!$B$6, numVmwShares * stockRatio * vmwToAvgoRatio)</f>
        <v>0</v>
      </c>
      <c r="AH26" s="316" t="str">
        <f>LET(numVmwShares,D26, stockRatio,V26, vmwToAvgoRatio,Reference!$B$6, numVmwShares * stockRatio * vmwToAvgoRatio)</f>
        <v>#DIV/0!</v>
      </c>
      <c r="AI26" s="361">
        <f>SWITCH(Reference!$E$4,"eTradeTransactionLog", AF26, "eTradeHoldingRatio", AF26, "eTradeLotQtyRatio",AG26, "manualLotRatio", AH26)</f>
        <v>0</v>
      </c>
      <c r="AJ26" s="317">
        <f>LET(numVmwShares,D26, vmwBasis,AD26, avgoQty,AI26, avgoFMV,Reference!$B$18, cashReceived,AA26, gain,cashReceived+(avgoQty*avgoFMV)-(numVmwShares*vmwBasis),
MAX(gain,0))</f>
        <v>0</v>
      </c>
      <c r="AK26" s="318">
        <f>LET(useForFraction,N26, fractionAmount,Summary!$C$41, esppFractionLots,$N$5, rsuFractionLots,RSU!J$5, IF(useForFraction, fractionAmount / (esppFractionLots+rsuFractionLots), 0))</f>
        <v>0</v>
      </c>
      <c r="AL26" s="319">
        <f>LET(useForFraction,N26, fractionSaleFMV,Reference!$B$23, postMergerBasis,AY26, lotFractionAmount,AK26, IF(useForFraction, (fractionSaleFMV - postMergerBasis)*lotFractionAmount, 0))</f>
        <v>0</v>
      </c>
      <c r="AM26" s="320">
        <f t="shared" si="14"/>
        <v>0</v>
      </c>
      <c r="AN26" s="321">
        <f>LET(
imputedIncome,BB26,
avgoQty,AI26, 
perAvgoIncome, iferror(imputedIncome/avgoQty,0),
purchaseDate,C26,
mergerDate,Reference!$B$28,
lotFractionAmount,AK26,
lotFractionGain,AL26,
mergerGain,AM26,
shortTermGain,IF(DATEDIF(purchaseDate,mergerDate,"Y")&gt;=1,
  0,
  lotFractionGain + mergerGain
),
incomeOnFraction,perAvgoIncome*lotFractionAmount, 
shortTermGain + incomeOnFraction + IF(avgoQty=0,imputedIncome-incomeOnFraction,0))</f>
        <v>0</v>
      </c>
      <c r="AO26" s="321">
        <f>LET(
purchaseDate,C26,
mergerDate,Reference!$B$28,
lotFractionGain,AL26,
mergerGain,AM26,
IF(DATEDIF(purchaseDate,mergerDate,"Y")&gt;=1,
  lotFractionGain+mergerGain,
  0
))</f>
        <v>0</v>
      </c>
      <c r="AP26" s="335" t="str">
        <f>IF(DATEDIF(L26,Reference!$B$28,"Y")&gt;=1,"Part II Box D","Part I Box A")</f>
        <v>Part II Box D</v>
      </c>
      <c r="AQ26" s="336">
        <f t="shared" si="15"/>
        <v>44804</v>
      </c>
      <c r="AR26" s="337">
        <f t="shared" si="16"/>
        <v>0</v>
      </c>
      <c r="AS26" s="337">
        <f>LET(
cashReceived,AA26, 
avgoQty,AI26, 
proceedsStyle,Reference!$E$9, 
avgoFMV,Reference!$B$18, 
SWITCH(proceedsStyle, "combined", cashReceived +(avgoQty*avgoFMV), "cashOnly", cashReceived))</f>
        <v>0</v>
      </c>
      <c r="AT26" s="338">
        <f t="shared" si="17"/>
        <v>0</v>
      </c>
      <c r="AU26" s="338" t="str">
        <f t="shared" si="18"/>
        <v/>
      </c>
      <c r="AV26" s="337">
        <f>LET(
numVmwShares,D26, 
vmwBasis, AD26, 
avgoQty,AI26, 
avgoFMV,Reference!$B$18, 
cashReceived,AA26, 
avgoTotalValue, avgoFMV*avgoQty, 
vmwTotalBasis, vmwBasis*numVmwShares,
alternateGainAmount,AJ26, 
basis1099B, AT26,
basis1099B - IF(cashReceived&lt;alternateGainAmount,
  avgoTotalValue,
  vmwTotalBasis
))</f>
        <v>0</v>
      </c>
      <c r="AW26" s="339">
        <f t="shared" si="19"/>
        <v>0</v>
      </c>
      <c r="AX26" s="327" t="str">
        <f t="shared" si="20"/>
        <v>n/a</v>
      </c>
      <c r="AY26" s="327" t="str">
        <f t="shared" si="21"/>
        <v>n/a</v>
      </c>
      <c r="AZ26" s="328">
        <f>LET(saleFMV,Reference!$B$10, postMergerBasis,AY26, avgoQty,AI26, lotFractionAmount,AK26, iferror((saleFMV - postMergerBasis) * (avgoQty - lotFractionAmount), 0))</f>
        <v>0</v>
      </c>
      <c r="BA26" s="329" t="b">
        <f>LET(grantDate,B26, postMergerSaleDate,Reference!$B$29, purchaseBeginDate,A28, AND(DATEDIF(grantDate,postMergerSaleDate,"Y")&gt;=1, DATEDIF(purchaseBeginDate, postMergerSaleDate, "Y")&gt;=2))</f>
        <v>1</v>
      </c>
      <c r="BB26" s="328">
        <f>LET(
vmwBasis,AD26,
numVmwShares,D26,
cashReceived,AA26,
gainRecognized,AM26,
pureAvgoBasis,IFERROR((vmwBasis - (cashReceived + gainRecognized)/numVmwShares),0),
isQualified,BA26,
saleFMV,Reference!$B$10,
actualPrice,L26,
purchaseDateFMV,F26,
grantDateFMV,E26,
gainFromSale,(saleFMV - pureAvgoBasis),
disqualifiedIncome,(purchaseDateFMV - actualPrice),
qualifiedIncome,MIN(
   gainFromSale,
   (0.15 * grantDateFMV)),
income,IF(isQualified,
   qualifiedIncome,
   disqualifiedIncome),
numVmwShares * income)</f>
        <v>0</v>
      </c>
      <c r="BC26" s="330">
        <f>LET(
avgoQty,AI26, 
purchaseDate,C26,
postMergerSaleDate,Reference!$B$29,
saleFMV,Reference!$B$10,
postMergerBasis,AY26, 
IF(DATEDIF(purchaseDate,postMergerSaleDate,"Y")&gt;=1,
  0,
  avgoQty * (saleFMV - postMergerBasis)
))</f>
        <v>0</v>
      </c>
      <c r="BD26" s="331">
        <f>LET(
avgoQty,AI26, 
purchaseDate,C26,
postMergerSaleDate,Reference!$B$29,
saleFMV,Reference!$B$10,
postMergerBasis,AY26, 
IFERROR(IF(DATEDIF(purchaseDate,postMergerSaleDate,"Y")&gt;=1,
  avgoQty * (saleFMV - postMergerBasis),
  0
),0))</f>
        <v>0</v>
      </c>
    </row>
    <row r="27">
      <c r="A27" s="345"/>
      <c r="B27" s="346"/>
      <c r="C27" s="347"/>
      <c r="D27" s="348"/>
      <c r="E27" s="349"/>
      <c r="F27" s="349"/>
      <c r="G27" s="350"/>
      <c r="H27" s="351"/>
      <c r="I27" s="349"/>
      <c r="J27" s="351"/>
      <c r="K27" s="351"/>
      <c r="L27" s="352"/>
      <c r="M27" s="362"/>
      <c r="N27" s="354"/>
      <c r="O27" s="355"/>
      <c r="P27" s="356"/>
      <c r="Q27" s="356"/>
      <c r="R27" s="356"/>
      <c r="S27" s="356"/>
      <c r="T27" s="357"/>
      <c r="U27" s="358"/>
      <c r="V27" s="313"/>
      <c r="W27" s="359"/>
      <c r="X27" s="360"/>
      <c r="Y27" s="360"/>
      <c r="Z27" s="360"/>
      <c r="AA27" s="360"/>
      <c r="AB27" s="351"/>
      <c r="AC27" s="351"/>
      <c r="AD27" s="351"/>
      <c r="AE27" s="351"/>
      <c r="AF27" s="361"/>
      <c r="AG27" s="361"/>
      <c r="AH27" s="361"/>
      <c r="AI27" s="361"/>
      <c r="AJ27" s="363"/>
      <c r="AK27" s="364"/>
      <c r="AL27" s="365"/>
      <c r="AM27" s="366"/>
      <c r="AN27" s="367"/>
      <c r="AO27" s="367"/>
      <c r="AP27" s="368"/>
      <c r="AQ27" s="369"/>
      <c r="AR27" s="370"/>
      <c r="AS27" s="370"/>
      <c r="AT27" s="371"/>
      <c r="AU27" s="371"/>
      <c r="AV27" s="370"/>
      <c r="AW27" s="372"/>
      <c r="AX27" s="373"/>
      <c r="AY27" s="373"/>
      <c r="AZ27" s="374"/>
      <c r="BA27" s="375"/>
      <c r="BB27" s="374"/>
      <c r="BC27" s="376"/>
      <c r="BD27" s="377"/>
    </row>
    <row r="28">
      <c r="A28" s="172"/>
      <c r="B28" s="172"/>
      <c r="C28" s="172"/>
      <c r="D28" s="172"/>
      <c r="E28" s="172"/>
      <c r="F28" s="172"/>
      <c r="G28" s="172"/>
      <c r="H28" s="172"/>
      <c r="I28" s="172"/>
      <c r="J28" s="172"/>
      <c r="K28" s="172"/>
      <c r="L28" s="172"/>
      <c r="M28" s="172"/>
      <c r="N28" s="172"/>
      <c r="O28" s="172"/>
      <c r="P28" s="172"/>
      <c r="Q28" s="172"/>
      <c r="R28" s="172"/>
      <c r="S28" s="172"/>
      <c r="T28" s="172"/>
      <c r="U28" s="172"/>
      <c r="V28" s="172"/>
      <c r="X28" s="378"/>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379"/>
      <c r="BD28" s="172"/>
    </row>
    <row r="29">
      <c r="A29" s="380"/>
      <c r="B29" s="168"/>
      <c r="C29" s="168"/>
      <c r="D29" s="381">
        <f>D5</f>
        <v>0</v>
      </c>
      <c r="E29" s="168"/>
      <c r="F29" s="168"/>
      <c r="G29" s="382"/>
      <c r="H29" s="383">
        <f>H5</f>
        <v>0</v>
      </c>
      <c r="I29" s="168"/>
      <c r="J29" s="168"/>
      <c r="K29" s="168"/>
      <c r="L29" s="168"/>
      <c r="M29" s="384">
        <f t="shared" ref="M29:N29" si="26">M5</f>
        <v>0</v>
      </c>
      <c r="N29" s="382">
        <f t="shared" si="26"/>
        <v>0</v>
      </c>
      <c r="O29" s="168"/>
      <c r="P29" s="168"/>
      <c r="Q29" s="168"/>
      <c r="R29" s="168"/>
      <c r="S29" s="168"/>
      <c r="T29" s="168"/>
      <c r="U29" s="168"/>
      <c r="V29" s="168"/>
      <c r="W29" s="385"/>
      <c r="X29" s="383">
        <f t="shared" ref="X29:AA29" si="27">X5</f>
        <v>0</v>
      </c>
      <c r="Y29" s="383">
        <f t="shared" si="27"/>
        <v>0</v>
      </c>
      <c r="Z29" s="383">
        <f t="shared" si="27"/>
        <v>0</v>
      </c>
      <c r="AA29" s="383">
        <f t="shared" si="27"/>
        <v>0</v>
      </c>
      <c r="AB29" s="168"/>
      <c r="AC29" s="168"/>
      <c r="AD29" s="168"/>
      <c r="AE29" s="168"/>
      <c r="AF29" s="386">
        <f t="shared" ref="AF29:AO29" si="28">AF5</f>
        <v>0</v>
      </c>
      <c r="AG29" s="386">
        <f t="shared" si="28"/>
        <v>0</v>
      </c>
      <c r="AH29" s="386" t="str">
        <f t="shared" si="28"/>
        <v>#DIV/0!</v>
      </c>
      <c r="AI29" s="387">
        <f t="shared" si="28"/>
        <v>0</v>
      </c>
      <c r="AJ29" s="383">
        <f t="shared" si="28"/>
        <v>0</v>
      </c>
      <c r="AK29" s="388">
        <f t="shared" si="28"/>
        <v>0</v>
      </c>
      <c r="AL29" s="280">
        <f t="shared" si="28"/>
        <v>0</v>
      </c>
      <c r="AM29" s="207">
        <f t="shared" si="28"/>
        <v>0</v>
      </c>
      <c r="AN29" s="389">
        <f t="shared" si="28"/>
        <v>0</v>
      </c>
      <c r="AO29" s="390">
        <f t="shared" si="28"/>
        <v>0</v>
      </c>
      <c r="AP29" s="279"/>
      <c r="AQ29" s="280"/>
      <c r="AR29" s="280"/>
      <c r="AS29" s="280">
        <f t="shared" ref="AS29:AT29" si="29">AS5</f>
        <v>0</v>
      </c>
      <c r="AT29" s="280">
        <f t="shared" si="29"/>
        <v>0</v>
      </c>
      <c r="AU29" s="279"/>
      <c r="AV29" s="280">
        <f t="shared" ref="AV29:AW29" si="30">AV5</f>
        <v>0</v>
      </c>
      <c r="AW29" s="280">
        <f t="shared" si="30"/>
        <v>0</v>
      </c>
      <c r="AX29" s="168"/>
      <c r="AY29" s="168"/>
      <c r="AZ29" s="167">
        <f>AZ5</f>
        <v>0</v>
      </c>
      <c r="BA29" s="167"/>
      <c r="BB29" s="167">
        <f t="shared" ref="BB29:BD29" si="31">BB5</f>
        <v>0</v>
      </c>
      <c r="BC29" s="391">
        <f t="shared" si="31"/>
        <v>0</v>
      </c>
      <c r="BD29" s="392">
        <f t="shared" si="31"/>
        <v>0</v>
      </c>
    </row>
    <row r="30">
      <c r="AQ30" s="393"/>
      <c r="AR30" s="393"/>
      <c r="AS30" s="43" t="s">
        <v>206</v>
      </c>
    </row>
    <row r="31">
      <c r="AX31" s="144"/>
      <c r="AY31" s="144" t="s">
        <v>207</v>
      </c>
    </row>
  </sheetData>
  <mergeCells count="19">
    <mergeCell ref="A1:W1"/>
    <mergeCell ref="X1:BD1"/>
    <mergeCell ref="M2:N2"/>
    <mergeCell ref="U2:W2"/>
    <mergeCell ref="X2:AJ2"/>
    <mergeCell ref="AL2:AW2"/>
    <mergeCell ref="AY2:BD2"/>
    <mergeCell ref="AF3:AI3"/>
    <mergeCell ref="AL3:AM3"/>
    <mergeCell ref="AN3:AO3"/>
    <mergeCell ref="AP3:AW3"/>
    <mergeCell ref="AY3:BD3"/>
    <mergeCell ref="A2:L2"/>
    <mergeCell ref="B3:G3"/>
    <mergeCell ref="I3:L3"/>
    <mergeCell ref="O3:T3"/>
    <mergeCell ref="U3:W3"/>
    <mergeCell ref="X3:AA3"/>
    <mergeCell ref="AB3:AC3"/>
  </mergeCells>
  <conditionalFormatting sqref="M7:M27">
    <cfRule type="cellIs" dxfId="6" priority="1" operator="notEqual">
      <formula>ROUND(AF7,3)</formula>
    </cfRule>
  </conditionalFormatting>
  <conditionalFormatting sqref="AM7:AM27">
    <cfRule type="cellIs" dxfId="7" priority="2" operator="notEqual">
      <formula>AA7</formula>
    </cfRule>
  </conditionalFormatting>
  <conditionalFormatting sqref="AL7:AL27">
    <cfRule type="cellIs" dxfId="8" priority="3" operator="equal">
      <formula>0</formula>
    </cfRule>
  </conditionalFormatting>
  <conditionalFormatting sqref="AL7:AL27">
    <cfRule type="cellIs" dxfId="9" priority="4" operator="notEqual">
      <formula>0</formula>
    </cfRule>
  </conditionalFormatting>
  <conditionalFormatting sqref="O7:O27">
    <cfRule type="cellIs" dxfId="6" priority="5" operator="notEqual">
      <formula>"AA7"</formula>
    </cfRule>
  </conditionalFormatting>
  <dataValidations>
    <dataValidation type="decimal" operator="greaterThanOrEqual" allowBlank="1" showDropDown="1" showErrorMessage="1" sqref="D7:D27 G7:G27 M7:M27">
      <formula1>0.0</formula1>
    </dataValidation>
    <dataValidation type="list" allowBlank="1" showErrorMessage="1" sqref="W7:W27">
      <formula1>"balance,cash,shares,pro-rata"</formula1>
    </dataValidation>
  </dataValidations>
  <hyperlinks>
    <hyperlink r:id="rId2" location=":~:text=Attach%20a%20statement%20to%20your%20return%20explaining%20the%20adjustment%20that%20you%20made%20to%20the%20sales%20proceeds%20reported%20for%20that%20transaction." ref="AS30"/>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3"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8" width="18.75"/>
    <col customWidth="1" min="49" max="49" width="19.88"/>
  </cols>
  <sheetData>
    <row r="1">
      <c r="A1" s="394" t="s">
        <v>2</v>
      </c>
      <c r="T1" s="395" t="s">
        <v>140</v>
      </c>
      <c r="AW1" s="19"/>
    </row>
    <row r="2">
      <c r="A2" s="396" t="s">
        <v>208</v>
      </c>
      <c r="B2" s="182"/>
      <c r="C2" s="182"/>
      <c r="D2" s="182"/>
      <c r="E2" s="182"/>
      <c r="F2" s="182"/>
      <c r="G2" s="182"/>
      <c r="H2" s="183"/>
      <c r="I2" s="397" t="s">
        <v>142</v>
      </c>
      <c r="J2" s="182"/>
      <c r="K2" s="182"/>
      <c r="L2" s="182"/>
      <c r="M2" s="182"/>
      <c r="N2" s="182"/>
      <c r="O2" s="182"/>
      <c r="P2" s="183"/>
      <c r="Q2" s="232"/>
      <c r="R2" s="182"/>
      <c r="S2" s="183"/>
      <c r="T2" s="396" t="s">
        <v>143</v>
      </c>
      <c r="U2" s="182"/>
      <c r="V2" s="182"/>
      <c r="W2" s="182"/>
      <c r="X2" s="182"/>
      <c r="Y2" s="182"/>
      <c r="Z2" s="182"/>
      <c r="AA2" s="182"/>
      <c r="AB2" s="182"/>
      <c r="AC2" s="182"/>
      <c r="AD2" s="182"/>
      <c r="AE2" s="182"/>
      <c r="AF2" s="182"/>
      <c r="AG2" s="398"/>
      <c r="AH2" s="396" t="s">
        <v>144</v>
      </c>
      <c r="AI2" s="182"/>
      <c r="AJ2" s="182"/>
      <c r="AK2" s="182"/>
      <c r="AL2" s="182"/>
      <c r="AM2" s="182"/>
      <c r="AN2" s="182"/>
      <c r="AO2" s="182"/>
      <c r="AP2" s="182"/>
      <c r="AQ2" s="182"/>
      <c r="AR2" s="182"/>
      <c r="AS2" s="183"/>
      <c r="AT2" s="232" t="s">
        <v>145</v>
      </c>
      <c r="AU2" s="182"/>
      <c r="AV2" s="182"/>
      <c r="AW2" s="183"/>
    </row>
    <row r="3">
      <c r="A3" s="399"/>
      <c r="B3" s="400" t="s">
        <v>146</v>
      </c>
      <c r="F3" s="401" t="s">
        <v>209</v>
      </c>
      <c r="G3" s="402" t="s">
        <v>147</v>
      </c>
      <c r="H3" s="19"/>
      <c r="I3" s="403" t="s">
        <v>149</v>
      </c>
      <c r="K3" s="404" t="s">
        <v>150</v>
      </c>
      <c r="L3" s="238"/>
      <c r="M3" s="238"/>
      <c r="N3" s="238"/>
      <c r="O3" s="238"/>
      <c r="P3" s="239"/>
      <c r="Q3" s="404" t="s">
        <v>151</v>
      </c>
      <c r="R3" s="238"/>
      <c r="S3" s="239"/>
      <c r="T3" s="241" t="s">
        <v>152</v>
      </c>
      <c r="W3" s="19"/>
      <c r="X3" s="400" t="s">
        <v>153</v>
      </c>
      <c r="Y3" s="19"/>
      <c r="Z3" s="400" t="s">
        <v>210</v>
      </c>
      <c r="AB3" s="242" t="s">
        <v>89</v>
      </c>
      <c r="AE3" s="19"/>
      <c r="AF3" s="400" t="s">
        <v>155</v>
      </c>
      <c r="AG3" s="402"/>
      <c r="AH3" s="400" t="s">
        <v>156</v>
      </c>
      <c r="AI3" s="19"/>
      <c r="AJ3" s="400" t="s">
        <v>211</v>
      </c>
      <c r="AK3" s="19"/>
      <c r="AL3" s="139" t="s">
        <v>111</v>
      </c>
      <c r="AS3" s="19"/>
      <c r="AT3" s="244" t="s">
        <v>157</v>
      </c>
      <c r="AW3" s="19"/>
    </row>
    <row r="4">
      <c r="A4" s="405" t="s">
        <v>212</v>
      </c>
      <c r="B4" s="406" t="s">
        <v>213</v>
      </c>
      <c r="C4" s="406" t="s">
        <v>214</v>
      </c>
      <c r="D4" s="407" t="s">
        <v>215</v>
      </c>
      <c r="E4" s="257" t="s">
        <v>216</v>
      </c>
      <c r="F4" s="408" t="s">
        <v>217</v>
      </c>
      <c r="G4" s="409" t="s">
        <v>218</v>
      </c>
      <c r="H4" s="405" t="s">
        <v>219</v>
      </c>
      <c r="I4" s="410" t="s">
        <v>170</v>
      </c>
      <c r="J4" s="411" t="s">
        <v>171</v>
      </c>
      <c r="K4" s="412" t="s">
        <v>172</v>
      </c>
      <c r="L4" s="185" t="s">
        <v>173</v>
      </c>
      <c r="M4" s="185" t="s">
        <v>174</v>
      </c>
      <c r="N4" s="185" t="s">
        <v>175</v>
      </c>
      <c r="O4" s="185" t="s">
        <v>176</v>
      </c>
      <c r="P4" s="413" t="s">
        <v>177</v>
      </c>
      <c r="Q4" s="185" t="s">
        <v>178</v>
      </c>
      <c r="R4" s="185" t="s">
        <v>179</v>
      </c>
      <c r="S4" s="413" t="s">
        <v>180</v>
      </c>
      <c r="T4" s="249" t="s">
        <v>181</v>
      </c>
      <c r="U4" s="257" t="s">
        <v>182</v>
      </c>
      <c r="V4" s="257" t="s">
        <v>183</v>
      </c>
      <c r="W4" s="257" t="s">
        <v>184</v>
      </c>
      <c r="X4" s="407" t="s">
        <v>185</v>
      </c>
      <c r="Y4" s="405" t="s">
        <v>186</v>
      </c>
      <c r="Z4" s="257" t="s">
        <v>187</v>
      </c>
      <c r="AA4" s="257" t="s">
        <v>188</v>
      </c>
      <c r="AB4" s="259" t="s">
        <v>181</v>
      </c>
      <c r="AC4" s="249" t="s">
        <v>189</v>
      </c>
      <c r="AD4" s="249" t="s">
        <v>183</v>
      </c>
      <c r="AE4" s="258" t="s">
        <v>190</v>
      </c>
      <c r="AF4" s="407" t="s">
        <v>191</v>
      </c>
      <c r="AG4" s="414" t="s">
        <v>100</v>
      </c>
      <c r="AH4" s="415" t="s">
        <v>192</v>
      </c>
      <c r="AI4" s="405" t="s">
        <v>99</v>
      </c>
      <c r="AJ4" s="257" t="s">
        <v>193</v>
      </c>
      <c r="AK4" s="416" t="s">
        <v>194</v>
      </c>
      <c r="AL4" s="263" t="s">
        <v>195</v>
      </c>
      <c r="AM4" s="264" t="s">
        <v>196</v>
      </c>
      <c r="AN4" s="264" t="s">
        <v>197</v>
      </c>
      <c r="AO4" s="264" t="s">
        <v>112</v>
      </c>
      <c r="AP4" s="264" t="s">
        <v>113</v>
      </c>
      <c r="AQ4" s="264" t="s">
        <v>114</v>
      </c>
      <c r="AR4" s="264" t="s">
        <v>115</v>
      </c>
      <c r="AS4" s="265" t="s">
        <v>116</v>
      </c>
      <c r="AT4" s="417" t="s">
        <v>198</v>
      </c>
      <c r="AU4" s="417" t="s">
        <v>200</v>
      </c>
      <c r="AV4" s="266" t="s">
        <v>203</v>
      </c>
      <c r="AW4" s="411" t="s">
        <v>204</v>
      </c>
    </row>
    <row r="5">
      <c r="A5" s="380"/>
      <c r="B5" s="168"/>
      <c r="C5" s="168"/>
      <c r="D5" s="381">
        <f>SUM(D7:D85)</f>
        <v>0</v>
      </c>
      <c r="E5" s="168"/>
      <c r="F5" s="168"/>
      <c r="G5" s="206">
        <f t="shared" ref="G5:I5" si="1">SUM(G7:G85)</f>
        <v>0</v>
      </c>
      <c r="H5" s="383">
        <f t="shared" si="1"/>
        <v>0</v>
      </c>
      <c r="I5" s="418">
        <f t="shared" si="1"/>
        <v>0</v>
      </c>
      <c r="J5" s="168">
        <f>COUNTIF(J7:J85, TRUE)</f>
        <v>0</v>
      </c>
      <c r="K5" s="168"/>
      <c r="L5" s="168"/>
      <c r="M5" s="168"/>
      <c r="N5" s="168"/>
      <c r="O5" s="168"/>
      <c r="P5" s="168"/>
      <c r="Q5" s="168"/>
      <c r="R5" s="168"/>
      <c r="S5" s="168"/>
      <c r="T5" s="419">
        <f t="shared" ref="T5:W5" si="2">SUM(T7:T85)</f>
        <v>0</v>
      </c>
      <c r="U5" s="419">
        <f t="shared" si="2"/>
        <v>0</v>
      </c>
      <c r="V5" s="419">
        <f t="shared" si="2"/>
        <v>0</v>
      </c>
      <c r="W5" s="419">
        <f t="shared" si="2"/>
        <v>0</v>
      </c>
      <c r="X5" s="168"/>
      <c r="Y5" s="168"/>
      <c r="Z5" s="168"/>
      <c r="AA5" s="383">
        <f t="shared" ref="AA5:AK5" si="3">SUM(AA7:AA85)</f>
        <v>0</v>
      </c>
      <c r="AB5" s="386">
        <f t="shared" si="3"/>
        <v>0</v>
      </c>
      <c r="AC5" s="386">
        <f t="shared" si="3"/>
        <v>0</v>
      </c>
      <c r="AD5" s="386" t="str">
        <f t="shared" si="3"/>
        <v>#DIV/0!</v>
      </c>
      <c r="AE5" s="386">
        <f t="shared" si="3"/>
        <v>0</v>
      </c>
      <c r="AF5" s="383">
        <f t="shared" si="3"/>
        <v>0</v>
      </c>
      <c r="AG5" s="388">
        <f t="shared" si="3"/>
        <v>0</v>
      </c>
      <c r="AH5" s="420">
        <f t="shared" si="3"/>
        <v>0</v>
      </c>
      <c r="AI5" s="383">
        <f t="shared" si="3"/>
        <v>0</v>
      </c>
      <c r="AJ5" s="389">
        <f t="shared" si="3"/>
        <v>0</v>
      </c>
      <c r="AK5" s="389">
        <f t="shared" si="3"/>
        <v>0</v>
      </c>
      <c r="AL5" s="421"/>
      <c r="AM5" s="279"/>
      <c r="AN5" s="279"/>
      <c r="AO5" s="280">
        <f t="shared" ref="AO5:AP5" si="4">SUM(AO7:AO85)</f>
        <v>0</v>
      </c>
      <c r="AP5" s="383">
        <f t="shared" si="4"/>
        <v>0</v>
      </c>
      <c r="AQ5" s="422"/>
      <c r="AR5" s="423"/>
      <c r="AS5" s="390">
        <f>SUM(AS7:AS85)</f>
        <v>0</v>
      </c>
      <c r="AT5" s="168"/>
      <c r="AU5" s="167">
        <f t="shared" ref="AU5:AW5" si="5">SUM(AU7:AU85)</f>
        <v>0</v>
      </c>
      <c r="AV5" s="167">
        <f t="shared" si="5"/>
        <v>0</v>
      </c>
      <c r="AW5" s="167">
        <f t="shared" si="5"/>
        <v>0</v>
      </c>
    </row>
    <row r="6">
      <c r="A6" s="424"/>
      <c r="B6" s="285"/>
      <c r="C6" s="285"/>
      <c r="D6" s="285"/>
      <c r="E6" s="285"/>
      <c r="F6" s="285"/>
      <c r="G6" s="285"/>
      <c r="H6" s="285"/>
      <c r="I6" s="285"/>
      <c r="J6" s="425"/>
      <c r="K6" s="286"/>
      <c r="L6" s="286"/>
      <c r="M6" s="286"/>
      <c r="N6" s="286"/>
      <c r="O6" s="286"/>
      <c r="P6" s="286"/>
      <c r="Q6" s="286"/>
      <c r="R6" s="286"/>
      <c r="S6" s="289"/>
      <c r="T6" s="285"/>
      <c r="U6" s="285"/>
      <c r="V6" s="285"/>
      <c r="W6" s="285"/>
      <c r="X6" s="285"/>
      <c r="Y6" s="285"/>
      <c r="Z6" s="285"/>
      <c r="AA6" s="285"/>
      <c r="AB6" s="285"/>
      <c r="AC6" s="285"/>
      <c r="AD6" s="285"/>
      <c r="AE6" s="285"/>
      <c r="AF6" s="285"/>
      <c r="AG6" s="285"/>
      <c r="AH6" s="285"/>
      <c r="AI6" s="285"/>
      <c r="AJ6" s="285"/>
      <c r="AK6" s="285"/>
      <c r="AL6" s="426"/>
      <c r="AM6" s="296"/>
      <c r="AN6" s="296"/>
      <c r="AO6" s="427"/>
      <c r="AP6" s="427"/>
      <c r="AQ6" s="427"/>
      <c r="AR6" s="427"/>
      <c r="AS6" s="428"/>
      <c r="AT6" s="429"/>
      <c r="AU6" s="285"/>
      <c r="AV6" s="285"/>
      <c r="AW6" s="430"/>
    </row>
    <row r="7">
      <c r="A7" s="431"/>
      <c r="B7" s="432">
        <v>40953.0</v>
      </c>
      <c r="C7" s="301">
        <v>41487.0</v>
      </c>
      <c r="D7" s="302"/>
      <c r="E7" s="433">
        <v>82.1</v>
      </c>
      <c r="F7" s="434"/>
      <c r="G7" s="305">
        <f t="shared" ref="G7:G84" si="6">D7*E7</f>
        <v>0</v>
      </c>
      <c r="H7" s="317">
        <f t="shared" ref="H7:H84" si="7">F7*E7</f>
        <v>0</v>
      </c>
      <c r="I7" s="435"/>
      <c r="J7" s="342" t="b">
        <v>0</v>
      </c>
      <c r="K7" s="436"/>
      <c r="L7" s="311">
        <v>0.0</v>
      </c>
      <c r="M7" s="311">
        <v>0.0</v>
      </c>
      <c r="N7" s="311">
        <v>0.0</v>
      </c>
      <c r="O7" s="311">
        <v>0.0</v>
      </c>
      <c r="P7" s="311">
        <v>0.0</v>
      </c>
      <c r="Q7" s="313">
        <f t="shared" ref="Q7:Q84" si="8">iferror(I7/(0.252*D7),0)</f>
        <v>0</v>
      </c>
      <c r="R7" s="313" t="str">
        <f>SWITCH(S7,"cash",Reference!E$5,"shares",Reference!$E$6,"balance",Reference!$E$7,"pro-rata",Reference!$B$5)</f>
        <v>#DIV/0!</v>
      </c>
      <c r="S7" s="314" t="s">
        <v>205</v>
      </c>
      <c r="T7" s="315">
        <f>LET(numVmwShares,D7, cashRatio,Reference!$B$4, vmwFinalPrice,Reference!$B$3, numVmwShares * cashRatio * vmwFinalPrice)</f>
        <v>0</v>
      </c>
      <c r="U7" s="315">
        <f>iferror(LET(numVmwShares,$D7, stockRatio,Q7, vmwFinalPrice,Reference!$B$3, (1 - stockRatio) * vmwFinalPrice * numVmwShares),0)</f>
        <v>0</v>
      </c>
      <c r="V7" s="315">
        <f>iferror(LET(numVmwShares,$D7, stockRatio,R7, vmwFinalPrice,Reference!$B$3, (1 - stockRatio) * vmwFinalPrice * numVmwShares),0)</f>
        <v>0</v>
      </c>
      <c r="W7" s="315">
        <f>SWITCH(Reference!$E$4,"eTradeTransactionLog", T7, "eTradeHoldingRatio",T7, "eTradeLotQtyRatio",U7,"manualLotRatio",V7)</f>
        <v>0</v>
      </c>
      <c r="X7" s="305">
        <f>LET(purchaseDate,C7, dateOfRecord,Reference!$B$26, returnOfCapital,Reference!$C$26, IF(purchaseDate &lt; dateOfRecord, returnOfCapital,0))</f>
        <v>10.18</v>
      </c>
      <c r="Y7" s="305">
        <f>LET(purchaseDate,C7, dateOfRecord,Reference!$B$27, returnOfCapital,Reference!$C$27, IF(purchaseDate &lt; dateOfRecord, returnOfCapital,0))</f>
        <v>16.58</v>
      </c>
      <c r="Z7" s="305">
        <f t="shared" ref="Z7:Z84" si="9">LET(actualPrice,E7, firstReturnOfCapital,X7, secondReturnOfCapital,Y7, actualPrice - firstReturnOfCapital - secondReturnOfCapital)</f>
        <v>55.34</v>
      </c>
      <c r="AA7" s="437">
        <f t="shared" ref="AA7:AA84" si="10">Z7*D7</f>
        <v>0</v>
      </c>
      <c r="AB7" s="316">
        <f>LET(numVmwShares,D7, stockRatio,Reference!$B$5, vmwToAvgoRatio,Reference!$B$6, numVmwShares * stockRatio * vmwToAvgoRatio)</f>
        <v>0</v>
      </c>
      <c r="AC7" s="316">
        <f>LET(numVmwShares,D7, stockRatio,Q7, vmwToAvgoRatio,Reference!$B$6, numVmwShares * stockRatio * vmwToAvgoRatio)</f>
        <v>0</v>
      </c>
      <c r="AD7" s="316" t="str">
        <f>LET(numVmwShares,D7, stockRatio,R7, vmwToAvgoRatio,Reference!$B$6, numVmwShares * stockRatio * vmwToAvgoRatio)</f>
        <v>#DIV/0!</v>
      </c>
      <c r="AE7" s="316">
        <f>SWITCH(Reference!$E$4, "eTradeTransactionLog", AB7, "eTradeHoldingRatio",AB7, "eTradeLotQtyRatio",AC7,"manualLotRatio",AD7)</f>
        <v>0</v>
      </c>
      <c r="AF7" s="317">
        <f>LET(numVmwShares,D7, vmwBasis,Z7, avgoQty,AE7, avgoFMV,Reference!$B$18, cashReceived,W7, gain,cashReceived+(avgoQty*avgoFMV)-(numVmwShares*vmwBasis),
MAX(gain,0))</f>
        <v>0</v>
      </c>
      <c r="AG7" s="318">
        <f>LET(useForFraction,J7, fractionAmount,Summary!$C$41, esppFractionLots,ESPP!$N$5, rsuFractionLots,RSU!J$5, IF(useForFraction, fractionAmount / (esppFractionLots+rsuFractionLots), 0))</f>
        <v>0</v>
      </c>
      <c r="AH7" s="438">
        <f>LET(useForFraction,J7, fractionSaleFMV,Reference!$B$23, postMergerBasis,AT7, lotFractionAmount,AG7, IF(useForFraction, (fractionSaleFMV - postMergerBasis)*lotFractionAmount, 0))</f>
        <v>0</v>
      </c>
      <c r="AI7" s="439">
        <f t="shared" ref="AI7:AI84" si="11">LET(cashReceived,W7, alternateGainAmount,AF7, MIN(cashReceived, alternateGainAmount))</f>
        <v>0</v>
      </c>
      <c r="AJ7" s="440">
        <f>LET(
purchaseDate,C7,
mergerDate,Reference!$B$28,
lotFractionGain,AH7,
mergerGain,AI7,
IF(DATEDIF(purchaseDate,mergerDate,"Y")&gt;=1,
  0,
  lotFractionGain + mergerGain
))</f>
        <v>0</v>
      </c>
      <c r="AK7" s="440">
        <f>LET(
purchaseDate,C7,
mergerDate,Reference!$B$28,
lotFractionGain,AH7,
mergerGain,AI7,
IF(DATEDIF(purchaseDate,mergerDate,"Y")&gt;=1,
  lotFractionGain+mergerGain,
  0
))</f>
        <v>0</v>
      </c>
      <c r="AL7" s="441" t="str">
        <f>IF(DATEDIF(C7,Reference!$B$28,"Y")&gt;=1,"Part II Box E","Part I Box B")</f>
        <v>Part II Box E</v>
      </c>
      <c r="AM7" s="336">
        <f t="shared" ref="AM7:AM84" si="12">C7</f>
        <v>41487</v>
      </c>
      <c r="AN7" s="337">
        <f t="shared" ref="AN7:AN84" si="13">T7</f>
        <v>0</v>
      </c>
      <c r="AO7" s="337">
        <f>LET(
cashReceived,W7, 
avgoQty,AE7, 
proceedsStyle,Reference!$E$9, 
avgoFMV,Reference!$B$18, 
SWITCH(proceedsStyle, "combined", cashReceived +(avgoQty*avgoFMV), "cashOnly", cashReceived))</f>
        <v>0</v>
      </c>
      <c r="AP7" s="338">
        <f>LET(
numVmwShares,D7, 
vmwBasis, Z7, 
avgoQty,AE7, 
avgoFMV,Reference!$B$18, 
cashReceived,W7, 
avgoTotalValue, avgoFMV*avgoQty, 
vmwTotalBasis, vmwBasis*numVmwShares,
alternateGainAmount,AF7, 
IF(cashReceived&lt;alternateGainAmount,
  avgoTotalValue,
  vmwTotalBasis
))</f>
        <v>0</v>
      </c>
      <c r="AQ7" s="338" t="str">
        <f t="shared" ref="AQ7:AQ84" si="14">IF(AR7=0,,"B")</f>
        <v/>
      </c>
      <c r="AR7" s="338">
        <v>0.0</v>
      </c>
      <c r="AS7" s="339">
        <f t="shared" ref="AS7:AS84" si="15">LET(proceeds,AO7, basis1099B, AP7, adjustment,AR7, MAX(proceeds - basis1099B + adjustment, 0))</f>
        <v>0</v>
      </c>
      <c r="AT7" s="442" t="str">
        <f t="shared" ref="AT7:AT84" si="16">LET(vmwBasis,Z7, numVmwShares,D7, cashReceived,W7, gainRecognized,AI7, avgoQty,AE7,IFERROR( ((vmwBasis*numVmwShares) - cashReceived + gainRecognized)/avgoQty, "n/a"))</f>
        <v>n/a</v>
      </c>
      <c r="AU7" s="328">
        <f>LET(saleFMV,Reference!$B$10, postMergerBasis,AT7, avgoQty,AE7, lotFractionAmount,AG7, iferror((saleFMV - postMergerBasis) * (avgoQty - lotFractionAmount), 0))</f>
        <v>0</v>
      </c>
      <c r="AV7" s="328">
        <f>LET(
avgoQty,AE8, 
purchaseDate,C8,
postMergerSaleDate,Reference!$B$29,
saleFMV,Reference!$B$10,
postMergerBasis,AT8, 
IFERROR(IF(DATEDIF(purchaseDate,postMergerSaleDate,"Y")&gt;=1,
  0,
  avgoQty * (saleFMV - postMergerBasis)
),0))</f>
        <v>0</v>
      </c>
      <c r="AW7" s="331">
        <f>LET(
avgoQty,AE7, 
purchaseDate,C7,
postMergerSaleDate,Reference!$B$29,
saleFMV,Reference!$B$10,
postMergerBasis,AT7, 
IFERROR(IF(DATEDIF(purchaseDate,postMergerSaleDate,"Y")&gt;=1,
  avgoQty * (saleFMV - postMergerBasis),
  0
),0))</f>
        <v>0</v>
      </c>
    </row>
    <row r="8">
      <c r="A8" s="431"/>
      <c r="B8" s="432">
        <v>40953.0</v>
      </c>
      <c r="C8" s="301">
        <v>41671.0</v>
      </c>
      <c r="D8" s="332"/>
      <c r="E8" s="433">
        <v>90.14</v>
      </c>
      <c r="F8" s="443"/>
      <c r="G8" s="305">
        <f t="shared" si="6"/>
        <v>0</v>
      </c>
      <c r="H8" s="317">
        <f t="shared" si="7"/>
        <v>0</v>
      </c>
      <c r="I8" s="444"/>
      <c r="J8" s="342" t="b">
        <v>0</v>
      </c>
      <c r="K8" s="436"/>
      <c r="L8" s="311">
        <v>0.0</v>
      </c>
      <c r="M8" s="311">
        <v>0.0</v>
      </c>
      <c r="N8" s="311">
        <v>0.0</v>
      </c>
      <c r="O8" s="311">
        <v>0.0</v>
      </c>
      <c r="P8" s="311">
        <v>0.0</v>
      </c>
      <c r="Q8" s="313">
        <f t="shared" si="8"/>
        <v>0</v>
      </c>
      <c r="R8" s="313" t="str">
        <f>SWITCH(S8,"cash",Reference!E$5,"shares",Reference!$E$6,"balance",Reference!$E$7,"pro-rata",Reference!$B$5)</f>
        <v>#DIV/0!</v>
      </c>
      <c r="S8" s="314" t="s">
        <v>205</v>
      </c>
      <c r="T8" s="315">
        <f>LET(numVmwShares,D8, cashRatio,Reference!$B$4, vmwFinalPrice,Reference!$B$3, numVmwShares * cashRatio * vmwFinalPrice)</f>
        <v>0</v>
      </c>
      <c r="U8" s="315">
        <f>iferror(LET(numVmwShares,$D8, stockRatio,Q8, vmwFinalPrice,Reference!$B$3, (1 - stockRatio) * vmwFinalPrice * numVmwShares),0)</f>
        <v>0</v>
      </c>
      <c r="V8" s="315">
        <f>iferror(LET(numVmwShares,$D8, stockRatio,R8, vmwFinalPrice,Reference!$B$3, (1 - stockRatio) * vmwFinalPrice * numVmwShares),0)</f>
        <v>0</v>
      </c>
      <c r="W8" s="315">
        <f>SWITCH(Reference!$E$4,"eTradeTransactionLog", T8, "eTradeHoldingRatio",T8, "eTradeLotQtyRatio",U8,"manualLotRatio",V8)</f>
        <v>0</v>
      </c>
      <c r="X8" s="305">
        <f>LET(purchaseDate,C8, dateOfRecord,Reference!$B$26, returnOfCapital,Reference!$C$26, IF(purchaseDate &lt; dateOfRecord, returnOfCapital,0))</f>
        <v>10.18</v>
      </c>
      <c r="Y8" s="305">
        <f>LET(purchaseDate,C8, dateOfRecord,Reference!$B$27, returnOfCapital,Reference!$C$27, IF(purchaseDate &lt; dateOfRecord, returnOfCapital,0))</f>
        <v>16.58</v>
      </c>
      <c r="Z8" s="305">
        <f t="shared" si="9"/>
        <v>63.38</v>
      </c>
      <c r="AA8" s="437">
        <f t="shared" si="10"/>
        <v>0</v>
      </c>
      <c r="AB8" s="316">
        <f>LET(numVmwShares,D8, stockRatio,Reference!$B$5, vmwToAvgoRatio,Reference!$B$6, numVmwShares * stockRatio * vmwToAvgoRatio)</f>
        <v>0</v>
      </c>
      <c r="AC8" s="316">
        <f>LET(numVmwShares,D8, stockRatio,Q8, vmwToAvgoRatio,Reference!$B$6, numVmwShares * stockRatio * vmwToAvgoRatio)</f>
        <v>0</v>
      </c>
      <c r="AD8" s="316" t="str">
        <f>LET(numVmwShares,D8, stockRatio,R8, vmwToAvgoRatio,Reference!$B$6, numVmwShares * stockRatio * vmwToAvgoRatio)</f>
        <v>#DIV/0!</v>
      </c>
      <c r="AE8" s="316">
        <f>SWITCH(Reference!$E$4, "eTradeTransactionLog", AB8, "eTradeHoldingRatio",AB8, "eTradeLotQtyRatio",AC8,"manualLotRatio",AD8)</f>
        <v>0</v>
      </c>
      <c r="AF8" s="317">
        <f>LET(numVmwShares,D8, vmwBasis,Z8, avgoQty,AE8, avgoFMV,Reference!$B$18, cashReceived,W8, gain,cashReceived+(avgoQty*avgoFMV)-(numVmwShares*vmwBasis),
MAX(gain,0))</f>
        <v>0</v>
      </c>
      <c r="AG8" s="318">
        <f>LET(useForFraction,J8, fractionAmount,Summary!$C$41, esppFractionLots,ESPP!$N$5, rsuFractionLots,RSU!J$5, IF(useForFraction, fractionAmount / (esppFractionLots+rsuFractionLots), 0))</f>
        <v>0</v>
      </c>
      <c r="AH8" s="438">
        <f>LET(useForFraction,J8, fractionSaleFMV,Reference!$B$23, postMergerBasis,AT8, lotFractionAmount,AG8, IF(useForFraction, (fractionSaleFMV - postMergerBasis)*lotFractionAmount, 0))</f>
        <v>0</v>
      </c>
      <c r="AI8" s="439">
        <f t="shared" si="11"/>
        <v>0</v>
      </c>
      <c r="AJ8" s="440">
        <f>LET(
purchaseDate,C8,
mergerDate,Reference!$B$28,
lotFractionGain,AH8,
mergerGain,AI8,
IF(DATEDIF(purchaseDate,mergerDate,"Y")&gt;=1,
  0,
  lotFractionGain + mergerGain
))</f>
        <v>0</v>
      </c>
      <c r="AK8" s="440">
        <f>LET(
purchaseDate,C8,
mergerDate,Reference!$B$28,
lotFractionGain,AH8,
mergerGain,AI8,
IF(DATEDIF(purchaseDate,mergerDate,"Y")&gt;=1,
  lotFractionGain+mergerGain,
  0
))</f>
        <v>0</v>
      </c>
      <c r="AL8" s="441" t="str">
        <f>IF(DATEDIF(C8,Reference!$B$28,"Y")&gt;=1,"Part II Box E","Part I Box B")</f>
        <v>Part II Box E</v>
      </c>
      <c r="AM8" s="336">
        <f t="shared" si="12"/>
        <v>41671</v>
      </c>
      <c r="AN8" s="337">
        <f t="shared" si="13"/>
        <v>0</v>
      </c>
      <c r="AO8" s="337">
        <f>LET(
cashReceived,W8, 
avgoQty,AE8, 
proceedsStyle,Reference!$E$9, 
avgoFMV,Reference!$B$18, 
SWITCH(proceedsStyle, "combined", cashReceived +(avgoQty*avgoFMV), "cashOnly", cashReceived))</f>
        <v>0</v>
      </c>
      <c r="AP8" s="338">
        <f>LET(
numVmwShares,D8, 
vmwBasis, Z8, 
avgoQty,AE8, 
avgoFMV,Reference!$B$18, 
cashReceived,W8, 
avgoTotalValue, avgoFMV*avgoQty, 
vmwTotalBasis, vmwBasis*numVmwShares,
alternateGainAmount,AF8, 
IF(cashReceived&lt;alternateGainAmount,
  avgoTotalValue,
  vmwTotalBasis
))</f>
        <v>0</v>
      </c>
      <c r="AQ8" s="338" t="str">
        <f t="shared" si="14"/>
        <v/>
      </c>
      <c r="AR8" s="338">
        <v>0.0</v>
      </c>
      <c r="AS8" s="339">
        <f t="shared" si="15"/>
        <v>0</v>
      </c>
      <c r="AT8" s="442" t="str">
        <f t="shared" si="16"/>
        <v>n/a</v>
      </c>
      <c r="AU8" s="328">
        <f>LET(saleFMV,Reference!$B$10, postMergerBasis,AT8, avgoQty,AE8, lotFractionAmount,AG8, iferror((saleFMV - postMergerBasis) * (avgoQty - lotFractionAmount), 0))</f>
        <v>0</v>
      </c>
      <c r="AV8" s="328">
        <f>LET(
avgoQty,AE9, 
purchaseDate,C9,
postMergerSaleDate,Reference!$B$29,
saleFMV,Reference!$B$10,
postMergerBasis,AT9, 
IFERROR(IF(DATEDIF(purchaseDate,postMergerSaleDate,"Y")&gt;=1,
  0,
  avgoQty * (saleFMV - postMergerBasis)
),0))</f>
        <v>0</v>
      </c>
      <c r="AW8" s="331">
        <f>LET(
avgoQty,AE8, 
purchaseDate,C8,
postMergerSaleDate,Reference!$B$29,
saleFMV,Reference!$B$10,
postMergerBasis,AT8, 
IFERROR(IF(DATEDIF(purchaseDate,postMergerSaleDate,"Y")&gt;=1,
  avgoQty * (saleFMV - postMergerBasis),
  0
),0))</f>
        <v>0</v>
      </c>
    </row>
    <row r="9">
      <c r="A9" s="431" t="s">
        <v>220</v>
      </c>
      <c r="B9" s="432">
        <v>40953.0</v>
      </c>
      <c r="C9" s="301">
        <v>41852.0</v>
      </c>
      <c r="D9" s="332"/>
      <c r="E9" s="433">
        <v>98.33</v>
      </c>
      <c r="F9" s="443"/>
      <c r="G9" s="305">
        <f t="shared" si="6"/>
        <v>0</v>
      </c>
      <c r="H9" s="317">
        <f t="shared" si="7"/>
        <v>0</v>
      </c>
      <c r="I9" s="444"/>
      <c r="J9" s="445" t="b">
        <v>0</v>
      </c>
      <c r="K9" s="436"/>
      <c r="L9" s="311">
        <v>0.0</v>
      </c>
      <c r="M9" s="311">
        <v>0.0</v>
      </c>
      <c r="N9" s="311">
        <v>0.0</v>
      </c>
      <c r="O9" s="311">
        <v>0.0</v>
      </c>
      <c r="P9" s="311">
        <v>0.0</v>
      </c>
      <c r="Q9" s="313">
        <f t="shared" si="8"/>
        <v>0</v>
      </c>
      <c r="R9" s="313" t="str">
        <f>SWITCH(S9,"cash",Reference!E$5,"shares",Reference!$E$6,"balance",Reference!$E$7,"pro-rata",Reference!$B$5)</f>
        <v>#DIV/0!</v>
      </c>
      <c r="S9" s="314" t="s">
        <v>205</v>
      </c>
      <c r="T9" s="315">
        <f>LET(numVmwShares,D9, cashRatio,Reference!$B$4, vmwFinalPrice,Reference!$B$3, numVmwShares * cashRatio * vmwFinalPrice)</f>
        <v>0</v>
      </c>
      <c r="U9" s="315">
        <f>iferror(LET(numVmwShares,$D9, stockRatio,Q9, vmwFinalPrice,Reference!$B$3, (1 - stockRatio) * vmwFinalPrice * numVmwShares),0)</f>
        <v>0</v>
      </c>
      <c r="V9" s="315">
        <f>iferror(LET(numVmwShares,$D9, stockRatio,R9, vmwFinalPrice,Reference!$B$3, (1 - stockRatio) * vmwFinalPrice * numVmwShares),0)</f>
        <v>0</v>
      </c>
      <c r="W9" s="315">
        <f>SWITCH(Reference!$E$4,"eTradeTransactionLog", T9, "eTradeHoldingRatio",T9, "eTradeLotQtyRatio",U9,"manualLotRatio",V9)</f>
        <v>0</v>
      </c>
      <c r="X9" s="305">
        <f>LET(purchaseDate,C9, dateOfRecord,Reference!$B$26, returnOfCapital,Reference!$C$26, IF(purchaseDate &lt; dateOfRecord, returnOfCapital,0))</f>
        <v>10.18</v>
      </c>
      <c r="Y9" s="305">
        <f>LET(purchaseDate,C9, dateOfRecord,Reference!$B$27, returnOfCapital,Reference!$C$27, IF(purchaseDate &lt; dateOfRecord, returnOfCapital,0))</f>
        <v>16.58</v>
      </c>
      <c r="Z9" s="305">
        <f t="shared" si="9"/>
        <v>71.57</v>
      </c>
      <c r="AA9" s="437">
        <f t="shared" si="10"/>
        <v>0</v>
      </c>
      <c r="AB9" s="316">
        <f>LET(numVmwShares,D9, stockRatio,Reference!$B$5, vmwToAvgoRatio,Reference!$B$6, numVmwShares * stockRatio * vmwToAvgoRatio)</f>
        <v>0</v>
      </c>
      <c r="AC9" s="316">
        <f>LET(numVmwShares,D9, stockRatio,Q9, vmwToAvgoRatio,Reference!$B$6, numVmwShares * stockRatio * vmwToAvgoRatio)</f>
        <v>0</v>
      </c>
      <c r="AD9" s="316" t="str">
        <f>LET(numVmwShares,D9, stockRatio,R9, vmwToAvgoRatio,Reference!$B$6, numVmwShares * stockRatio * vmwToAvgoRatio)</f>
        <v>#DIV/0!</v>
      </c>
      <c r="AE9" s="316">
        <f>SWITCH(Reference!$E$4, "eTradeTransactionLog", AB9, "eTradeHoldingRatio",AB9, "eTradeLotQtyRatio",AC9,"manualLotRatio",AD9)</f>
        <v>0</v>
      </c>
      <c r="AF9" s="317">
        <f>LET(numVmwShares,D9, vmwBasis,Z9, avgoQty,AE9, avgoFMV,Reference!$B$18, cashReceived,W9, gain,cashReceived+(avgoQty*avgoFMV)-(numVmwShares*vmwBasis),
MAX(gain,0))</f>
        <v>0</v>
      </c>
      <c r="AG9" s="318">
        <f>LET(useForFraction,J9, fractionAmount,Summary!$C$41, esppFractionLots,ESPP!$N$5, rsuFractionLots,RSU!J$5, IF(useForFraction, fractionAmount / (esppFractionLots+rsuFractionLots), 0))</f>
        <v>0</v>
      </c>
      <c r="AH9" s="438">
        <f>LET(useForFraction,J9, fractionSaleFMV,Reference!$B$23, postMergerBasis,AT9, lotFractionAmount,AG9, IF(useForFraction, (fractionSaleFMV - postMergerBasis)*lotFractionAmount, 0))</f>
        <v>0</v>
      </c>
      <c r="AI9" s="439">
        <f t="shared" si="11"/>
        <v>0</v>
      </c>
      <c r="AJ9" s="440">
        <f>LET(
purchaseDate,C9,
mergerDate,Reference!$B$28,
lotFractionGain,AH9,
mergerGain,AI9,
IF(DATEDIF(purchaseDate,mergerDate,"Y")&gt;=1,
  0,
  lotFractionGain + mergerGain
))</f>
        <v>0</v>
      </c>
      <c r="AK9" s="440">
        <f>LET(
purchaseDate,C9,
mergerDate,Reference!$B$28,
lotFractionGain,AH9,
mergerGain,AI9,
IF(DATEDIF(purchaseDate,mergerDate,"Y")&gt;=1,
  lotFractionGain+mergerGain,
  0
))</f>
        <v>0</v>
      </c>
      <c r="AL9" s="441" t="str">
        <f>IF(DATEDIF(C9,Reference!$B$28,"Y")&gt;=1,"Part II Box E","Part I Box B")</f>
        <v>Part II Box E</v>
      </c>
      <c r="AM9" s="336">
        <f t="shared" si="12"/>
        <v>41852</v>
      </c>
      <c r="AN9" s="337">
        <f t="shared" si="13"/>
        <v>0</v>
      </c>
      <c r="AO9" s="337">
        <f>LET(
cashReceived,W9, 
avgoQty,AE9, 
proceedsStyle,Reference!$E$9, 
avgoFMV,Reference!$B$18, 
SWITCH(proceedsStyle, "combined", cashReceived +(avgoQty*avgoFMV), "cashOnly", cashReceived))</f>
        <v>0</v>
      </c>
      <c r="AP9" s="338">
        <f>LET(
numVmwShares,D9, 
vmwBasis, Z9, 
avgoQty,AE9, 
avgoFMV,Reference!$B$18, 
cashReceived,W9, 
avgoTotalValue, avgoFMV*avgoQty, 
vmwTotalBasis, vmwBasis*numVmwShares,
alternateGainAmount,AF9, 
IF(cashReceived&lt;alternateGainAmount,
  avgoTotalValue,
  vmwTotalBasis
))</f>
        <v>0</v>
      </c>
      <c r="AQ9" s="338" t="str">
        <f t="shared" si="14"/>
        <v/>
      </c>
      <c r="AR9" s="338">
        <v>0.0</v>
      </c>
      <c r="AS9" s="339">
        <f t="shared" si="15"/>
        <v>0</v>
      </c>
      <c r="AT9" s="442" t="str">
        <f t="shared" si="16"/>
        <v>n/a</v>
      </c>
      <c r="AU9" s="328">
        <f>LET(saleFMV,Reference!$B$10, postMergerBasis,AT9, avgoQty,AE9, lotFractionAmount,AG9, iferror((saleFMV - postMergerBasis) * (avgoQty - lotFractionAmount), 0))</f>
        <v>0</v>
      </c>
      <c r="AV9" s="328">
        <f>LET(
avgoQty,AE10, 
purchaseDate,C10,
postMergerSaleDate,Reference!$B$29,
saleFMV,Reference!$B$10,
postMergerBasis,AT10, 
IFERROR(IF(DATEDIF(purchaseDate,postMergerSaleDate,"Y")&gt;=1,
  0,
  avgoQty * (saleFMV - postMergerBasis)
),0))</f>
        <v>0</v>
      </c>
      <c r="AW9" s="331">
        <f>LET(
avgoQty,AE9, 
purchaseDate,C9,
postMergerSaleDate,Reference!$B$29,
saleFMV,Reference!$B$10,
postMergerBasis,AT9, 
IFERROR(IF(DATEDIF(purchaseDate,postMergerSaleDate,"Y")&gt;=1,
  avgoQty * (saleFMV - postMergerBasis),
  0
),0))</f>
        <v>0</v>
      </c>
    </row>
    <row r="10">
      <c r="A10" s="431" t="s">
        <v>220</v>
      </c>
      <c r="B10" s="432">
        <v>40953.0</v>
      </c>
      <c r="C10" s="301">
        <v>42036.0</v>
      </c>
      <c r="D10" s="332"/>
      <c r="E10" s="433">
        <v>77.1</v>
      </c>
      <c r="F10" s="443"/>
      <c r="G10" s="305">
        <f t="shared" si="6"/>
        <v>0</v>
      </c>
      <c r="H10" s="317">
        <f t="shared" si="7"/>
        <v>0</v>
      </c>
      <c r="I10" s="446"/>
      <c r="J10" s="342" t="b">
        <v>0</v>
      </c>
      <c r="K10" s="436"/>
      <c r="L10" s="311">
        <v>0.0</v>
      </c>
      <c r="M10" s="311">
        <v>0.0</v>
      </c>
      <c r="N10" s="311">
        <v>0.0</v>
      </c>
      <c r="O10" s="311">
        <v>0.0</v>
      </c>
      <c r="P10" s="311">
        <v>0.0</v>
      </c>
      <c r="Q10" s="313">
        <f t="shared" si="8"/>
        <v>0</v>
      </c>
      <c r="R10" s="313" t="str">
        <f>SWITCH(S10,"cash",Reference!E$5,"shares",Reference!$E$6,"balance",Reference!$E$7,"pro-rata",Reference!$B$5)</f>
        <v>#DIV/0!</v>
      </c>
      <c r="S10" s="314" t="s">
        <v>205</v>
      </c>
      <c r="T10" s="315">
        <f>LET(numVmwShares,D10, cashRatio,Reference!$B$4, vmwFinalPrice,Reference!$B$3, numVmwShares * cashRatio * vmwFinalPrice)</f>
        <v>0</v>
      </c>
      <c r="U10" s="315">
        <f>iferror(LET(numVmwShares,$D10, stockRatio,Q10, vmwFinalPrice,Reference!$B$3, (1 - stockRatio) * vmwFinalPrice * numVmwShares),0)</f>
        <v>0</v>
      </c>
      <c r="V10" s="315">
        <f>iferror(LET(numVmwShares,$D10, stockRatio,R10, vmwFinalPrice,Reference!$B$3, (1 - stockRatio) * vmwFinalPrice * numVmwShares),0)</f>
        <v>0</v>
      </c>
      <c r="W10" s="315">
        <f>SWITCH(Reference!$E$4,"eTradeTransactionLog", T10, "eTradeHoldingRatio",T10, "eTradeLotQtyRatio",U10,"manualLotRatio",V10)</f>
        <v>0</v>
      </c>
      <c r="X10" s="305">
        <f>LET(purchaseDate,C10, dateOfRecord,Reference!$B$26, returnOfCapital,Reference!$C$26, IF(purchaseDate &lt; dateOfRecord, returnOfCapital,0))</f>
        <v>10.18</v>
      </c>
      <c r="Y10" s="305">
        <f>LET(purchaseDate,C10, dateOfRecord,Reference!$B$27, returnOfCapital,Reference!$C$27, IF(purchaseDate &lt; dateOfRecord, returnOfCapital,0))</f>
        <v>16.58</v>
      </c>
      <c r="Z10" s="305">
        <f t="shared" si="9"/>
        <v>50.34</v>
      </c>
      <c r="AA10" s="437">
        <f t="shared" si="10"/>
        <v>0</v>
      </c>
      <c r="AB10" s="316">
        <f>LET(numVmwShares,D10, stockRatio,Reference!$B$5, vmwToAvgoRatio,Reference!$B$6, numVmwShares * stockRatio * vmwToAvgoRatio)</f>
        <v>0</v>
      </c>
      <c r="AC10" s="316">
        <f>LET(numVmwShares,D10, stockRatio,Q10, vmwToAvgoRatio,Reference!$B$6, numVmwShares * stockRatio * vmwToAvgoRatio)</f>
        <v>0</v>
      </c>
      <c r="AD10" s="316" t="str">
        <f>LET(numVmwShares,D10, stockRatio,R10, vmwToAvgoRatio,Reference!$B$6, numVmwShares * stockRatio * vmwToAvgoRatio)</f>
        <v>#DIV/0!</v>
      </c>
      <c r="AE10" s="316">
        <f>SWITCH(Reference!$E$4, "eTradeTransactionLog", AB10, "eTradeHoldingRatio",AB10, "eTradeLotQtyRatio",AC10,"manualLotRatio",AD10)</f>
        <v>0</v>
      </c>
      <c r="AF10" s="317">
        <f>LET(numVmwShares,D10, vmwBasis,Z10, avgoQty,AE10, avgoFMV,Reference!$B$18, cashReceived,W10, gain,cashReceived+(avgoQty*avgoFMV)-(numVmwShares*vmwBasis),
MAX(gain,0))</f>
        <v>0</v>
      </c>
      <c r="AG10" s="318">
        <f>LET(useForFraction,J10, fractionAmount,Summary!$C$41, esppFractionLots,ESPP!$N$5, rsuFractionLots,RSU!J$5, IF(useForFraction, fractionAmount / (esppFractionLots+rsuFractionLots), 0))</f>
        <v>0</v>
      </c>
      <c r="AH10" s="438">
        <f>LET(useForFraction,J10, fractionSaleFMV,Reference!$B$23, postMergerBasis,AT10, lotFractionAmount,AG10, IF(useForFraction, (fractionSaleFMV - postMergerBasis)*lotFractionAmount, 0))</f>
        <v>0</v>
      </c>
      <c r="AI10" s="439">
        <f t="shared" si="11"/>
        <v>0</v>
      </c>
      <c r="AJ10" s="440">
        <f>LET(
purchaseDate,C10,
mergerDate,Reference!$B$28,
lotFractionGain,AH10,
mergerGain,AI10,
IF(DATEDIF(purchaseDate,mergerDate,"Y")&gt;=1,
  0,
  lotFractionGain + mergerGain
))</f>
        <v>0</v>
      </c>
      <c r="AK10" s="440">
        <f>LET(
purchaseDate,C10,
mergerDate,Reference!$B$28,
lotFractionGain,AH10,
mergerGain,AI10,
IF(DATEDIF(purchaseDate,mergerDate,"Y")&gt;=1,
  lotFractionGain+mergerGain,
  0
))</f>
        <v>0</v>
      </c>
      <c r="AL10" s="441" t="str">
        <f>IF(DATEDIF(C10,Reference!$B$28,"Y")&gt;=1,"Part II Box E","Part I Box B")</f>
        <v>Part II Box E</v>
      </c>
      <c r="AM10" s="336">
        <f t="shared" si="12"/>
        <v>42036</v>
      </c>
      <c r="AN10" s="337">
        <f t="shared" si="13"/>
        <v>0</v>
      </c>
      <c r="AO10" s="337">
        <f>LET(
cashReceived,W10, 
avgoQty,AE10, 
proceedsStyle,Reference!$E$9, 
avgoFMV,Reference!$B$18, 
SWITCH(proceedsStyle, "combined", cashReceived +(avgoQty*avgoFMV), "cashOnly", cashReceived))</f>
        <v>0</v>
      </c>
      <c r="AP10" s="338">
        <f>LET(
numVmwShares,D10, 
vmwBasis, Z10, 
avgoQty,AE10, 
avgoFMV,Reference!$B$18, 
cashReceived,W10, 
avgoTotalValue, avgoFMV*avgoQty, 
vmwTotalBasis, vmwBasis*numVmwShares,
alternateGainAmount,AF10, 
IF(cashReceived&lt;alternateGainAmount,
  avgoTotalValue,
  vmwTotalBasis
))</f>
        <v>0</v>
      </c>
      <c r="AQ10" s="338" t="str">
        <f t="shared" si="14"/>
        <v/>
      </c>
      <c r="AR10" s="338">
        <v>0.0</v>
      </c>
      <c r="AS10" s="339">
        <f t="shared" si="15"/>
        <v>0</v>
      </c>
      <c r="AT10" s="442" t="str">
        <f t="shared" si="16"/>
        <v>n/a</v>
      </c>
      <c r="AU10" s="328">
        <f>LET(saleFMV,Reference!$B$10, postMergerBasis,AT10, avgoQty,AE10, lotFractionAmount,AG10, iferror((saleFMV - postMergerBasis) * (avgoQty - lotFractionAmount), 0))</f>
        <v>0</v>
      </c>
      <c r="AV10" s="328">
        <f>LET(
avgoQty,AE11, 
purchaseDate,C11,
postMergerSaleDate,Reference!$B$29,
saleFMV,Reference!$B$10,
postMergerBasis,AT11, 
IFERROR(IF(DATEDIF(purchaseDate,postMergerSaleDate,"Y")&gt;=1,
  0,
  avgoQty * (saleFMV - postMergerBasis)
),0))</f>
        <v>0</v>
      </c>
      <c r="AW10" s="331">
        <f>LET(
avgoQty,AE10, 
purchaseDate,C10,
postMergerSaleDate,Reference!$B$29,
saleFMV,Reference!$B$10,
postMergerBasis,AT10, 
IFERROR(IF(DATEDIF(purchaseDate,postMergerSaleDate,"Y")&gt;=1,
  avgoQty * (saleFMV - postMergerBasis),
  0
),0))</f>
        <v>0</v>
      </c>
    </row>
    <row r="11">
      <c r="A11" s="431" t="s">
        <v>221</v>
      </c>
      <c r="B11" s="432">
        <v>41803.0</v>
      </c>
      <c r="C11" s="301">
        <v>42125.0</v>
      </c>
      <c r="D11" s="332"/>
      <c r="E11" s="433">
        <v>87.47</v>
      </c>
      <c r="F11" s="443"/>
      <c r="G11" s="305">
        <f t="shared" si="6"/>
        <v>0</v>
      </c>
      <c r="H11" s="317">
        <f t="shared" si="7"/>
        <v>0</v>
      </c>
      <c r="I11" s="444"/>
      <c r="J11" s="342" t="b">
        <v>0</v>
      </c>
      <c r="K11" s="436"/>
      <c r="L11" s="311">
        <v>0.0</v>
      </c>
      <c r="M11" s="311">
        <v>0.0</v>
      </c>
      <c r="N11" s="311">
        <v>0.0</v>
      </c>
      <c r="O11" s="311">
        <v>0.0</v>
      </c>
      <c r="P11" s="311">
        <v>0.0</v>
      </c>
      <c r="Q11" s="313">
        <f t="shared" si="8"/>
        <v>0</v>
      </c>
      <c r="R11" s="313" t="str">
        <f>SWITCH(S11,"cash",Reference!E$5,"shares",Reference!$E$6,"balance",Reference!$E$7,"pro-rata",Reference!$B$5)</f>
        <v>#DIV/0!</v>
      </c>
      <c r="S11" s="314" t="s">
        <v>205</v>
      </c>
      <c r="T11" s="315">
        <f>LET(numVmwShares,D11, cashRatio,Reference!$B$4, vmwFinalPrice,Reference!$B$3, numVmwShares * cashRatio * vmwFinalPrice)</f>
        <v>0</v>
      </c>
      <c r="U11" s="315">
        <f>iferror(LET(numVmwShares,$D11, stockRatio,Q11, vmwFinalPrice,Reference!$B$3, (1 - stockRatio) * vmwFinalPrice * numVmwShares),0)</f>
        <v>0</v>
      </c>
      <c r="V11" s="315">
        <f>iferror(LET(numVmwShares,$D11, stockRatio,R11, vmwFinalPrice,Reference!$B$3, (1 - stockRatio) * vmwFinalPrice * numVmwShares),0)</f>
        <v>0</v>
      </c>
      <c r="W11" s="315">
        <f>SWITCH(Reference!$E$4,"eTradeTransactionLog", T11, "eTradeHoldingRatio",T11, "eTradeLotQtyRatio",U11,"manualLotRatio",V11)</f>
        <v>0</v>
      </c>
      <c r="X11" s="305">
        <f>LET(purchaseDate,C11, dateOfRecord,Reference!$B$26, returnOfCapital,Reference!$C$26, IF(purchaseDate &lt; dateOfRecord, returnOfCapital,0))</f>
        <v>10.18</v>
      </c>
      <c r="Y11" s="305">
        <f>LET(purchaseDate,C11, dateOfRecord,Reference!$B$27, returnOfCapital,Reference!$C$27, IF(purchaseDate &lt; dateOfRecord, returnOfCapital,0))</f>
        <v>16.58</v>
      </c>
      <c r="Z11" s="305">
        <f t="shared" si="9"/>
        <v>60.71</v>
      </c>
      <c r="AA11" s="437">
        <f t="shared" si="10"/>
        <v>0</v>
      </c>
      <c r="AB11" s="316">
        <f>LET(numVmwShares,D11, stockRatio,Reference!$B$5, vmwToAvgoRatio,Reference!$B$6, numVmwShares * stockRatio * vmwToAvgoRatio)</f>
        <v>0</v>
      </c>
      <c r="AC11" s="316">
        <f>LET(numVmwShares,D11, stockRatio,Q11, vmwToAvgoRatio,Reference!$B$6, numVmwShares * stockRatio * vmwToAvgoRatio)</f>
        <v>0</v>
      </c>
      <c r="AD11" s="316" t="str">
        <f>LET(numVmwShares,D11, stockRatio,R11, vmwToAvgoRatio,Reference!$B$6, numVmwShares * stockRatio * vmwToAvgoRatio)</f>
        <v>#DIV/0!</v>
      </c>
      <c r="AE11" s="316">
        <f>SWITCH(Reference!$E$4, "eTradeTransactionLog", AB11, "eTradeHoldingRatio",AB11, "eTradeLotQtyRatio",AC11,"manualLotRatio",AD11)</f>
        <v>0</v>
      </c>
      <c r="AF11" s="317">
        <f>LET(numVmwShares,D11, vmwBasis,Z11, avgoQty,AE11, avgoFMV,Reference!$B$18, cashReceived,W11, gain,cashReceived+(avgoQty*avgoFMV)-(numVmwShares*vmwBasis),
MAX(gain,0))</f>
        <v>0</v>
      </c>
      <c r="AG11" s="318">
        <f>LET(useForFraction,J11, fractionAmount,Summary!$C$41, esppFractionLots,ESPP!$N$5, rsuFractionLots,RSU!J$5, IF(useForFraction, fractionAmount / (esppFractionLots+rsuFractionLots), 0))</f>
        <v>0</v>
      </c>
      <c r="AH11" s="438">
        <f>LET(useForFraction,J11, fractionSaleFMV,Reference!$B$23, postMergerBasis,AT11, lotFractionAmount,AG11, IF(useForFraction, (fractionSaleFMV - postMergerBasis)*lotFractionAmount, 0))</f>
        <v>0</v>
      </c>
      <c r="AI11" s="439">
        <f t="shared" si="11"/>
        <v>0</v>
      </c>
      <c r="AJ11" s="440">
        <f>LET(
purchaseDate,C11,
mergerDate,Reference!$B$28,
lotFractionGain,AH11,
mergerGain,AI11,
IF(DATEDIF(purchaseDate,mergerDate,"Y")&gt;=1,
  0,
  lotFractionGain + mergerGain
))</f>
        <v>0</v>
      </c>
      <c r="AK11" s="440">
        <f>LET(
purchaseDate,C11,
mergerDate,Reference!$B$28,
lotFractionGain,AH11,
mergerGain,AI11,
IF(DATEDIF(purchaseDate,mergerDate,"Y")&gt;=1,
  lotFractionGain+mergerGain,
  0
))</f>
        <v>0</v>
      </c>
      <c r="AL11" s="441" t="str">
        <f>IF(DATEDIF(C11,Reference!$B$28,"Y")&gt;=1,"Part II Box E","Part I Box B")</f>
        <v>Part II Box E</v>
      </c>
      <c r="AM11" s="336">
        <f t="shared" si="12"/>
        <v>42125</v>
      </c>
      <c r="AN11" s="337">
        <f t="shared" si="13"/>
        <v>0</v>
      </c>
      <c r="AO11" s="337">
        <f>LET(
cashReceived,W11, 
avgoQty,AE11, 
proceedsStyle,Reference!$E$9, 
avgoFMV,Reference!$B$18, 
SWITCH(proceedsStyle, "combined", cashReceived +(avgoQty*avgoFMV), "cashOnly", cashReceived))</f>
        <v>0</v>
      </c>
      <c r="AP11" s="338">
        <f>LET(
numVmwShares,D11, 
vmwBasis, Z11, 
avgoQty,AE11, 
avgoFMV,Reference!$B$18, 
cashReceived,W11, 
avgoTotalValue, avgoFMV*avgoQty, 
vmwTotalBasis, vmwBasis*numVmwShares,
alternateGainAmount,AF11, 
IF(cashReceived&lt;alternateGainAmount,
  avgoTotalValue,
  vmwTotalBasis
))</f>
        <v>0</v>
      </c>
      <c r="AQ11" s="338" t="str">
        <f t="shared" si="14"/>
        <v/>
      </c>
      <c r="AR11" s="338">
        <v>0.0</v>
      </c>
      <c r="AS11" s="339">
        <f t="shared" si="15"/>
        <v>0</v>
      </c>
      <c r="AT11" s="442" t="str">
        <f t="shared" si="16"/>
        <v>n/a</v>
      </c>
      <c r="AU11" s="328">
        <f>LET(saleFMV,Reference!$B$10, postMergerBasis,AT11, avgoQty,AE11, lotFractionAmount,AG11, iferror((saleFMV - postMergerBasis) * (avgoQty - lotFractionAmount), 0))</f>
        <v>0</v>
      </c>
      <c r="AV11" s="328">
        <f>LET(
avgoQty,AE12, 
purchaseDate,C12,
postMergerSaleDate,Reference!$B$29,
saleFMV,Reference!$B$10,
postMergerBasis,AT12, 
IFERROR(IF(DATEDIF(purchaseDate,postMergerSaleDate,"Y")&gt;=1,
  0,
  avgoQty * (saleFMV - postMergerBasis)
),0))</f>
        <v>0</v>
      </c>
      <c r="AW11" s="331">
        <f>LET(
avgoQty,AE11, 
purchaseDate,C11,
postMergerSaleDate,Reference!$B$29,
saleFMV,Reference!$B$10,
postMergerBasis,AT11, 
IFERROR(IF(DATEDIF(purchaseDate,postMergerSaleDate,"Y")&gt;=1,
  avgoQty * (saleFMV - postMergerBasis),
  0
),0))</f>
        <v>0</v>
      </c>
    </row>
    <row r="12">
      <c r="A12" s="431" t="s">
        <v>220</v>
      </c>
      <c r="B12" s="432">
        <v>40953.0</v>
      </c>
      <c r="C12" s="301">
        <v>42217.0</v>
      </c>
      <c r="D12" s="332"/>
      <c r="E12" s="433">
        <v>89.13</v>
      </c>
      <c r="F12" s="443"/>
      <c r="G12" s="305">
        <f t="shared" si="6"/>
        <v>0</v>
      </c>
      <c r="H12" s="317">
        <f t="shared" si="7"/>
        <v>0</v>
      </c>
      <c r="I12" s="444"/>
      <c r="J12" s="342" t="b">
        <v>0</v>
      </c>
      <c r="K12" s="436"/>
      <c r="L12" s="311">
        <v>0.0</v>
      </c>
      <c r="M12" s="311">
        <v>0.0</v>
      </c>
      <c r="N12" s="311">
        <v>0.0</v>
      </c>
      <c r="O12" s="311">
        <v>0.0</v>
      </c>
      <c r="P12" s="311">
        <v>0.0</v>
      </c>
      <c r="Q12" s="313">
        <f t="shared" si="8"/>
        <v>0</v>
      </c>
      <c r="R12" s="313" t="str">
        <f>SWITCH(S12,"cash",Reference!E$5,"shares",Reference!$E$6,"balance",Reference!$E$7,"pro-rata",Reference!$B$5)</f>
        <v>#DIV/0!</v>
      </c>
      <c r="S12" s="314" t="s">
        <v>205</v>
      </c>
      <c r="T12" s="315">
        <f>LET(numVmwShares,D12, cashRatio,Reference!$B$4, vmwFinalPrice,Reference!$B$3, numVmwShares * cashRatio * vmwFinalPrice)</f>
        <v>0</v>
      </c>
      <c r="U12" s="315">
        <f>iferror(LET(numVmwShares,$D12, stockRatio,Q12, vmwFinalPrice,Reference!$B$3, (1 - stockRatio) * vmwFinalPrice * numVmwShares),0)</f>
        <v>0</v>
      </c>
      <c r="V12" s="315">
        <f>iferror(LET(numVmwShares,$D12, stockRatio,R12, vmwFinalPrice,Reference!$B$3, (1 - stockRatio) * vmwFinalPrice * numVmwShares),0)</f>
        <v>0</v>
      </c>
      <c r="W12" s="315">
        <f>SWITCH(Reference!$E$4,"eTradeTransactionLog", T12, "eTradeHoldingRatio",T12, "eTradeLotQtyRatio",U12,"manualLotRatio",V12)</f>
        <v>0</v>
      </c>
      <c r="X12" s="305">
        <f>LET(purchaseDate,C12, dateOfRecord,Reference!$B$26, returnOfCapital,Reference!$C$26, IF(purchaseDate &lt; dateOfRecord, returnOfCapital,0))</f>
        <v>10.18</v>
      </c>
      <c r="Y12" s="305">
        <f>LET(purchaseDate,C12, dateOfRecord,Reference!$B$27, returnOfCapital,Reference!$C$27, IF(purchaseDate &lt; dateOfRecord, returnOfCapital,0))</f>
        <v>16.58</v>
      </c>
      <c r="Z12" s="305">
        <f t="shared" si="9"/>
        <v>62.37</v>
      </c>
      <c r="AA12" s="437">
        <f t="shared" si="10"/>
        <v>0</v>
      </c>
      <c r="AB12" s="316">
        <f>LET(numVmwShares,D12, stockRatio,Reference!$B$5, vmwToAvgoRatio,Reference!$B$6, numVmwShares * stockRatio * vmwToAvgoRatio)</f>
        <v>0</v>
      </c>
      <c r="AC12" s="316">
        <f>LET(numVmwShares,D12, stockRatio,Q12, vmwToAvgoRatio,Reference!$B$6, numVmwShares * stockRatio * vmwToAvgoRatio)</f>
        <v>0</v>
      </c>
      <c r="AD12" s="316" t="str">
        <f>LET(numVmwShares,D12, stockRatio,R12, vmwToAvgoRatio,Reference!$B$6, numVmwShares * stockRatio * vmwToAvgoRatio)</f>
        <v>#DIV/0!</v>
      </c>
      <c r="AE12" s="316">
        <f>SWITCH(Reference!$E$4, "eTradeTransactionLog", AB12, "eTradeHoldingRatio",AB12, "eTradeLotQtyRatio",AC12,"manualLotRatio",AD12)</f>
        <v>0</v>
      </c>
      <c r="AF12" s="317">
        <f>LET(numVmwShares,D12, vmwBasis,Z12, avgoQty,AE12, avgoFMV,Reference!$B$18, cashReceived,W12, gain,cashReceived+(avgoQty*avgoFMV)-(numVmwShares*vmwBasis),
MAX(gain,0))</f>
        <v>0</v>
      </c>
      <c r="AG12" s="318">
        <f>LET(useForFraction,J12, fractionAmount,Summary!$C$41, esppFractionLots,ESPP!$N$5, rsuFractionLots,RSU!J$5, IF(useForFraction, fractionAmount / (esppFractionLots+rsuFractionLots), 0))</f>
        <v>0</v>
      </c>
      <c r="AH12" s="438">
        <f>LET(useForFraction,J12, fractionSaleFMV,Reference!$B$23, postMergerBasis,AT12, lotFractionAmount,AG12, IF(useForFraction, (fractionSaleFMV - postMergerBasis)*lotFractionAmount, 0))</f>
        <v>0</v>
      </c>
      <c r="AI12" s="439">
        <f t="shared" si="11"/>
        <v>0</v>
      </c>
      <c r="AJ12" s="440">
        <f>LET(
purchaseDate,C12,
mergerDate,Reference!$B$28,
lotFractionGain,AH12,
mergerGain,AI12,
IF(DATEDIF(purchaseDate,mergerDate,"Y")&gt;=1,
  0,
  lotFractionGain + mergerGain
))</f>
        <v>0</v>
      </c>
      <c r="AK12" s="440">
        <f>LET(
purchaseDate,C12,
mergerDate,Reference!$B$28,
lotFractionGain,AH12,
mergerGain,AI12,
IF(DATEDIF(purchaseDate,mergerDate,"Y")&gt;=1,
  lotFractionGain+mergerGain,
  0
))</f>
        <v>0</v>
      </c>
      <c r="AL12" s="441" t="str">
        <f>IF(DATEDIF(C12,Reference!$B$28,"Y")&gt;=1,"Part II Box E","Part I Box B")</f>
        <v>Part II Box E</v>
      </c>
      <c r="AM12" s="336">
        <f t="shared" si="12"/>
        <v>42217</v>
      </c>
      <c r="AN12" s="337">
        <f t="shared" si="13"/>
        <v>0</v>
      </c>
      <c r="AO12" s="337">
        <f>LET(
cashReceived,W12, 
avgoQty,AE12, 
proceedsStyle,Reference!$E$9, 
avgoFMV,Reference!$B$18, 
SWITCH(proceedsStyle, "combined", cashReceived +(avgoQty*avgoFMV), "cashOnly", cashReceived))</f>
        <v>0</v>
      </c>
      <c r="AP12" s="338">
        <f>LET(
numVmwShares,D12, 
vmwBasis, Z12, 
avgoQty,AE12, 
avgoFMV,Reference!$B$18, 
cashReceived,W12, 
avgoTotalValue, avgoFMV*avgoQty, 
vmwTotalBasis, vmwBasis*numVmwShares,
alternateGainAmount,AF12, 
IF(cashReceived&lt;alternateGainAmount,
  avgoTotalValue,
  vmwTotalBasis
))</f>
        <v>0</v>
      </c>
      <c r="AQ12" s="338" t="str">
        <f t="shared" si="14"/>
        <v/>
      </c>
      <c r="AR12" s="338">
        <v>0.0</v>
      </c>
      <c r="AS12" s="339">
        <f t="shared" si="15"/>
        <v>0</v>
      </c>
      <c r="AT12" s="442" t="str">
        <f t="shared" si="16"/>
        <v>n/a</v>
      </c>
      <c r="AU12" s="328">
        <f>LET(saleFMV,Reference!$B$10, postMergerBasis,AT12, avgoQty,AE12, lotFractionAmount,AG12, iferror((saleFMV - postMergerBasis) * (avgoQty - lotFractionAmount), 0))</f>
        <v>0</v>
      </c>
      <c r="AV12" s="328">
        <f>LET(
avgoQty,AE13, 
purchaseDate,C13,
postMergerSaleDate,Reference!$B$29,
saleFMV,Reference!$B$10,
postMergerBasis,AT13, 
IFERROR(IF(DATEDIF(purchaseDate,postMergerSaleDate,"Y")&gt;=1,
  0,
  avgoQty * (saleFMV - postMergerBasis)
),0))</f>
        <v>0</v>
      </c>
      <c r="AW12" s="331">
        <f>LET(
avgoQty,AE12, 
purchaseDate,C12,
postMergerSaleDate,Reference!$B$29,
saleFMV,Reference!$B$10,
postMergerBasis,AT12, 
IFERROR(IF(DATEDIF(purchaseDate,postMergerSaleDate,"Y")&gt;=1,
  avgoQty * (saleFMV - postMergerBasis),
  0
),0))</f>
        <v>0</v>
      </c>
    </row>
    <row r="13">
      <c r="A13" s="431" t="s">
        <v>221</v>
      </c>
      <c r="B13" s="432">
        <v>41803.0</v>
      </c>
      <c r="C13" s="301">
        <v>42309.0</v>
      </c>
      <c r="D13" s="332"/>
      <c r="E13" s="433">
        <v>60.15</v>
      </c>
      <c r="F13" s="443"/>
      <c r="G13" s="305">
        <f t="shared" si="6"/>
        <v>0</v>
      </c>
      <c r="H13" s="317">
        <f t="shared" si="7"/>
        <v>0</v>
      </c>
      <c r="I13" s="444"/>
      <c r="J13" s="342" t="b">
        <v>0</v>
      </c>
      <c r="K13" s="436"/>
      <c r="L13" s="311">
        <v>0.0</v>
      </c>
      <c r="M13" s="311">
        <v>0.0</v>
      </c>
      <c r="N13" s="311">
        <v>0.0</v>
      </c>
      <c r="O13" s="311">
        <v>0.0</v>
      </c>
      <c r="P13" s="311">
        <v>0.0</v>
      </c>
      <c r="Q13" s="313">
        <f t="shared" si="8"/>
        <v>0</v>
      </c>
      <c r="R13" s="313" t="str">
        <f>SWITCH(S13,"cash",Reference!E$5,"shares",Reference!$E$6,"balance",Reference!$E$7,"pro-rata",Reference!$B$5)</f>
        <v>#DIV/0!</v>
      </c>
      <c r="S13" s="314" t="s">
        <v>205</v>
      </c>
      <c r="T13" s="315">
        <f>LET(numVmwShares,D13, cashRatio,Reference!$B$4, vmwFinalPrice,Reference!$B$3, numVmwShares * cashRatio * vmwFinalPrice)</f>
        <v>0</v>
      </c>
      <c r="U13" s="315">
        <f>iferror(LET(numVmwShares,$D13, stockRatio,Q13, vmwFinalPrice,Reference!$B$3, (1 - stockRatio) * vmwFinalPrice * numVmwShares),0)</f>
        <v>0</v>
      </c>
      <c r="V13" s="315">
        <f>iferror(LET(numVmwShares,$D13, stockRatio,R13, vmwFinalPrice,Reference!$B$3, (1 - stockRatio) * vmwFinalPrice * numVmwShares),0)</f>
        <v>0</v>
      </c>
      <c r="W13" s="315">
        <f>SWITCH(Reference!$E$4,"eTradeTransactionLog", T13, "eTradeHoldingRatio",T13, "eTradeLotQtyRatio",U13,"manualLotRatio",V13)</f>
        <v>0</v>
      </c>
      <c r="X13" s="305">
        <f>LET(purchaseDate,C13, dateOfRecord,Reference!$B$26, returnOfCapital,Reference!$C$26, IF(purchaseDate &lt; dateOfRecord, returnOfCapital,0))</f>
        <v>10.18</v>
      </c>
      <c r="Y13" s="305">
        <f>LET(purchaseDate,C13, dateOfRecord,Reference!$B$27, returnOfCapital,Reference!$C$27, IF(purchaseDate &lt; dateOfRecord, returnOfCapital,0))</f>
        <v>16.58</v>
      </c>
      <c r="Z13" s="305">
        <f t="shared" si="9"/>
        <v>33.39</v>
      </c>
      <c r="AA13" s="437">
        <f t="shared" si="10"/>
        <v>0</v>
      </c>
      <c r="AB13" s="316">
        <f>LET(numVmwShares,D13, stockRatio,Reference!$B$5, vmwToAvgoRatio,Reference!$B$6, numVmwShares * stockRatio * vmwToAvgoRatio)</f>
        <v>0</v>
      </c>
      <c r="AC13" s="316">
        <f>LET(numVmwShares,D13, stockRatio,Q13, vmwToAvgoRatio,Reference!$B$6, numVmwShares * stockRatio * vmwToAvgoRatio)</f>
        <v>0</v>
      </c>
      <c r="AD13" s="316" t="str">
        <f>LET(numVmwShares,D13, stockRatio,R13, vmwToAvgoRatio,Reference!$B$6, numVmwShares * stockRatio * vmwToAvgoRatio)</f>
        <v>#DIV/0!</v>
      </c>
      <c r="AE13" s="316">
        <f>SWITCH(Reference!$E$4, "eTradeTransactionLog", AB13, "eTradeHoldingRatio",AB13, "eTradeLotQtyRatio",AC13,"manualLotRatio",AD13)</f>
        <v>0</v>
      </c>
      <c r="AF13" s="317">
        <f>LET(numVmwShares,D13, vmwBasis,Z13, avgoQty,AE13, avgoFMV,Reference!$B$18, cashReceived,W13, gain,cashReceived+(avgoQty*avgoFMV)-(numVmwShares*vmwBasis),
MAX(gain,0))</f>
        <v>0</v>
      </c>
      <c r="AG13" s="318">
        <f>LET(useForFraction,J13, fractionAmount,Summary!$C$41, esppFractionLots,ESPP!$N$5, rsuFractionLots,RSU!J$5, IF(useForFraction, fractionAmount / (esppFractionLots+rsuFractionLots), 0))</f>
        <v>0</v>
      </c>
      <c r="AH13" s="438">
        <f>LET(useForFraction,J13, fractionSaleFMV,Reference!$B$23, postMergerBasis,AT13, lotFractionAmount,AG13, IF(useForFraction, (fractionSaleFMV - postMergerBasis)*lotFractionAmount, 0))</f>
        <v>0</v>
      </c>
      <c r="AI13" s="439">
        <f t="shared" si="11"/>
        <v>0</v>
      </c>
      <c r="AJ13" s="440">
        <f>LET(
purchaseDate,C13,
mergerDate,Reference!$B$28,
lotFractionGain,AH13,
mergerGain,AI13,
IF(DATEDIF(purchaseDate,mergerDate,"Y")&gt;=1,
  0,
  lotFractionGain + mergerGain
))</f>
        <v>0</v>
      </c>
      <c r="AK13" s="440">
        <f>LET(
purchaseDate,C13,
mergerDate,Reference!$B$28,
lotFractionGain,AH13,
mergerGain,AI13,
IF(DATEDIF(purchaseDate,mergerDate,"Y")&gt;=1,
  lotFractionGain+mergerGain,
  0
))</f>
        <v>0</v>
      </c>
      <c r="AL13" s="441" t="str">
        <f>IF(DATEDIF(C13,Reference!$B$28,"Y")&gt;=1,"Part II Box E","Part I Box B")</f>
        <v>Part II Box E</v>
      </c>
      <c r="AM13" s="336">
        <f t="shared" si="12"/>
        <v>42309</v>
      </c>
      <c r="AN13" s="337">
        <f t="shared" si="13"/>
        <v>0</v>
      </c>
      <c r="AO13" s="337">
        <f>LET(
cashReceived,W13, 
avgoQty,AE13, 
proceedsStyle,Reference!$E$9, 
avgoFMV,Reference!$B$18, 
SWITCH(proceedsStyle, "combined", cashReceived +(avgoQty*avgoFMV), "cashOnly", cashReceived))</f>
        <v>0</v>
      </c>
      <c r="AP13" s="338">
        <f>LET(
numVmwShares,D13, 
vmwBasis, Z13, 
avgoQty,AE13, 
avgoFMV,Reference!$B$18, 
cashReceived,W13, 
avgoTotalValue, avgoFMV*avgoQty, 
vmwTotalBasis, vmwBasis*numVmwShares,
alternateGainAmount,AF13, 
IF(cashReceived&lt;alternateGainAmount,
  avgoTotalValue,
  vmwTotalBasis
))</f>
        <v>0</v>
      </c>
      <c r="AQ13" s="338" t="str">
        <f t="shared" si="14"/>
        <v/>
      </c>
      <c r="AR13" s="338">
        <v>0.0</v>
      </c>
      <c r="AS13" s="339">
        <f t="shared" si="15"/>
        <v>0</v>
      </c>
      <c r="AT13" s="442" t="str">
        <f t="shared" si="16"/>
        <v>n/a</v>
      </c>
      <c r="AU13" s="328">
        <f>LET(saleFMV,Reference!$B$10, postMergerBasis,AT13, avgoQty,AE13, lotFractionAmount,AG13, iferror((saleFMV - postMergerBasis) * (avgoQty - lotFractionAmount), 0))</f>
        <v>0</v>
      </c>
      <c r="AV13" s="328">
        <f>LET(
avgoQty,AE14, 
purchaseDate,C14,
postMergerSaleDate,Reference!$B$29,
saleFMV,Reference!$B$10,
postMergerBasis,AT14, 
IFERROR(IF(DATEDIF(purchaseDate,postMergerSaleDate,"Y")&gt;=1,
  0,
  avgoQty * (saleFMV - postMergerBasis)
),0))</f>
        <v>0</v>
      </c>
      <c r="AW13" s="331">
        <f>LET(
avgoQty,AE13, 
purchaseDate,C13,
postMergerSaleDate,Reference!$B$29,
saleFMV,Reference!$B$10,
postMergerBasis,AT13, 
IFERROR(IF(DATEDIF(purchaseDate,postMergerSaleDate,"Y")&gt;=1,
  avgoQty * (saleFMV - postMergerBasis),
  0
),0))</f>
        <v>0</v>
      </c>
    </row>
    <row r="14">
      <c r="A14" s="431" t="s">
        <v>220</v>
      </c>
      <c r="B14" s="432">
        <v>40953.0</v>
      </c>
      <c r="C14" s="301">
        <v>42401.0</v>
      </c>
      <c r="D14" s="332"/>
      <c r="E14" s="433">
        <v>45.49</v>
      </c>
      <c r="F14" s="443"/>
      <c r="G14" s="305">
        <f t="shared" si="6"/>
        <v>0</v>
      </c>
      <c r="H14" s="317">
        <f t="shared" si="7"/>
        <v>0</v>
      </c>
      <c r="I14" s="444"/>
      <c r="J14" s="342" t="b">
        <v>0</v>
      </c>
      <c r="K14" s="436"/>
      <c r="L14" s="311">
        <v>0.0</v>
      </c>
      <c r="M14" s="311">
        <v>0.0</v>
      </c>
      <c r="N14" s="311">
        <v>0.0</v>
      </c>
      <c r="O14" s="311">
        <v>0.0</v>
      </c>
      <c r="P14" s="311">
        <v>0.0</v>
      </c>
      <c r="Q14" s="313">
        <f t="shared" si="8"/>
        <v>0</v>
      </c>
      <c r="R14" s="313" t="str">
        <f>SWITCH(S14,"cash",Reference!E$5,"shares",Reference!$E$6,"balance",Reference!$E$7,"pro-rata",Reference!$B$5)</f>
        <v>#DIV/0!</v>
      </c>
      <c r="S14" s="314" t="s">
        <v>205</v>
      </c>
      <c r="T14" s="315">
        <f>LET(numVmwShares,D14, cashRatio,Reference!$B$4, vmwFinalPrice,Reference!$B$3, numVmwShares * cashRatio * vmwFinalPrice)</f>
        <v>0</v>
      </c>
      <c r="U14" s="315">
        <f>iferror(LET(numVmwShares,$D14, stockRatio,Q14, vmwFinalPrice,Reference!$B$3, (1 - stockRatio) * vmwFinalPrice * numVmwShares),0)</f>
        <v>0</v>
      </c>
      <c r="V14" s="315">
        <f>iferror(LET(numVmwShares,$D14, stockRatio,R14, vmwFinalPrice,Reference!$B$3, (1 - stockRatio) * vmwFinalPrice * numVmwShares),0)</f>
        <v>0</v>
      </c>
      <c r="W14" s="315">
        <f>SWITCH(Reference!$E$4,"eTradeTransactionLog", T14, "eTradeHoldingRatio",T14, "eTradeLotQtyRatio",U14,"manualLotRatio",V14)</f>
        <v>0</v>
      </c>
      <c r="X14" s="305">
        <f>LET(purchaseDate,C14, dateOfRecord,Reference!$B$26, returnOfCapital,Reference!$C$26, IF(purchaseDate &lt; dateOfRecord, returnOfCapital,0))</f>
        <v>10.18</v>
      </c>
      <c r="Y14" s="305">
        <f>LET(purchaseDate,C14, dateOfRecord,Reference!$B$27, returnOfCapital,Reference!$C$27, IF(purchaseDate &lt; dateOfRecord, returnOfCapital,0))</f>
        <v>16.58</v>
      </c>
      <c r="Z14" s="305">
        <f t="shared" si="9"/>
        <v>18.73</v>
      </c>
      <c r="AA14" s="437">
        <f t="shared" si="10"/>
        <v>0</v>
      </c>
      <c r="AB14" s="316">
        <f>LET(numVmwShares,D14, stockRatio,Reference!$B$5, vmwToAvgoRatio,Reference!$B$6, numVmwShares * stockRatio * vmwToAvgoRatio)</f>
        <v>0</v>
      </c>
      <c r="AC14" s="316">
        <f>LET(numVmwShares,D14, stockRatio,Q14, vmwToAvgoRatio,Reference!$B$6, numVmwShares * stockRatio * vmwToAvgoRatio)</f>
        <v>0</v>
      </c>
      <c r="AD14" s="316" t="str">
        <f>LET(numVmwShares,D14, stockRatio,R14, vmwToAvgoRatio,Reference!$B$6, numVmwShares * stockRatio * vmwToAvgoRatio)</f>
        <v>#DIV/0!</v>
      </c>
      <c r="AE14" s="316">
        <f>SWITCH(Reference!$E$4, "eTradeTransactionLog", AB14, "eTradeHoldingRatio",AB14, "eTradeLotQtyRatio",AC14,"manualLotRatio",AD14)</f>
        <v>0</v>
      </c>
      <c r="AF14" s="317">
        <f>LET(numVmwShares,D14, vmwBasis,Z14, avgoQty,AE14, avgoFMV,Reference!$B$18, cashReceived,W14, gain,cashReceived+(avgoQty*avgoFMV)-(numVmwShares*vmwBasis),
MAX(gain,0))</f>
        <v>0</v>
      </c>
      <c r="AG14" s="318">
        <f>LET(useForFraction,J14, fractionAmount,Summary!$C$41, esppFractionLots,ESPP!$N$5, rsuFractionLots,RSU!J$5, IF(useForFraction, fractionAmount / (esppFractionLots+rsuFractionLots), 0))</f>
        <v>0</v>
      </c>
      <c r="AH14" s="438">
        <f>LET(useForFraction,J14, fractionSaleFMV,Reference!$B$23, postMergerBasis,AT14, lotFractionAmount,AG14, IF(useForFraction, (fractionSaleFMV - postMergerBasis)*lotFractionAmount, 0))</f>
        <v>0</v>
      </c>
      <c r="AI14" s="439">
        <f t="shared" si="11"/>
        <v>0</v>
      </c>
      <c r="AJ14" s="440">
        <f>LET(
purchaseDate,C14,
mergerDate,Reference!$B$28,
lotFractionGain,AH14,
mergerGain,AI14,
IF(DATEDIF(purchaseDate,mergerDate,"Y")&gt;=1,
  0,
  lotFractionGain + mergerGain
))</f>
        <v>0</v>
      </c>
      <c r="AK14" s="440">
        <f>LET(
purchaseDate,C14,
mergerDate,Reference!$B$28,
lotFractionGain,AH14,
mergerGain,AI14,
IF(DATEDIF(purchaseDate,mergerDate,"Y")&gt;=1,
  lotFractionGain+mergerGain,
  0
))</f>
        <v>0</v>
      </c>
      <c r="AL14" s="441" t="str">
        <f>IF(DATEDIF(C14,Reference!$B$28,"Y")&gt;=1,"Part II Box E","Part I Box B")</f>
        <v>Part II Box E</v>
      </c>
      <c r="AM14" s="336">
        <f t="shared" si="12"/>
        <v>42401</v>
      </c>
      <c r="AN14" s="337">
        <f t="shared" si="13"/>
        <v>0</v>
      </c>
      <c r="AO14" s="337">
        <f>LET(
cashReceived,W14, 
avgoQty,AE14, 
proceedsStyle,Reference!$E$9, 
avgoFMV,Reference!$B$18, 
SWITCH(proceedsStyle, "combined", cashReceived +(avgoQty*avgoFMV), "cashOnly", cashReceived))</f>
        <v>0</v>
      </c>
      <c r="AP14" s="338">
        <f>LET(
numVmwShares,D14, 
vmwBasis, Z14, 
avgoQty,AE14, 
avgoFMV,Reference!$B$18, 
cashReceived,W14, 
avgoTotalValue, avgoFMV*avgoQty, 
vmwTotalBasis, vmwBasis*numVmwShares,
alternateGainAmount,AF14, 
IF(cashReceived&lt;alternateGainAmount,
  avgoTotalValue,
  vmwTotalBasis
))</f>
        <v>0</v>
      </c>
      <c r="AQ14" s="338" t="str">
        <f t="shared" si="14"/>
        <v/>
      </c>
      <c r="AR14" s="338">
        <v>0.0</v>
      </c>
      <c r="AS14" s="339">
        <f t="shared" si="15"/>
        <v>0</v>
      </c>
      <c r="AT14" s="442" t="str">
        <f t="shared" si="16"/>
        <v>n/a</v>
      </c>
      <c r="AU14" s="328">
        <f>LET(saleFMV,Reference!$B$10, postMergerBasis,AT14, avgoQty,AE14, lotFractionAmount,AG14, iferror((saleFMV - postMergerBasis) * (avgoQty - lotFractionAmount), 0))</f>
        <v>0</v>
      </c>
      <c r="AV14" s="328">
        <f>LET(
avgoQty,AE15, 
purchaseDate,C15,
postMergerSaleDate,Reference!$B$29,
saleFMV,Reference!$B$10,
postMergerBasis,AT15, 
IFERROR(IF(DATEDIF(purchaseDate,postMergerSaleDate,"Y")&gt;=1,
  0,
  avgoQty * (saleFMV - postMergerBasis)
),0))</f>
        <v>0</v>
      </c>
      <c r="AW14" s="331">
        <f>LET(
avgoQty,AE14, 
purchaseDate,C14,
postMergerSaleDate,Reference!$B$29,
saleFMV,Reference!$B$10,
postMergerBasis,AT14, 
IFERROR(IF(DATEDIF(purchaseDate,postMergerSaleDate,"Y")&gt;=1,
  avgoQty * (saleFMV - postMergerBasis),
  0
),0))</f>
        <v>0</v>
      </c>
    </row>
    <row r="15">
      <c r="A15" s="431" t="s">
        <v>221</v>
      </c>
      <c r="B15" s="432">
        <v>41803.0</v>
      </c>
      <c r="C15" s="301">
        <v>42491.0</v>
      </c>
      <c r="D15" s="332"/>
      <c r="E15" s="433">
        <v>56.91</v>
      </c>
      <c r="F15" s="443"/>
      <c r="G15" s="305">
        <f t="shared" si="6"/>
        <v>0</v>
      </c>
      <c r="H15" s="317">
        <f t="shared" si="7"/>
        <v>0</v>
      </c>
      <c r="I15" s="444"/>
      <c r="J15" s="342" t="b">
        <v>0</v>
      </c>
      <c r="K15" s="436"/>
      <c r="L15" s="311">
        <v>0.0</v>
      </c>
      <c r="M15" s="311">
        <v>0.0</v>
      </c>
      <c r="N15" s="311">
        <v>0.0</v>
      </c>
      <c r="O15" s="311">
        <v>0.0</v>
      </c>
      <c r="P15" s="311">
        <v>0.0</v>
      </c>
      <c r="Q15" s="313">
        <f t="shared" si="8"/>
        <v>0</v>
      </c>
      <c r="R15" s="313" t="str">
        <f>SWITCH(S15,"cash",Reference!E$5,"shares",Reference!$E$6,"balance",Reference!$E$7,"pro-rata",Reference!$B$5)</f>
        <v>#DIV/0!</v>
      </c>
      <c r="S15" s="314" t="s">
        <v>205</v>
      </c>
      <c r="T15" s="315">
        <f>LET(numVmwShares,D15, cashRatio,Reference!$B$4, vmwFinalPrice,Reference!$B$3, numVmwShares * cashRatio * vmwFinalPrice)</f>
        <v>0</v>
      </c>
      <c r="U15" s="315">
        <f>iferror(LET(numVmwShares,$D15, stockRatio,Q15, vmwFinalPrice,Reference!$B$3, (1 - stockRatio) * vmwFinalPrice * numVmwShares),0)</f>
        <v>0</v>
      </c>
      <c r="V15" s="315">
        <f>iferror(LET(numVmwShares,$D15, stockRatio,R15, vmwFinalPrice,Reference!$B$3, (1 - stockRatio) * vmwFinalPrice * numVmwShares),0)</f>
        <v>0</v>
      </c>
      <c r="W15" s="315">
        <f>SWITCH(Reference!$E$4,"eTradeTransactionLog", T15, "eTradeHoldingRatio",T15, "eTradeLotQtyRatio",U15,"manualLotRatio",V15)</f>
        <v>0</v>
      </c>
      <c r="X15" s="305">
        <f>LET(purchaseDate,C15, dateOfRecord,Reference!$B$26, returnOfCapital,Reference!$C$26, IF(purchaseDate &lt; dateOfRecord, returnOfCapital,0))</f>
        <v>10.18</v>
      </c>
      <c r="Y15" s="305">
        <f>LET(purchaseDate,C15, dateOfRecord,Reference!$B$27, returnOfCapital,Reference!$C$27, IF(purchaseDate &lt; dateOfRecord, returnOfCapital,0))</f>
        <v>16.58</v>
      </c>
      <c r="Z15" s="305">
        <f t="shared" si="9"/>
        <v>30.15</v>
      </c>
      <c r="AA15" s="437">
        <f t="shared" si="10"/>
        <v>0</v>
      </c>
      <c r="AB15" s="316">
        <f>LET(numVmwShares,D15, stockRatio,Reference!$B$5, vmwToAvgoRatio,Reference!$B$6, numVmwShares * stockRatio * vmwToAvgoRatio)</f>
        <v>0</v>
      </c>
      <c r="AC15" s="316">
        <f>LET(numVmwShares,D15, stockRatio,Q15, vmwToAvgoRatio,Reference!$B$6, numVmwShares * stockRatio * vmwToAvgoRatio)</f>
        <v>0</v>
      </c>
      <c r="AD15" s="316" t="str">
        <f>LET(numVmwShares,D15, stockRatio,R15, vmwToAvgoRatio,Reference!$B$6, numVmwShares * stockRatio * vmwToAvgoRatio)</f>
        <v>#DIV/0!</v>
      </c>
      <c r="AE15" s="316">
        <f>SWITCH(Reference!$E$4, "eTradeTransactionLog", AB15, "eTradeHoldingRatio",AB15, "eTradeLotQtyRatio",AC15,"manualLotRatio",AD15)</f>
        <v>0</v>
      </c>
      <c r="AF15" s="317">
        <f>LET(numVmwShares,D15, vmwBasis,Z15, avgoQty,AE15, avgoFMV,Reference!$B$18, cashReceived,W15, gain,cashReceived+(avgoQty*avgoFMV)-(numVmwShares*vmwBasis),
MAX(gain,0))</f>
        <v>0</v>
      </c>
      <c r="AG15" s="318">
        <f>LET(useForFraction,J15, fractionAmount,Summary!$C$41, esppFractionLots,ESPP!$N$5, rsuFractionLots,RSU!J$5, IF(useForFraction, fractionAmount / (esppFractionLots+rsuFractionLots), 0))</f>
        <v>0</v>
      </c>
      <c r="AH15" s="438">
        <f>LET(useForFraction,J15, fractionSaleFMV,Reference!$B$23, postMergerBasis,AT15, lotFractionAmount,AG15, IF(useForFraction, (fractionSaleFMV - postMergerBasis)*lotFractionAmount, 0))</f>
        <v>0</v>
      </c>
      <c r="AI15" s="439">
        <f t="shared" si="11"/>
        <v>0</v>
      </c>
      <c r="AJ15" s="440">
        <f>LET(
purchaseDate,C15,
mergerDate,Reference!$B$28,
lotFractionGain,AH15,
mergerGain,AI15,
IF(DATEDIF(purchaseDate,mergerDate,"Y")&gt;=1,
  0,
  lotFractionGain + mergerGain
))</f>
        <v>0</v>
      </c>
      <c r="AK15" s="440">
        <f>LET(
purchaseDate,C15,
mergerDate,Reference!$B$28,
lotFractionGain,AH15,
mergerGain,AI15,
IF(DATEDIF(purchaseDate,mergerDate,"Y")&gt;=1,
  lotFractionGain+mergerGain,
  0
))</f>
        <v>0</v>
      </c>
      <c r="AL15" s="441" t="str">
        <f>IF(DATEDIF(C15,Reference!$B$28,"Y")&gt;=1,"Part II Box E","Part I Box B")</f>
        <v>Part II Box E</v>
      </c>
      <c r="AM15" s="336">
        <f t="shared" si="12"/>
        <v>42491</v>
      </c>
      <c r="AN15" s="337">
        <f t="shared" si="13"/>
        <v>0</v>
      </c>
      <c r="AO15" s="337">
        <f>LET(
cashReceived,W15, 
avgoQty,AE15, 
proceedsStyle,Reference!$E$9, 
avgoFMV,Reference!$B$18, 
SWITCH(proceedsStyle, "combined", cashReceived +(avgoQty*avgoFMV), "cashOnly", cashReceived))</f>
        <v>0</v>
      </c>
      <c r="AP15" s="338">
        <f>LET(
numVmwShares,D15, 
vmwBasis, Z15, 
avgoQty,AE15, 
avgoFMV,Reference!$B$18, 
cashReceived,W15, 
avgoTotalValue, avgoFMV*avgoQty, 
vmwTotalBasis, vmwBasis*numVmwShares,
alternateGainAmount,AF15, 
IF(cashReceived&lt;alternateGainAmount,
  avgoTotalValue,
  vmwTotalBasis
))</f>
        <v>0</v>
      </c>
      <c r="AQ15" s="338" t="str">
        <f t="shared" si="14"/>
        <v/>
      </c>
      <c r="AR15" s="338">
        <v>0.0</v>
      </c>
      <c r="AS15" s="339">
        <f t="shared" si="15"/>
        <v>0</v>
      </c>
      <c r="AT15" s="442" t="str">
        <f t="shared" si="16"/>
        <v>n/a</v>
      </c>
      <c r="AU15" s="328">
        <f>LET(saleFMV,Reference!$B$10, postMergerBasis,AT15, avgoQty,AE15, lotFractionAmount,AG15, iferror((saleFMV - postMergerBasis) * (avgoQty - lotFractionAmount), 0))</f>
        <v>0</v>
      </c>
      <c r="AV15" s="328">
        <f>LET(
avgoQty,AE16, 
purchaseDate,C16,
postMergerSaleDate,Reference!$B$29,
saleFMV,Reference!$B$10,
postMergerBasis,AT16, 
IFERROR(IF(DATEDIF(purchaseDate,postMergerSaleDate,"Y")&gt;=1,
  0,
  avgoQty * (saleFMV - postMergerBasis)
),0))</f>
        <v>0</v>
      </c>
      <c r="AW15" s="331">
        <f>LET(
avgoQty,AE15, 
purchaseDate,C15,
postMergerSaleDate,Reference!$B$29,
saleFMV,Reference!$B$10,
postMergerBasis,AT15, 
IFERROR(IF(DATEDIF(purchaseDate,postMergerSaleDate,"Y")&gt;=1,
  avgoQty * (saleFMV - postMergerBasis),
  0
),0))</f>
        <v>0</v>
      </c>
    </row>
    <row r="16">
      <c r="A16" s="431" t="s">
        <v>222</v>
      </c>
      <c r="B16" s="432">
        <v>42170.0</v>
      </c>
      <c r="C16" s="301">
        <v>42491.0</v>
      </c>
      <c r="D16" s="332"/>
      <c r="E16" s="433">
        <v>56.91</v>
      </c>
      <c r="F16" s="443"/>
      <c r="G16" s="305">
        <f t="shared" si="6"/>
        <v>0</v>
      </c>
      <c r="H16" s="317">
        <f t="shared" si="7"/>
        <v>0</v>
      </c>
      <c r="I16" s="444"/>
      <c r="J16" s="342" t="b">
        <v>0</v>
      </c>
      <c r="K16" s="436"/>
      <c r="L16" s="311">
        <v>0.0</v>
      </c>
      <c r="M16" s="311">
        <v>0.0</v>
      </c>
      <c r="N16" s="311">
        <v>0.0</v>
      </c>
      <c r="O16" s="311">
        <v>0.0</v>
      </c>
      <c r="P16" s="311">
        <v>0.0</v>
      </c>
      <c r="Q16" s="313">
        <f t="shared" si="8"/>
        <v>0</v>
      </c>
      <c r="R16" s="313" t="str">
        <f>SWITCH(S16,"cash",Reference!E$5,"shares",Reference!$E$6,"balance",Reference!$E$7,"pro-rata",Reference!$B$5)</f>
        <v>#DIV/0!</v>
      </c>
      <c r="S16" s="314" t="s">
        <v>205</v>
      </c>
      <c r="T16" s="315">
        <f>LET(numVmwShares,D16, cashRatio,Reference!$B$4, vmwFinalPrice,Reference!$B$3, numVmwShares * cashRatio * vmwFinalPrice)</f>
        <v>0</v>
      </c>
      <c r="U16" s="315">
        <f>iferror(LET(numVmwShares,$D16, stockRatio,Q16, vmwFinalPrice,Reference!$B$3, (1 - stockRatio) * vmwFinalPrice * numVmwShares),0)</f>
        <v>0</v>
      </c>
      <c r="V16" s="315">
        <f>iferror(LET(numVmwShares,$D16, stockRatio,R16, vmwFinalPrice,Reference!$B$3, (1 - stockRatio) * vmwFinalPrice * numVmwShares),0)</f>
        <v>0</v>
      </c>
      <c r="W16" s="315">
        <f>SWITCH(Reference!$E$4,"eTradeTransactionLog", T16, "eTradeHoldingRatio",T16, "eTradeLotQtyRatio",U16,"manualLotRatio",V16)</f>
        <v>0</v>
      </c>
      <c r="X16" s="305">
        <f>LET(purchaseDate,C16, dateOfRecord,Reference!$B$26, returnOfCapital,Reference!$C$26, IF(purchaseDate &lt; dateOfRecord, returnOfCapital,0))</f>
        <v>10.18</v>
      </c>
      <c r="Y16" s="305">
        <f>LET(purchaseDate,C16, dateOfRecord,Reference!$B$27, returnOfCapital,Reference!$C$27, IF(purchaseDate &lt; dateOfRecord, returnOfCapital,0))</f>
        <v>16.58</v>
      </c>
      <c r="Z16" s="305">
        <f t="shared" si="9"/>
        <v>30.15</v>
      </c>
      <c r="AA16" s="437">
        <f t="shared" si="10"/>
        <v>0</v>
      </c>
      <c r="AB16" s="316">
        <f>LET(numVmwShares,D16, stockRatio,Reference!$B$5, vmwToAvgoRatio,Reference!$B$6, numVmwShares * stockRatio * vmwToAvgoRatio)</f>
        <v>0</v>
      </c>
      <c r="AC16" s="316">
        <f>LET(numVmwShares,D16, stockRatio,Q16, vmwToAvgoRatio,Reference!$B$6, numVmwShares * stockRatio * vmwToAvgoRatio)</f>
        <v>0</v>
      </c>
      <c r="AD16" s="316" t="str">
        <f>LET(numVmwShares,D16, stockRatio,R16, vmwToAvgoRatio,Reference!$B$6, numVmwShares * stockRatio * vmwToAvgoRatio)</f>
        <v>#DIV/0!</v>
      </c>
      <c r="AE16" s="316">
        <f>SWITCH(Reference!$E$4, "eTradeTransactionLog", AB16, "eTradeHoldingRatio",AB16, "eTradeLotQtyRatio",AC16,"manualLotRatio",AD16)</f>
        <v>0</v>
      </c>
      <c r="AF16" s="317">
        <f>LET(numVmwShares,D16, vmwBasis,Z16, avgoQty,AE16, avgoFMV,Reference!$B$18, cashReceived,W16, gain,cashReceived+(avgoQty*avgoFMV)-(numVmwShares*vmwBasis),
MAX(gain,0))</f>
        <v>0</v>
      </c>
      <c r="AG16" s="318">
        <f>LET(useForFraction,J16, fractionAmount,Summary!$C$41, esppFractionLots,ESPP!$N$5, rsuFractionLots,RSU!J$5, IF(useForFraction, fractionAmount / (esppFractionLots+rsuFractionLots), 0))</f>
        <v>0</v>
      </c>
      <c r="AH16" s="438">
        <f>LET(useForFraction,J16, fractionSaleFMV,Reference!$B$23, postMergerBasis,AT16, lotFractionAmount,AG16, IF(useForFraction, (fractionSaleFMV - postMergerBasis)*lotFractionAmount, 0))</f>
        <v>0</v>
      </c>
      <c r="AI16" s="439">
        <f t="shared" si="11"/>
        <v>0</v>
      </c>
      <c r="AJ16" s="440">
        <f>LET(
purchaseDate,C16,
mergerDate,Reference!$B$28,
lotFractionGain,AH16,
mergerGain,AI16,
IF(DATEDIF(purchaseDate,mergerDate,"Y")&gt;=1,
  0,
  lotFractionGain + mergerGain
))</f>
        <v>0</v>
      </c>
      <c r="AK16" s="440">
        <f>LET(
purchaseDate,C16,
mergerDate,Reference!$B$28,
lotFractionGain,AH16,
mergerGain,AI16,
IF(DATEDIF(purchaseDate,mergerDate,"Y")&gt;=1,
  lotFractionGain+mergerGain,
  0
))</f>
        <v>0</v>
      </c>
      <c r="AL16" s="441" t="str">
        <f>IF(DATEDIF(C16,Reference!$B$28,"Y")&gt;=1,"Part II Box E","Part I Box B")</f>
        <v>Part II Box E</v>
      </c>
      <c r="AM16" s="336">
        <f t="shared" si="12"/>
        <v>42491</v>
      </c>
      <c r="AN16" s="337">
        <f t="shared" si="13"/>
        <v>0</v>
      </c>
      <c r="AO16" s="337">
        <f>LET(
cashReceived,W16, 
avgoQty,AE16, 
proceedsStyle,Reference!$E$9, 
avgoFMV,Reference!$B$18, 
SWITCH(proceedsStyle, "combined", cashReceived +(avgoQty*avgoFMV), "cashOnly", cashReceived))</f>
        <v>0</v>
      </c>
      <c r="AP16" s="338">
        <f>LET(
numVmwShares,D16, 
vmwBasis, Z16, 
avgoQty,AE16, 
avgoFMV,Reference!$B$18, 
cashReceived,W16, 
avgoTotalValue, avgoFMV*avgoQty, 
vmwTotalBasis, vmwBasis*numVmwShares,
alternateGainAmount,AF16, 
IF(cashReceived&lt;alternateGainAmount,
  avgoTotalValue,
  vmwTotalBasis
))</f>
        <v>0</v>
      </c>
      <c r="AQ16" s="338" t="str">
        <f t="shared" si="14"/>
        <v/>
      </c>
      <c r="AR16" s="338">
        <v>0.0</v>
      </c>
      <c r="AS16" s="339">
        <f t="shared" si="15"/>
        <v>0</v>
      </c>
      <c r="AT16" s="442" t="str">
        <f t="shared" si="16"/>
        <v>n/a</v>
      </c>
      <c r="AU16" s="328">
        <f>LET(saleFMV,Reference!$B$10, postMergerBasis,AT16, avgoQty,AE16, lotFractionAmount,AG16, iferror((saleFMV - postMergerBasis) * (avgoQty - lotFractionAmount), 0))</f>
        <v>0</v>
      </c>
      <c r="AV16" s="328">
        <f>LET(
avgoQty,AE17, 
purchaseDate,C17,
postMergerSaleDate,Reference!$B$29,
saleFMV,Reference!$B$10,
postMergerBasis,AT17, 
IFERROR(IF(DATEDIF(purchaseDate,postMergerSaleDate,"Y")&gt;=1,
  0,
  avgoQty * (saleFMV - postMergerBasis)
),0))</f>
        <v>0</v>
      </c>
      <c r="AW16" s="331">
        <f>LET(
avgoQty,AE16, 
purchaseDate,C16,
postMergerSaleDate,Reference!$B$29,
saleFMV,Reference!$B$10,
postMergerBasis,AT16, 
IFERROR(IF(DATEDIF(purchaseDate,postMergerSaleDate,"Y")&gt;=1,
  avgoQty * (saleFMV - postMergerBasis),
  0
),0))</f>
        <v>0</v>
      </c>
    </row>
    <row r="17">
      <c r="A17" s="431" t="s">
        <v>221</v>
      </c>
      <c r="B17" s="432">
        <v>41803.0</v>
      </c>
      <c r="C17" s="301">
        <v>42675.0</v>
      </c>
      <c r="D17" s="332"/>
      <c r="E17" s="433">
        <v>77.97</v>
      </c>
      <c r="F17" s="443"/>
      <c r="G17" s="305">
        <f t="shared" si="6"/>
        <v>0</v>
      </c>
      <c r="H17" s="317">
        <f t="shared" si="7"/>
        <v>0</v>
      </c>
      <c r="I17" s="444"/>
      <c r="J17" s="342" t="b">
        <v>0</v>
      </c>
      <c r="K17" s="436"/>
      <c r="L17" s="311">
        <v>0.0</v>
      </c>
      <c r="M17" s="311">
        <v>0.0</v>
      </c>
      <c r="N17" s="311">
        <v>0.0</v>
      </c>
      <c r="O17" s="311">
        <v>0.0</v>
      </c>
      <c r="P17" s="311">
        <v>0.0</v>
      </c>
      <c r="Q17" s="313">
        <f t="shared" si="8"/>
        <v>0</v>
      </c>
      <c r="R17" s="313" t="str">
        <f>SWITCH(S17,"cash",Reference!E$5,"shares",Reference!$E$6,"balance",Reference!$E$7,"pro-rata",Reference!$B$5)</f>
        <v>#DIV/0!</v>
      </c>
      <c r="S17" s="314" t="s">
        <v>205</v>
      </c>
      <c r="T17" s="315">
        <f>LET(numVmwShares,D17, cashRatio,Reference!$B$4, vmwFinalPrice,Reference!$B$3, numVmwShares * cashRatio * vmwFinalPrice)</f>
        <v>0</v>
      </c>
      <c r="U17" s="315">
        <f>iferror(LET(numVmwShares,$D17, stockRatio,Q17, vmwFinalPrice,Reference!$B$3, (1 - stockRatio) * vmwFinalPrice * numVmwShares),0)</f>
        <v>0</v>
      </c>
      <c r="V17" s="315">
        <f>iferror(LET(numVmwShares,$D17, stockRatio,R17, vmwFinalPrice,Reference!$B$3, (1 - stockRatio) * vmwFinalPrice * numVmwShares),0)</f>
        <v>0</v>
      </c>
      <c r="W17" s="315">
        <f>SWITCH(Reference!$E$4,"eTradeTransactionLog", T17, "eTradeHoldingRatio",T17, "eTradeLotQtyRatio",U17,"manualLotRatio",V17)</f>
        <v>0</v>
      </c>
      <c r="X17" s="305">
        <f>LET(purchaseDate,C17, dateOfRecord,Reference!$B$26, returnOfCapital,Reference!$C$26, IF(purchaseDate &lt; dateOfRecord, returnOfCapital,0))</f>
        <v>10.18</v>
      </c>
      <c r="Y17" s="305">
        <f>LET(purchaseDate,C17, dateOfRecord,Reference!$B$27, returnOfCapital,Reference!$C$27, IF(purchaseDate &lt; dateOfRecord, returnOfCapital,0))</f>
        <v>16.58</v>
      </c>
      <c r="Z17" s="305">
        <f t="shared" si="9"/>
        <v>51.21</v>
      </c>
      <c r="AA17" s="437">
        <f t="shared" si="10"/>
        <v>0</v>
      </c>
      <c r="AB17" s="316">
        <f>LET(numVmwShares,D17, stockRatio,Reference!$B$5, vmwToAvgoRatio,Reference!$B$6, numVmwShares * stockRatio * vmwToAvgoRatio)</f>
        <v>0</v>
      </c>
      <c r="AC17" s="316">
        <f>LET(numVmwShares,D17, stockRatio,Q17, vmwToAvgoRatio,Reference!$B$6, numVmwShares * stockRatio * vmwToAvgoRatio)</f>
        <v>0</v>
      </c>
      <c r="AD17" s="316" t="str">
        <f>LET(numVmwShares,D17, stockRatio,R17, vmwToAvgoRatio,Reference!$B$6, numVmwShares * stockRatio * vmwToAvgoRatio)</f>
        <v>#DIV/0!</v>
      </c>
      <c r="AE17" s="316">
        <f>SWITCH(Reference!$E$4, "eTradeTransactionLog", AB17, "eTradeHoldingRatio",AB17, "eTradeLotQtyRatio",AC17,"manualLotRatio",AD17)</f>
        <v>0</v>
      </c>
      <c r="AF17" s="317">
        <f>LET(numVmwShares,D17, vmwBasis,Z17, avgoQty,AE17, avgoFMV,Reference!$B$18, cashReceived,W17, gain,cashReceived+(avgoQty*avgoFMV)-(numVmwShares*vmwBasis),
MAX(gain,0))</f>
        <v>0</v>
      </c>
      <c r="AG17" s="318">
        <f>LET(useForFraction,J17, fractionAmount,Summary!$C$41, esppFractionLots,ESPP!$N$5, rsuFractionLots,RSU!J$5, IF(useForFraction, fractionAmount / (esppFractionLots+rsuFractionLots), 0))</f>
        <v>0</v>
      </c>
      <c r="AH17" s="438">
        <f>LET(useForFraction,J17, fractionSaleFMV,Reference!$B$23, postMergerBasis,AT17, lotFractionAmount,AG17, IF(useForFraction, (fractionSaleFMV - postMergerBasis)*lotFractionAmount, 0))</f>
        <v>0</v>
      </c>
      <c r="AI17" s="439">
        <f t="shared" si="11"/>
        <v>0</v>
      </c>
      <c r="AJ17" s="440">
        <f>LET(
purchaseDate,C17,
mergerDate,Reference!$B$28,
lotFractionGain,AH17,
mergerGain,AI17,
IF(DATEDIF(purchaseDate,mergerDate,"Y")&gt;=1,
  0,
  lotFractionGain + mergerGain
))</f>
        <v>0</v>
      </c>
      <c r="AK17" s="440">
        <f>LET(
purchaseDate,C17,
mergerDate,Reference!$B$28,
lotFractionGain,AH17,
mergerGain,AI17,
IF(DATEDIF(purchaseDate,mergerDate,"Y")&gt;=1,
  lotFractionGain+mergerGain,
  0
))</f>
        <v>0</v>
      </c>
      <c r="AL17" s="441" t="str">
        <f>IF(DATEDIF(C17,Reference!$B$28,"Y")&gt;=1,"Part II Box E","Part I Box B")</f>
        <v>Part II Box E</v>
      </c>
      <c r="AM17" s="336">
        <f t="shared" si="12"/>
        <v>42675</v>
      </c>
      <c r="AN17" s="337">
        <f t="shared" si="13"/>
        <v>0</v>
      </c>
      <c r="AO17" s="337">
        <f>LET(
cashReceived,W17, 
avgoQty,AE17, 
proceedsStyle,Reference!$E$9, 
avgoFMV,Reference!$B$18, 
SWITCH(proceedsStyle, "combined", cashReceived +(avgoQty*avgoFMV), "cashOnly", cashReceived))</f>
        <v>0</v>
      </c>
      <c r="AP17" s="338">
        <f>LET(
numVmwShares,D17, 
vmwBasis, Z17, 
avgoQty,AE17, 
avgoFMV,Reference!$B$18, 
cashReceived,W17, 
avgoTotalValue, avgoFMV*avgoQty, 
vmwTotalBasis, vmwBasis*numVmwShares,
alternateGainAmount,AF17, 
IF(cashReceived&lt;alternateGainAmount,
  avgoTotalValue,
  vmwTotalBasis
))</f>
        <v>0</v>
      </c>
      <c r="AQ17" s="338" t="str">
        <f t="shared" si="14"/>
        <v/>
      </c>
      <c r="AR17" s="338">
        <v>0.0</v>
      </c>
      <c r="AS17" s="339">
        <f t="shared" si="15"/>
        <v>0</v>
      </c>
      <c r="AT17" s="442" t="str">
        <f t="shared" si="16"/>
        <v>n/a</v>
      </c>
      <c r="AU17" s="328">
        <f>LET(saleFMV,Reference!$B$10, postMergerBasis,AT17, avgoQty,AE17, lotFractionAmount,AG17, iferror((saleFMV - postMergerBasis) * (avgoQty - lotFractionAmount), 0))</f>
        <v>0</v>
      </c>
      <c r="AV17" s="328">
        <f>LET(
avgoQty,AE18, 
purchaseDate,C18,
postMergerSaleDate,Reference!$B$29,
saleFMV,Reference!$B$10,
postMergerBasis,AT18, 
IFERROR(IF(DATEDIF(purchaseDate,postMergerSaleDate,"Y")&gt;=1,
  0,
  avgoQty * (saleFMV - postMergerBasis)
),0))</f>
        <v>0</v>
      </c>
      <c r="AW17" s="331">
        <f>LET(
avgoQty,AE17, 
purchaseDate,C17,
postMergerSaleDate,Reference!$B$29,
saleFMV,Reference!$B$10,
postMergerBasis,AT17, 
IFERROR(IF(DATEDIF(purchaseDate,postMergerSaleDate,"Y")&gt;=1,
  avgoQty * (saleFMV - postMergerBasis),
  0
),0))</f>
        <v>0</v>
      </c>
    </row>
    <row r="18">
      <c r="A18" s="431" t="s">
        <v>222</v>
      </c>
      <c r="B18" s="432">
        <v>42170.0</v>
      </c>
      <c r="C18" s="301">
        <v>42675.0</v>
      </c>
      <c r="D18" s="332"/>
      <c r="E18" s="433">
        <v>77.97</v>
      </c>
      <c r="F18" s="443"/>
      <c r="G18" s="305">
        <f t="shared" si="6"/>
        <v>0</v>
      </c>
      <c r="H18" s="317">
        <f t="shared" si="7"/>
        <v>0</v>
      </c>
      <c r="I18" s="444"/>
      <c r="J18" s="342" t="b">
        <v>0</v>
      </c>
      <c r="K18" s="436"/>
      <c r="L18" s="311">
        <v>0.0</v>
      </c>
      <c r="M18" s="311">
        <v>0.0</v>
      </c>
      <c r="N18" s="311">
        <v>0.0</v>
      </c>
      <c r="O18" s="311">
        <v>0.0</v>
      </c>
      <c r="P18" s="311">
        <v>0.0</v>
      </c>
      <c r="Q18" s="313">
        <f t="shared" si="8"/>
        <v>0</v>
      </c>
      <c r="R18" s="313" t="str">
        <f>SWITCH(S18,"cash",Reference!E$5,"shares",Reference!$E$6,"balance",Reference!$E$7,"pro-rata",Reference!$B$5)</f>
        <v>#DIV/0!</v>
      </c>
      <c r="S18" s="314" t="s">
        <v>205</v>
      </c>
      <c r="T18" s="315">
        <f>LET(numVmwShares,D18, cashRatio,Reference!$B$4, vmwFinalPrice,Reference!$B$3, numVmwShares * cashRatio * vmwFinalPrice)</f>
        <v>0</v>
      </c>
      <c r="U18" s="315">
        <f>iferror(LET(numVmwShares,$D18, stockRatio,Q18, vmwFinalPrice,Reference!$B$3, (1 - stockRatio) * vmwFinalPrice * numVmwShares),0)</f>
        <v>0</v>
      </c>
      <c r="V18" s="315">
        <f>iferror(LET(numVmwShares,$D18, stockRatio,R18, vmwFinalPrice,Reference!$B$3, (1 - stockRatio) * vmwFinalPrice * numVmwShares),0)</f>
        <v>0</v>
      </c>
      <c r="W18" s="315">
        <f>SWITCH(Reference!$E$4,"eTradeTransactionLog", T18, "eTradeHoldingRatio",T18, "eTradeLotQtyRatio",U18,"manualLotRatio",V18)</f>
        <v>0</v>
      </c>
      <c r="X18" s="305">
        <f>LET(purchaseDate,C18, dateOfRecord,Reference!$B$26, returnOfCapital,Reference!$C$26, IF(purchaseDate &lt; dateOfRecord, returnOfCapital,0))</f>
        <v>10.18</v>
      </c>
      <c r="Y18" s="305">
        <f>LET(purchaseDate,C18, dateOfRecord,Reference!$B$27, returnOfCapital,Reference!$C$27, IF(purchaseDate &lt; dateOfRecord, returnOfCapital,0))</f>
        <v>16.58</v>
      </c>
      <c r="Z18" s="305">
        <f t="shared" si="9"/>
        <v>51.21</v>
      </c>
      <c r="AA18" s="437">
        <f t="shared" si="10"/>
        <v>0</v>
      </c>
      <c r="AB18" s="316">
        <f>LET(numVmwShares,D18, stockRatio,Reference!$B$5, vmwToAvgoRatio,Reference!$B$6, numVmwShares * stockRatio * vmwToAvgoRatio)</f>
        <v>0</v>
      </c>
      <c r="AC18" s="316">
        <f>LET(numVmwShares,D18, stockRatio,Q18, vmwToAvgoRatio,Reference!$B$6, numVmwShares * stockRatio * vmwToAvgoRatio)</f>
        <v>0</v>
      </c>
      <c r="AD18" s="316" t="str">
        <f>LET(numVmwShares,D18, stockRatio,R18, vmwToAvgoRatio,Reference!$B$6, numVmwShares * stockRatio * vmwToAvgoRatio)</f>
        <v>#DIV/0!</v>
      </c>
      <c r="AE18" s="316">
        <f>SWITCH(Reference!$E$4, "eTradeTransactionLog", AB18, "eTradeHoldingRatio",AB18, "eTradeLotQtyRatio",AC18,"manualLotRatio",AD18)</f>
        <v>0</v>
      </c>
      <c r="AF18" s="317">
        <f>LET(numVmwShares,D18, vmwBasis,Z18, avgoQty,AE18, avgoFMV,Reference!$B$18, cashReceived,W18, gain,cashReceived+(avgoQty*avgoFMV)-(numVmwShares*vmwBasis),
MAX(gain,0))</f>
        <v>0</v>
      </c>
      <c r="AG18" s="318">
        <f>LET(useForFraction,J18, fractionAmount,Summary!$C$41, esppFractionLots,ESPP!$N$5, rsuFractionLots,RSU!J$5, IF(useForFraction, fractionAmount / (esppFractionLots+rsuFractionLots), 0))</f>
        <v>0</v>
      </c>
      <c r="AH18" s="438">
        <f>LET(useForFraction,J18, fractionSaleFMV,Reference!$B$23, postMergerBasis,AT18, lotFractionAmount,AG18, IF(useForFraction, (fractionSaleFMV - postMergerBasis)*lotFractionAmount, 0))</f>
        <v>0</v>
      </c>
      <c r="AI18" s="439">
        <f t="shared" si="11"/>
        <v>0</v>
      </c>
      <c r="AJ18" s="440">
        <f>LET(
purchaseDate,C18,
mergerDate,Reference!$B$28,
lotFractionGain,AH18,
mergerGain,AI18,
IF(DATEDIF(purchaseDate,mergerDate,"Y")&gt;=1,
  0,
  lotFractionGain + mergerGain
))</f>
        <v>0</v>
      </c>
      <c r="AK18" s="440">
        <f>LET(
purchaseDate,C18,
mergerDate,Reference!$B$28,
lotFractionGain,AH18,
mergerGain,AI18,
IF(DATEDIF(purchaseDate,mergerDate,"Y")&gt;=1,
  lotFractionGain+mergerGain,
  0
))</f>
        <v>0</v>
      </c>
      <c r="AL18" s="441" t="str">
        <f>IF(DATEDIF(C18,Reference!$B$28,"Y")&gt;=1,"Part II Box E","Part I Box B")</f>
        <v>Part II Box E</v>
      </c>
      <c r="AM18" s="336">
        <f t="shared" si="12"/>
        <v>42675</v>
      </c>
      <c r="AN18" s="337">
        <f t="shared" si="13"/>
        <v>0</v>
      </c>
      <c r="AO18" s="337">
        <f>LET(
cashReceived,W18, 
avgoQty,AE18, 
proceedsStyle,Reference!$E$9, 
avgoFMV,Reference!$B$18, 
SWITCH(proceedsStyle, "combined", cashReceived +(avgoQty*avgoFMV), "cashOnly", cashReceived))</f>
        <v>0</v>
      </c>
      <c r="AP18" s="338">
        <f>LET(
numVmwShares,D18, 
vmwBasis, Z18, 
avgoQty,AE18, 
avgoFMV,Reference!$B$18, 
cashReceived,W18, 
avgoTotalValue, avgoFMV*avgoQty, 
vmwTotalBasis, vmwBasis*numVmwShares,
alternateGainAmount,AF18, 
IF(cashReceived&lt;alternateGainAmount,
  avgoTotalValue,
  vmwTotalBasis
))</f>
        <v>0</v>
      </c>
      <c r="AQ18" s="338" t="str">
        <f t="shared" si="14"/>
        <v/>
      </c>
      <c r="AR18" s="338">
        <v>0.0</v>
      </c>
      <c r="AS18" s="339">
        <f t="shared" si="15"/>
        <v>0</v>
      </c>
      <c r="AT18" s="442" t="str">
        <f t="shared" si="16"/>
        <v>n/a</v>
      </c>
      <c r="AU18" s="328">
        <f>LET(saleFMV,Reference!$B$10, postMergerBasis,AT18, avgoQty,AE18, lotFractionAmount,AG18, iferror((saleFMV - postMergerBasis) * (avgoQty - lotFractionAmount), 0))</f>
        <v>0</v>
      </c>
      <c r="AV18" s="328">
        <f>LET(
avgoQty,AE19, 
purchaseDate,C19,
postMergerSaleDate,Reference!$B$29,
saleFMV,Reference!$B$10,
postMergerBasis,AT19, 
IFERROR(IF(DATEDIF(purchaseDate,postMergerSaleDate,"Y")&gt;=1,
  0,
  avgoQty * (saleFMV - postMergerBasis)
),0))</f>
        <v>0</v>
      </c>
      <c r="AW18" s="331">
        <f>LET(
avgoQty,AE18, 
purchaseDate,C18,
postMergerSaleDate,Reference!$B$29,
saleFMV,Reference!$B$10,
postMergerBasis,AT18, 
IFERROR(IF(DATEDIF(purchaseDate,postMergerSaleDate,"Y")&gt;=1,
  avgoQty * (saleFMV - postMergerBasis),
  0
),0))</f>
        <v>0</v>
      </c>
    </row>
    <row r="19">
      <c r="A19" s="431" t="s">
        <v>223</v>
      </c>
      <c r="B19" s="432">
        <v>42342.0</v>
      </c>
      <c r="C19" s="301">
        <v>42705.0</v>
      </c>
      <c r="D19" s="332"/>
      <c r="E19" s="433">
        <v>78.04</v>
      </c>
      <c r="F19" s="443"/>
      <c r="G19" s="305">
        <f t="shared" si="6"/>
        <v>0</v>
      </c>
      <c r="H19" s="317">
        <f t="shared" si="7"/>
        <v>0</v>
      </c>
      <c r="I19" s="444"/>
      <c r="J19" s="342" t="b">
        <v>0</v>
      </c>
      <c r="K19" s="436"/>
      <c r="L19" s="311">
        <v>0.0</v>
      </c>
      <c r="M19" s="311">
        <v>0.0</v>
      </c>
      <c r="N19" s="311">
        <v>0.0</v>
      </c>
      <c r="O19" s="311">
        <v>0.0</v>
      </c>
      <c r="P19" s="311">
        <v>0.0</v>
      </c>
      <c r="Q19" s="313">
        <f t="shared" si="8"/>
        <v>0</v>
      </c>
      <c r="R19" s="313" t="str">
        <f>SWITCH(S19,"cash",Reference!E$5,"shares",Reference!$E$6,"balance",Reference!$E$7,"pro-rata",Reference!$B$5)</f>
        <v>#DIV/0!</v>
      </c>
      <c r="S19" s="314" t="s">
        <v>205</v>
      </c>
      <c r="T19" s="315">
        <f>LET(numVmwShares,D19, cashRatio,Reference!$B$4, vmwFinalPrice,Reference!$B$3, numVmwShares * cashRatio * vmwFinalPrice)</f>
        <v>0</v>
      </c>
      <c r="U19" s="315">
        <f>iferror(LET(numVmwShares,$D19, stockRatio,Q19, vmwFinalPrice,Reference!$B$3, (1 - stockRatio) * vmwFinalPrice * numVmwShares),0)</f>
        <v>0</v>
      </c>
      <c r="V19" s="315">
        <f>iferror(LET(numVmwShares,$D19, stockRatio,R19, vmwFinalPrice,Reference!$B$3, (1 - stockRatio) * vmwFinalPrice * numVmwShares),0)</f>
        <v>0</v>
      </c>
      <c r="W19" s="315">
        <f>SWITCH(Reference!$E$4,"eTradeTransactionLog", T19, "eTradeHoldingRatio",T19, "eTradeLotQtyRatio",U19,"manualLotRatio",V19)</f>
        <v>0</v>
      </c>
      <c r="X19" s="305">
        <f>LET(purchaseDate,C19, dateOfRecord,Reference!$B$26, returnOfCapital,Reference!$C$26, IF(purchaseDate &lt; dateOfRecord, returnOfCapital,0))</f>
        <v>10.18</v>
      </c>
      <c r="Y19" s="305">
        <f>LET(purchaseDate,C19, dateOfRecord,Reference!$B$27, returnOfCapital,Reference!$C$27, IF(purchaseDate &lt; dateOfRecord, returnOfCapital,0))</f>
        <v>16.58</v>
      </c>
      <c r="Z19" s="305">
        <f t="shared" si="9"/>
        <v>51.28</v>
      </c>
      <c r="AA19" s="437">
        <f t="shared" si="10"/>
        <v>0</v>
      </c>
      <c r="AB19" s="316">
        <f>LET(numVmwShares,D19, stockRatio,Reference!$B$5, vmwToAvgoRatio,Reference!$B$6, numVmwShares * stockRatio * vmwToAvgoRatio)</f>
        <v>0</v>
      </c>
      <c r="AC19" s="316">
        <f>LET(numVmwShares,D19, stockRatio,Q19, vmwToAvgoRatio,Reference!$B$6, numVmwShares * stockRatio * vmwToAvgoRatio)</f>
        <v>0</v>
      </c>
      <c r="AD19" s="316" t="str">
        <f>LET(numVmwShares,D19, stockRatio,R19, vmwToAvgoRatio,Reference!$B$6, numVmwShares * stockRatio * vmwToAvgoRatio)</f>
        <v>#DIV/0!</v>
      </c>
      <c r="AE19" s="316">
        <f>SWITCH(Reference!$E$4, "eTradeTransactionLog", AB19, "eTradeHoldingRatio",AB19, "eTradeLotQtyRatio",AC19,"manualLotRatio",AD19)</f>
        <v>0</v>
      </c>
      <c r="AF19" s="317">
        <f>LET(numVmwShares,D19, vmwBasis,Z19, avgoQty,AE19, avgoFMV,Reference!$B$18, cashReceived,W19, gain,cashReceived+(avgoQty*avgoFMV)-(numVmwShares*vmwBasis),
MAX(gain,0))</f>
        <v>0</v>
      </c>
      <c r="AG19" s="318">
        <f>LET(useForFraction,J19, fractionAmount,Summary!$C$41, esppFractionLots,ESPP!$N$5, rsuFractionLots,RSU!J$5, IF(useForFraction, fractionAmount / (esppFractionLots+rsuFractionLots), 0))</f>
        <v>0</v>
      </c>
      <c r="AH19" s="438">
        <f>LET(useForFraction,J19, fractionSaleFMV,Reference!$B$23, postMergerBasis,AT19, lotFractionAmount,AG19, IF(useForFraction, (fractionSaleFMV - postMergerBasis)*lotFractionAmount, 0))</f>
        <v>0</v>
      </c>
      <c r="AI19" s="439">
        <f t="shared" si="11"/>
        <v>0</v>
      </c>
      <c r="AJ19" s="440">
        <f>LET(
purchaseDate,C19,
mergerDate,Reference!$B$28,
lotFractionGain,AH19,
mergerGain,AI19,
IF(DATEDIF(purchaseDate,mergerDate,"Y")&gt;=1,
  0,
  lotFractionGain + mergerGain
))</f>
        <v>0</v>
      </c>
      <c r="AK19" s="440">
        <f>LET(
purchaseDate,C19,
mergerDate,Reference!$B$28,
lotFractionGain,AH19,
mergerGain,AI19,
IF(DATEDIF(purchaseDate,mergerDate,"Y")&gt;=1,
  lotFractionGain+mergerGain,
  0
))</f>
        <v>0</v>
      </c>
      <c r="AL19" s="441" t="str">
        <f>IF(DATEDIF(C19,Reference!$B$28,"Y")&gt;=1,"Part II Box E","Part I Box B")</f>
        <v>Part II Box E</v>
      </c>
      <c r="AM19" s="336">
        <f t="shared" si="12"/>
        <v>42705</v>
      </c>
      <c r="AN19" s="337">
        <f t="shared" si="13"/>
        <v>0</v>
      </c>
      <c r="AO19" s="337">
        <f>LET(
cashReceived,W19, 
avgoQty,AE19, 
proceedsStyle,Reference!$E$9, 
avgoFMV,Reference!$B$18, 
SWITCH(proceedsStyle, "combined", cashReceived +(avgoQty*avgoFMV), "cashOnly", cashReceived))</f>
        <v>0</v>
      </c>
      <c r="AP19" s="338">
        <f>LET(
numVmwShares,D19, 
vmwBasis, Z19, 
avgoQty,AE19, 
avgoFMV,Reference!$B$18, 
cashReceived,W19, 
avgoTotalValue, avgoFMV*avgoQty, 
vmwTotalBasis, vmwBasis*numVmwShares,
alternateGainAmount,AF19, 
IF(cashReceived&lt;alternateGainAmount,
  avgoTotalValue,
  vmwTotalBasis
))</f>
        <v>0</v>
      </c>
      <c r="AQ19" s="338" t="str">
        <f t="shared" si="14"/>
        <v/>
      </c>
      <c r="AR19" s="338">
        <v>0.0</v>
      </c>
      <c r="AS19" s="339">
        <f t="shared" si="15"/>
        <v>0</v>
      </c>
      <c r="AT19" s="442" t="str">
        <f t="shared" si="16"/>
        <v>n/a</v>
      </c>
      <c r="AU19" s="328">
        <f>LET(saleFMV,Reference!$B$10, postMergerBasis,AT19, avgoQty,AE19, lotFractionAmount,AG19, iferror((saleFMV - postMergerBasis) * (avgoQty - lotFractionAmount), 0))</f>
        <v>0</v>
      </c>
      <c r="AV19" s="328">
        <f>LET(
avgoQty,AE20, 
purchaseDate,C20,
postMergerSaleDate,Reference!$B$29,
saleFMV,Reference!$B$10,
postMergerBasis,AT20, 
IFERROR(IF(DATEDIF(purchaseDate,postMergerSaleDate,"Y")&gt;=1,
  0,
  avgoQty * (saleFMV - postMergerBasis)
),0))</f>
        <v>0</v>
      </c>
      <c r="AW19" s="331">
        <f>LET(
avgoQty,AE19, 
purchaseDate,C19,
postMergerSaleDate,Reference!$B$29,
saleFMV,Reference!$B$10,
postMergerBasis,AT19, 
IFERROR(IF(DATEDIF(purchaseDate,postMergerSaleDate,"Y")&gt;=1,
  avgoQty * (saleFMV - postMergerBasis),
  0
),0))</f>
        <v>0</v>
      </c>
    </row>
    <row r="20">
      <c r="A20" s="431" t="s">
        <v>221</v>
      </c>
      <c r="B20" s="432">
        <v>41803.0</v>
      </c>
      <c r="C20" s="301">
        <v>42856.0</v>
      </c>
      <c r="D20" s="332"/>
      <c r="E20" s="433">
        <v>94.58</v>
      </c>
      <c r="F20" s="443"/>
      <c r="G20" s="305">
        <f t="shared" si="6"/>
        <v>0</v>
      </c>
      <c r="H20" s="317">
        <f t="shared" si="7"/>
        <v>0</v>
      </c>
      <c r="I20" s="444"/>
      <c r="J20" s="342" t="b">
        <v>0</v>
      </c>
      <c r="K20" s="436"/>
      <c r="L20" s="311">
        <v>0.0</v>
      </c>
      <c r="M20" s="311">
        <v>0.0</v>
      </c>
      <c r="N20" s="311">
        <v>0.0</v>
      </c>
      <c r="O20" s="311">
        <v>0.0</v>
      </c>
      <c r="P20" s="311">
        <v>0.0</v>
      </c>
      <c r="Q20" s="313">
        <f t="shared" si="8"/>
        <v>0</v>
      </c>
      <c r="R20" s="313" t="str">
        <f>SWITCH(S20,"cash",Reference!E$5,"shares",Reference!$E$6,"balance",Reference!$E$7,"pro-rata",Reference!$B$5)</f>
        <v>#DIV/0!</v>
      </c>
      <c r="S20" s="314" t="s">
        <v>205</v>
      </c>
      <c r="T20" s="315">
        <f>LET(numVmwShares,D20, cashRatio,Reference!$B$4, vmwFinalPrice,Reference!$B$3, numVmwShares * cashRatio * vmwFinalPrice)</f>
        <v>0</v>
      </c>
      <c r="U20" s="315">
        <f>iferror(LET(numVmwShares,$D20, stockRatio,Q20, vmwFinalPrice,Reference!$B$3, (1 - stockRatio) * vmwFinalPrice * numVmwShares),0)</f>
        <v>0</v>
      </c>
      <c r="V20" s="315">
        <f>iferror(LET(numVmwShares,$D20, stockRatio,R20, vmwFinalPrice,Reference!$B$3, (1 - stockRatio) * vmwFinalPrice * numVmwShares),0)</f>
        <v>0</v>
      </c>
      <c r="W20" s="315">
        <f>SWITCH(Reference!$E$4,"eTradeTransactionLog", T20, "eTradeHoldingRatio",T20, "eTradeLotQtyRatio",U20,"manualLotRatio",V20)</f>
        <v>0</v>
      </c>
      <c r="X20" s="305">
        <f>LET(purchaseDate,C20, dateOfRecord,Reference!$B$26, returnOfCapital,Reference!$C$26, IF(purchaseDate &lt; dateOfRecord, returnOfCapital,0))</f>
        <v>10.18</v>
      </c>
      <c r="Y20" s="305">
        <f>LET(purchaseDate,C20, dateOfRecord,Reference!$B$27, returnOfCapital,Reference!$C$27, IF(purchaseDate &lt; dateOfRecord, returnOfCapital,0))</f>
        <v>16.58</v>
      </c>
      <c r="Z20" s="305">
        <f t="shared" si="9"/>
        <v>67.82</v>
      </c>
      <c r="AA20" s="437">
        <f t="shared" si="10"/>
        <v>0</v>
      </c>
      <c r="AB20" s="316">
        <f>LET(numVmwShares,D20, stockRatio,Reference!$B$5, vmwToAvgoRatio,Reference!$B$6, numVmwShares * stockRatio * vmwToAvgoRatio)</f>
        <v>0</v>
      </c>
      <c r="AC20" s="316">
        <f>LET(numVmwShares,D20, stockRatio,Q20, vmwToAvgoRatio,Reference!$B$6, numVmwShares * stockRatio * vmwToAvgoRatio)</f>
        <v>0</v>
      </c>
      <c r="AD20" s="316" t="str">
        <f>LET(numVmwShares,D20, stockRatio,R20, vmwToAvgoRatio,Reference!$B$6, numVmwShares * stockRatio * vmwToAvgoRatio)</f>
        <v>#DIV/0!</v>
      </c>
      <c r="AE20" s="316">
        <f>SWITCH(Reference!$E$4, "eTradeTransactionLog", AB20, "eTradeHoldingRatio",AB20, "eTradeLotQtyRatio",AC20,"manualLotRatio",AD20)</f>
        <v>0</v>
      </c>
      <c r="AF20" s="317">
        <f>LET(numVmwShares,D20, vmwBasis,Z20, avgoQty,AE20, avgoFMV,Reference!$B$18, cashReceived,W20, gain,cashReceived+(avgoQty*avgoFMV)-(numVmwShares*vmwBasis),
MAX(gain,0))</f>
        <v>0</v>
      </c>
      <c r="AG20" s="318">
        <f>LET(useForFraction,J20, fractionAmount,Summary!$C$41, esppFractionLots,ESPP!$N$5, rsuFractionLots,RSU!J$5, IF(useForFraction, fractionAmount / (esppFractionLots+rsuFractionLots), 0))</f>
        <v>0</v>
      </c>
      <c r="AH20" s="438">
        <f>LET(useForFraction,J20, fractionSaleFMV,Reference!$B$23, postMergerBasis,AT20, lotFractionAmount,AG20, IF(useForFraction, (fractionSaleFMV - postMergerBasis)*lotFractionAmount, 0))</f>
        <v>0</v>
      </c>
      <c r="AI20" s="439">
        <f t="shared" si="11"/>
        <v>0</v>
      </c>
      <c r="AJ20" s="440">
        <f>LET(
purchaseDate,C20,
mergerDate,Reference!$B$28,
lotFractionGain,AH20,
mergerGain,AI20,
IF(DATEDIF(purchaseDate,mergerDate,"Y")&gt;=1,
  0,
  lotFractionGain + mergerGain
))</f>
        <v>0</v>
      </c>
      <c r="AK20" s="440">
        <f>LET(
purchaseDate,C20,
mergerDate,Reference!$B$28,
lotFractionGain,AH20,
mergerGain,AI20,
IF(DATEDIF(purchaseDate,mergerDate,"Y")&gt;=1,
  lotFractionGain+mergerGain,
  0
))</f>
        <v>0</v>
      </c>
      <c r="AL20" s="441" t="str">
        <f>IF(DATEDIF(C20,Reference!$B$28,"Y")&gt;=1,"Part II Box E","Part I Box B")</f>
        <v>Part II Box E</v>
      </c>
      <c r="AM20" s="336">
        <f t="shared" si="12"/>
        <v>42856</v>
      </c>
      <c r="AN20" s="337">
        <f t="shared" si="13"/>
        <v>0</v>
      </c>
      <c r="AO20" s="337">
        <f>LET(
cashReceived,W20, 
avgoQty,AE20, 
proceedsStyle,Reference!$E$9, 
avgoFMV,Reference!$B$18, 
SWITCH(proceedsStyle, "combined", cashReceived +(avgoQty*avgoFMV), "cashOnly", cashReceived))</f>
        <v>0</v>
      </c>
      <c r="AP20" s="338">
        <f>LET(
numVmwShares,D20, 
vmwBasis, Z20, 
avgoQty,AE20, 
avgoFMV,Reference!$B$18, 
cashReceived,W20, 
avgoTotalValue, avgoFMV*avgoQty, 
vmwTotalBasis, vmwBasis*numVmwShares,
alternateGainAmount,AF20, 
IF(cashReceived&lt;alternateGainAmount,
  avgoTotalValue,
  vmwTotalBasis
))</f>
        <v>0</v>
      </c>
      <c r="AQ20" s="338" t="str">
        <f t="shared" si="14"/>
        <v/>
      </c>
      <c r="AR20" s="338">
        <v>0.0</v>
      </c>
      <c r="AS20" s="339">
        <f t="shared" si="15"/>
        <v>0</v>
      </c>
      <c r="AT20" s="442" t="str">
        <f t="shared" si="16"/>
        <v>n/a</v>
      </c>
      <c r="AU20" s="328">
        <f>LET(saleFMV,Reference!$B$10, postMergerBasis,AT20, avgoQty,AE20, lotFractionAmount,AG20, iferror((saleFMV - postMergerBasis) * (avgoQty - lotFractionAmount), 0))</f>
        <v>0</v>
      </c>
      <c r="AV20" s="328">
        <f>LET(
avgoQty,AE21, 
purchaseDate,C21,
postMergerSaleDate,Reference!$B$29,
saleFMV,Reference!$B$10,
postMergerBasis,AT21, 
IFERROR(IF(DATEDIF(purchaseDate,postMergerSaleDate,"Y")&gt;=1,
  0,
  avgoQty * (saleFMV - postMergerBasis)
),0))</f>
        <v>0</v>
      </c>
      <c r="AW20" s="331">
        <f>LET(
avgoQty,AE20, 
purchaseDate,C20,
postMergerSaleDate,Reference!$B$29,
saleFMV,Reference!$B$10,
postMergerBasis,AT20, 
IFERROR(IF(DATEDIF(purchaseDate,postMergerSaleDate,"Y")&gt;=1,
  avgoQty * (saleFMV - postMergerBasis),
  0
),0))</f>
        <v>0</v>
      </c>
    </row>
    <row r="21">
      <c r="A21" s="431" t="s">
        <v>222</v>
      </c>
      <c r="B21" s="432">
        <v>42170.0</v>
      </c>
      <c r="C21" s="301">
        <v>42856.0</v>
      </c>
      <c r="D21" s="332"/>
      <c r="E21" s="433">
        <v>94.58</v>
      </c>
      <c r="F21" s="443"/>
      <c r="G21" s="305">
        <f t="shared" si="6"/>
        <v>0</v>
      </c>
      <c r="H21" s="317">
        <f t="shared" si="7"/>
        <v>0</v>
      </c>
      <c r="I21" s="444"/>
      <c r="J21" s="342" t="b">
        <v>0</v>
      </c>
      <c r="K21" s="436"/>
      <c r="L21" s="311">
        <v>0.0</v>
      </c>
      <c r="M21" s="311">
        <v>0.0</v>
      </c>
      <c r="N21" s="311">
        <v>0.0</v>
      </c>
      <c r="O21" s="311">
        <v>0.0</v>
      </c>
      <c r="P21" s="311">
        <v>0.0</v>
      </c>
      <c r="Q21" s="313">
        <f t="shared" si="8"/>
        <v>0</v>
      </c>
      <c r="R21" s="313" t="str">
        <f>SWITCH(S21,"cash",Reference!E$5,"shares",Reference!$E$6,"balance",Reference!$E$7,"pro-rata",Reference!$B$5)</f>
        <v>#DIV/0!</v>
      </c>
      <c r="S21" s="314" t="s">
        <v>205</v>
      </c>
      <c r="T21" s="315">
        <f>LET(numVmwShares,D21, cashRatio,Reference!$B$4, vmwFinalPrice,Reference!$B$3, numVmwShares * cashRatio * vmwFinalPrice)</f>
        <v>0</v>
      </c>
      <c r="U21" s="315">
        <f>iferror(LET(numVmwShares,$D21, stockRatio,Q21, vmwFinalPrice,Reference!$B$3, (1 - stockRatio) * vmwFinalPrice * numVmwShares),0)</f>
        <v>0</v>
      </c>
      <c r="V21" s="315">
        <f>iferror(LET(numVmwShares,$D21, stockRatio,R21, vmwFinalPrice,Reference!$B$3, (1 - stockRatio) * vmwFinalPrice * numVmwShares),0)</f>
        <v>0</v>
      </c>
      <c r="W21" s="315">
        <f>SWITCH(Reference!$E$4,"eTradeTransactionLog", T21, "eTradeHoldingRatio",T21, "eTradeLotQtyRatio",U21,"manualLotRatio",V21)</f>
        <v>0</v>
      </c>
      <c r="X21" s="305">
        <f>LET(purchaseDate,C21, dateOfRecord,Reference!$B$26, returnOfCapital,Reference!$C$26, IF(purchaseDate &lt; dateOfRecord, returnOfCapital,0))</f>
        <v>10.18</v>
      </c>
      <c r="Y21" s="305">
        <f>LET(purchaseDate,C21, dateOfRecord,Reference!$B$27, returnOfCapital,Reference!$C$27, IF(purchaseDate &lt; dateOfRecord, returnOfCapital,0))</f>
        <v>16.58</v>
      </c>
      <c r="Z21" s="305">
        <f t="shared" si="9"/>
        <v>67.82</v>
      </c>
      <c r="AA21" s="437">
        <f t="shared" si="10"/>
        <v>0</v>
      </c>
      <c r="AB21" s="316">
        <f>LET(numVmwShares,D21, stockRatio,Reference!$B$5, vmwToAvgoRatio,Reference!$B$6, numVmwShares * stockRatio * vmwToAvgoRatio)</f>
        <v>0</v>
      </c>
      <c r="AC21" s="316">
        <f>LET(numVmwShares,D21, stockRatio,Q21, vmwToAvgoRatio,Reference!$B$6, numVmwShares * stockRatio * vmwToAvgoRatio)</f>
        <v>0</v>
      </c>
      <c r="AD21" s="316" t="str">
        <f>LET(numVmwShares,D21, stockRatio,R21, vmwToAvgoRatio,Reference!$B$6, numVmwShares * stockRatio * vmwToAvgoRatio)</f>
        <v>#DIV/0!</v>
      </c>
      <c r="AE21" s="316">
        <f>SWITCH(Reference!$E$4, "eTradeTransactionLog", AB21, "eTradeHoldingRatio",AB21, "eTradeLotQtyRatio",AC21,"manualLotRatio",AD21)</f>
        <v>0</v>
      </c>
      <c r="AF21" s="317">
        <f>LET(numVmwShares,D21, vmwBasis,Z21, avgoQty,AE21, avgoFMV,Reference!$B$18, cashReceived,W21, gain,cashReceived+(avgoQty*avgoFMV)-(numVmwShares*vmwBasis),
MAX(gain,0))</f>
        <v>0</v>
      </c>
      <c r="AG21" s="318">
        <f>LET(useForFraction,J21, fractionAmount,Summary!$C$41, esppFractionLots,ESPP!$N$5, rsuFractionLots,RSU!J$5, IF(useForFraction, fractionAmount / (esppFractionLots+rsuFractionLots), 0))</f>
        <v>0</v>
      </c>
      <c r="AH21" s="438">
        <f>LET(useForFraction,J21, fractionSaleFMV,Reference!$B$23, postMergerBasis,AT21, lotFractionAmount,AG21, IF(useForFraction, (fractionSaleFMV - postMergerBasis)*lotFractionAmount, 0))</f>
        <v>0</v>
      </c>
      <c r="AI21" s="439">
        <f t="shared" si="11"/>
        <v>0</v>
      </c>
      <c r="AJ21" s="440">
        <f>LET(
purchaseDate,C21,
mergerDate,Reference!$B$28,
lotFractionGain,AH21,
mergerGain,AI21,
IF(DATEDIF(purchaseDate,mergerDate,"Y")&gt;=1,
  0,
  lotFractionGain + mergerGain
))</f>
        <v>0</v>
      </c>
      <c r="AK21" s="440">
        <f>LET(
purchaseDate,C21,
mergerDate,Reference!$B$28,
lotFractionGain,AH21,
mergerGain,AI21,
IF(DATEDIF(purchaseDate,mergerDate,"Y")&gt;=1,
  lotFractionGain+mergerGain,
  0
))</f>
        <v>0</v>
      </c>
      <c r="AL21" s="441" t="str">
        <f>IF(DATEDIF(C21,Reference!$B$28,"Y")&gt;=1,"Part II Box E","Part I Box B")</f>
        <v>Part II Box E</v>
      </c>
      <c r="AM21" s="336">
        <f t="shared" si="12"/>
        <v>42856</v>
      </c>
      <c r="AN21" s="337">
        <f t="shared" si="13"/>
        <v>0</v>
      </c>
      <c r="AO21" s="337">
        <f>LET(
cashReceived,W21, 
avgoQty,AE21, 
proceedsStyle,Reference!$E$9, 
avgoFMV,Reference!$B$18, 
SWITCH(proceedsStyle, "combined", cashReceived +(avgoQty*avgoFMV), "cashOnly", cashReceived))</f>
        <v>0</v>
      </c>
      <c r="AP21" s="338">
        <f>LET(
numVmwShares,D21, 
vmwBasis, Z21, 
avgoQty,AE21, 
avgoFMV,Reference!$B$18, 
cashReceived,W21, 
avgoTotalValue, avgoFMV*avgoQty, 
vmwTotalBasis, vmwBasis*numVmwShares,
alternateGainAmount,AF21, 
IF(cashReceived&lt;alternateGainAmount,
  avgoTotalValue,
  vmwTotalBasis
))</f>
        <v>0</v>
      </c>
      <c r="AQ21" s="338" t="str">
        <f t="shared" si="14"/>
        <v/>
      </c>
      <c r="AR21" s="338">
        <v>0.0</v>
      </c>
      <c r="AS21" s="339">
        <f t="shared" si="15"/>
        <v>0</v>
      </c>
      <c r="AT21" s="442" t="str">
        <f t="shared" si="16"/>
        <v>n/a</v>
      </c>
      <c r="AU21" s="328">
        <f>LET(saleFMV,Reference!$B$10, postMergerBasis,AT21, avgoQty,AE21, lotFractionAmount,AG21, iferror((saleFMV - postMergerBasis) * (avgoQty - lotFractionAmount), 0))</f>
        <v>0</v>
      </c>
      <c r="AV21" s="328">
        <f>LET(
avgoQty,AE22, 
purchaseDate,C22,
postMergerSaleDate,Reference!$B$29,
saleFMV,Reference!$B$10,
postMergerBasis,AT22, 
IFERROR(IF(DATEDIF(purchaseDate,postMergerSaleDate,"Y")&gt;=1,
  0,
  avgoQty * (saleFMV - postMergerBasis)
),0))</f>
        <v>0</v>
      </c>
      <c r="AW21" s="331">
        <f>LET(
avgoQty,AE21, 
purchaseDate,C21,
postMergerSaleDate,Reference!$B$29,
saleFMV,Reference!$B$10,
postMergerBasis,AT21, 
IFERROR(IF(DATEDIF(purchaseDate,postMergerSaleDate,"Y")&gt;=1,
  avgoQty * (saleFMV - postMergerBasis),
  0
),0))</f>
        <v>0</v>
      </c>
    </row>
    <row r="22">
      <c r="A22" s="431" t="s">
        <v>224</v>
      </c>
      <c r="B22" s="432">
        <v>42489.0</v>
      </c>
      <c r="C22" s="301">
        <v>42856.0</v>
      </c>
      <c r="D22" s="332"/>
      <c r="E22" s="433">
        <v>94.58</v>
      </c>
      <c r="F22" s="443"/>
      <c r="G22" s="305">
        <f t="shared" si="6"/>
        <v>0</v>
      </c>
      <c r="H22" s="317">
        <f t="shared" si="7"/>
        <v>0</v>
      </c>
      <c r="I22" s="446"/>
      <c r="J22" s="342" t="b">
        <v>0</v>
      </c>
      <c r="K22" s="436"/>
      <c r="L22" s="311">
        <v>0.0</v>
      </c>
      <c r="M22" s="311">
        <v>0.0</v>
      </c>
      <c r="N22" s="311">
        <v>0.0</v>
      </c>
      <c r="O22" s="311">
        <v>0.0</v>
      </c>
      <c r="P22" s="311">
        <v>0.0</v>
      </c>
      <c r="Q22" s="313">
        <f t="shared" si="8"/>
        <v>0</v>
      </c>
      <c r="R22" s="313" t="str">
        <f>SWITCH(S22,"cash",Reference!E$5,"shares",Reference!$E$6,"balance",Reference!$E$7,"pro-rata",Reference!$B$5)</f>
        <v>#DIV/0!</v>
      </c>
      <c r="S22" s="314" t="s">
        <v>205</v>
      </c>
      <c r="T22" s="315">
        <f>LET(numVmwShares,D22, cashRatio,Reference!$B$4, vmwFinalPrice,Reference!$B$3, numVmwShares * cashRatio * vmwFinalPrice)</f>
        <v>0</v>
      </c>
      <c r="U22" s="315">
        <f>iferror(LET(numVmwShares,$D22, stockRatio,Q22, vmwFinalPrice,Reference!$B$3, (1 - stockRatio) * vmwFinalPrice * numVmwShares),0)</f>
        <v>0</v>
      </c>
      <c r="V22" s="315">
        <f>iferror(LET(numVmwShares,$D22, stockRatio,R22, vmwFinalPrice,Reference!$B$3, (1 - stockRatio) * vmwFinalPrice * numVmwShares),0)</f>
        <v>0</v>
      </c>
      <c r="W22" s="315">
        <f>SWITCH(Reference!$E$4,"eTradeTransactionLog", T22, "eTradeHoldingRatio",T22, "eTradeLotQtyRatio",U22,"manualLotRatio",V22)</f>
        <v>0</v>
      </c>
      <c r="X22" s="305">
        <f>LET(purchaseDate,C22, dateOfRecord,Reference!$B$26, returnOfCapital,Reference!$C$26, IF(purchaseDate &lt; dateOfRecord, returnOfCapital,0))</f>
        <v>10.18</v>
      </c>
      <c r="Y22" s="305">
        <f>LET(purchaseDate,C22, dateOfRecord,Reference!$B$27, returnOfCapital,Reference!$C$27, IF(purchaseDate &lt; dateOfRecord, returnOfCapital,0))</f>
        <v>16.58</v>
      </c>
      <c r="Z22" s="305">
        <f t="shared" si="9"/>
        <v>67.82</v>
      </c>
      <c r="AA22" s="437">
        <f t="shared" si="10"/>
        <v>0</v>
      </c>
      <c r="AB22" s="316">
        <f>LET(numVmwShares,D22, stockRatio,Reference!$B$5, vmwToAvgoRatio,Reference!$B$6, numVmwShares * stockRatio * vmwToAvgoRatio)</f>
        <v>0</v>
      </c>
      <c r="AC22" s="316">
        <f>LET(numVmwShares,D22, stockRatio,Q22, vmwToAvgoRatio,Reference!$B$6, numVmwShares * stockRatio * vmwToAvgoRatio)</f>
        <v>0</v>
      </c>
      <c r="AD22" s="316" t="str">
        <f>LET(numVmwShares,D22, stockRatio,R22, vmwToAvgoRatio,Reference!$B$6, numVmwShares * stockRatio * vmwToAvgoRatio)</f>
        <v>#DIV/0!</v>
      </c>
      <c r="AE22" s="316">
        <f>SWITCH(Reference!$E$4, "eTradeTransactionLog", AB22, "eTradeHoldingRatio",AB22, "eTradeLotQtyRatio",AC22,"manualLotRatio",AD22)</f>
        <v>0</v>
      </c>
      <c r="AF22" s="317">
        <f>LET(numVmwShares,D22, vmwBasis,Z22, avgoQty,AE22, avgoFMV,Reference!$B$18, cashReceived,W22, gain,cashReceived+(avgoQty*avgoFMV)-(numVmwShares*vmwBasis),
MAX(gain,0))</f>
        <v>0</v>
      </c>
      <c r="AG22" s="318">
        <f>LET(useForFraction,J22, fractionAmount,Summary!$C$41, esppFractionLots,ESPP!$N$5, rsuFractionLots,RSU!J$5, IF(useForFraction, fractionAmount / (esppFractionLots+rsuFractionLots), 0))</f>
        <v>0</v>
      </c>
      <c r="AH22" s="438">
        <f>LET(useForFraction,J22, fractionSaleFMV,Reference!$B$23, postMergerBasis,AT22, lotFractionAmount,AG22, IF(useForFraction, (fractionSaleFMV - postMergerBasis)*lotFractionAmount, 0))</f>
        <v>0</v>
      </c>
      <c r="AI22" s="439">
        <f t="shared" si="11"/>
        <v>0</v>
      </c>
      <c r="AJ22" s="440">
        <f>LET(
purchaseDate,C22,
mergerDate,Reference!$B$28,
lotFractionGain,AH22,
mergerGain,AI22,
IF(DATEDIF(purchaseDate,mergerDate,"Y")&gt;=1,
  0,
  lotFractionGain + mergerGain
))</f>
        <v>0</v>
      </c>
      <c r="AK22" s="440">
        <f>LET(
purchaseDate,C22,
mergerDate,Reference!$B$28,
lotFractionGain,AH22,
mergerGain,AI22,
IF(DATEDIF(purchaseDate,mergerDate,"Y")&gt;=1,
  lotFractionGain+mergerGain,
  0
))</f>
        <v>0</v>
      </c>
      <c r="AL22" s="441" t="str">
        <f>IF(DATEDIF(C22,Reference!$B$28,"Y")&gt;=1,"Part II Box E","Part I Box B")</f>
        <v>Part II Box E</v>
      </c>
      <c r="AM22" s="336">
        <f t="shared" si="12"/>
        <v>42856</v>
      </c>
      <c r="AN22" s="337">
        <f t="shared" si="13"/>
        <v>0</v>
      </c>
      <c r="AO22" s="337">
        <f>LET(
cashReceived,W22, 
avgoQty,AE22, 
proceedsStyle,Reference!$E$9, 
avgoFMV,Reference!$B$18, 
SWITCH(proceedsStyle, "combined", cashReceived +(avgoQty*avgoFMV), "cashOnly", cashReceived))</f>
        <v>0</v>
      </c>
      <c r="AP22" s="338">
        <f>LET(
numVmwShares,D22, 
vmwBasis, Z22, 
avgoQty,AE22, 
avgoFMV,Reference!$B$18, 
cashReceived,W22, 
avgoTotalValue, avgoFMV*avgoQty, 
vmwTotalBasis, vmwBasis*numVmwShares,
alternateGainAmount,AF22, 
IF(cashReceived&lt;alternateGainAmount,
  avgoTotalValue,
  vmwTotalBasis
))</f>
        <v>0</v>
      </c>
      <c r="AQ22" s="338" t="str">
        <f t="shared" si="14"/>
        <v/>
      </c>
      <c r="AR22" s="338">
        <v>0.0</v>
      </c>
      <c r="AS22" s="339">
        <f t="shared" si="15"/>
        <v>0</v>
      </c>
      <c r="AT22" s="442" t="str">
        <f t="shared" si="16"/>
        <v>n/a</v>
      </c>
      <c r="AU22" s="328">
        <f>LET(saleFMV,Reference!$B$10, postMergerBasis,AT22, avgoQty,AE22, lotFractionAmount,AG22, iferror((saleFMV - postMergerBasis) * (avgoQty - lotFractionAmount), 0))</f>
        <v>0</v>
      </c>
      <c r="AV22" s="328">
        <f>LET(
avgoQty,AE23, 
purchaseDate,C23,
postMergerSaleDate,Reference!$B$29,
saleFMV,Reference!$B$10,
postMergerBasis,AT23, 
IFERROR(IF(DATEDIF(purchaseDate,postMergerSaleDate,"Y")&gt;=1,
  0,
  avgoQty * (saleFMV - postMergerBasis)
),0))</f>
        <v>0</v>
      </c>
      <c r="AW22" s="331">
        <f>LET(
avgoQty,AE22, 
purchaseDate,C22,
postMergerSaleDate,Reference!$B$29,
saleFMV,Reference!$B$10,
postMergerBasis,AT22, 
IFERROR(IF(DATEDIF(purchaseDate,postMergerSaleDate,"Y")&gt;=1,
  avgoQty * (saleFMV - postMergerBasis),
  0
),0))</f>
        <v>0</v>
      </c>
    </row>
    <row r="23">
      <c r="A23" s="431" t="s">
        <v>223</v>
      </c>
      <c r="B23" s="432">
        <v>42342.0</v>
      </c>
      <c r="C23" s="301">
        <v>42887.0</v>
      </c>
      <c r="D23" s="332"/>
      <c r="E23" s="433">
        <v>97.4</v>
      </c>
      <c r="F23" s="443"/>
      <c r="G23" s="305">
        <f t="shared" si="6"/>
        <v>0</v>
      </c>
      <c r="H23" s="317">
        <f t="shared" si="7"/>
        <v>0</v>
      </c>
      <c r="I23" s="444"/>
      <c r="J23" s="342" t="b">
        <v>0</v>
      </c>
      <c r="K23" s="436"/>
      <c r="L23" s="311">
        <v>0.0</v>
      </c>
      <c r="M23" s="311">
        <v>0.0</v>
      </c>
      <c r="N23" s="311">
        <v>0.0</v>
      </c>
      <c r="O23" s="311">
        <v>0.0</v>
      </c>
      <c r="P23" s="311">
        <v>0.0</v>
      </c>
      <c r="Q23" s="313">
        <f t="shared" si="8"/>
        <v>0</v>
      </c>
      <c r="R23" s="313" t="str">
        <f>SWITCH(S23,"cash",Reference!E$5,"shares",Reference!$E$6,"balance",Reference!$E$7,"pro-rata",Reference!$B$5)</f>
        <v>#DIV/0!</v>
      </c>
      <c r="S23" s="314" t="s">
        <v>205</v>
      </c>
      <c r="T23" s="315">
        <f>LET(numVmwShares,D23, cashRatio,Reference!$B$4, vmwFinalPrice,Reference!$B$3, numVmwShares * cashRatio * vmwFinalPrice)</f>
        <v>0</v>
      </c>
      <c r="U23" s="315">
        <f>iferror(LET(numVmwShares,$D23, stockRatio,Q23, vmwFinalPrice,Reference!$B$3, (1 - stockRatio) * vmwFinalPrice * numVmwShares),0)</f>
        <v>0</v>
      </c>
      <c r="V23" s="315">
        <f>iferror(LET(numVmwShares,$D23, stockRatio,R23, vmwFinalPrice,Reference!$B$3, (1 - stockRatio) * vmwFinalPrice * numVmwShares),0)</f>
        <v>0</v>
      </c>
      <c r="W23" s="315">
        <f>SWITCH(Reference!$E$4,"eTradeTransactionLog", T23, "eTradeHoldingRatio",T23, "eTradeLotQtyRatio",U23,"manualLotRatio",V23)</f>
        <v>0</v>
      </c>
      <c r="X23" s="305">
        <f>LET(purchaseDate,C23, dateOfRecord,Reference!$B$26, returnOfCapital,Reference!$C$26, IF(purchaseDate &lt; dateOfRecord, returnOfCapital,0))</f>
        <v>10.18</v>
      </c>
      <c r="Y23" s="305">
        <f>LET(purchaseDate,C23, dateOfRecord,Reference!$B$27, returnOfCapital,Reference!$C$27, IF(purchaseDate &lt; dateOfRecord, returnOfCapital,0))</f>
        <v>16.58</v>
      </c>
      <c r="Z23" s="305">
        <f t="shared" si="9"/>
        <v>70.64</v>
      </c>
      <c r="AA23" s="437">
        <f t="shared" si="10"/>
        <v>0</v>
      </c>
      <c r="AB23" s="316">
        <f>LET(numVmwShares,D23, stockRatio,Reference!$B$5, vmwToAvgoRatio,Reference!$B$6, numVmwShares * stockRatio * vmwToAvgoRatio)</f>
        <v>0</v>
      </c>
      <c r="AC23" s="316">
        <f>LET(numVmwShares,D23, stockRatio,Q23, vmwToAvgoRatio,Reference!$B$6, numVmwShares * stockRatio * vmwToAvgoRatio)</f>
        <v>0</v>
      </c>
      <c r="AD23" s="316" t="str">
        <f>LET(numVmwShares,D23, stockRatio,R23, vmwToAvgoRatio,Reference!$B$6, numVmwShares * stockRatio * vmwToAvgoRatio)</f>
        <v>#DIV/0!</v>
      </c>
      <c r="AE23" s="316">
        <f>SWITCH(Reference!$E$4, "eTradeTransactionLog", AB23, "eTradeHoldingRatio",AB23, "eTradeLotQtyRatio",AC23,"manualLotRatio",AD23)</f>
        <v>0</v>
      </c>
      <c r="AF23" s="317">
        <f>LET(numVmwShares,D23, vmwBasis,Z23, avgoQty,AE23, avgoFMV,Reference!$B$18, cashReceived,W23, gain,cashReceived+(avgoQty*avgoFMV)-(numVmwShares*vmwBasis),
MAX(gain,0))</f>
        <v>0</v>
      </c>
      <c r="AG23" s="318">
        <f>LET(useForFraction,J23, fractionAmount,Summary!$C$41, esppFractionLots,ESPP!$N$5, rsuFractionLots,RSU!J$5, IF(useForFraction, fractionAmount / (esppFractionLots+rsuFractionLots), 0))</f>
        <v>0</v>
      </c>
      <c r="AH23" s="438">
        <f>LET(useForFraction,J23, fractionSaleFMV,Reference!$B$23, postMergerBasis,AT23, lotFractionAmount,AG23, IF(useForFraction, (fractionSaleFMV - postMergerBasis)*lotFractionAmount, 0))</f>
        <v>0</v>
      </c>
      <c r="AI23" s="439">
        <f t="shared" si="11"/>
        <v>0</v>
      </c>
      <c r="AJ23" s="440">
        <f>LET(
purchaseDate,C23,
mergerDate,Reference!$B$28,
lotFractionGain,AH23,
mergerGain,AI23,
IF(DATEDIF(purchaseDate,mergerDate,"Y")&gt;=1,
  0,
  lotFractionGain + mergerGain
))</f>
        <v>0</v>
      </c>
      <c r="AK23" s="440">
        <f>LET(
purchaseDate,C23,
mergerDate,Reference!$B$28,
lotFractionGain,AH23,
mergerGain,AI23,
IF(DATEDIF(purchaseDate,mergerDate,"Y")&gt;=1,
  lotFractionGain+mergerGain,
  0
))</f>
        <v>0</v>
      </c>
      <c r="AL23" s="441" t="str">
        <f>IF(DATEDIF(C23,Reference!$B$28,"Y")&gt;=1,"Part II Box E","Part I Box B")</f>
        <v>Part II Box E</v>
      </c>
      <c r="AM23" s="336">
        <f t="shared" si="12"/>
        <v>42887</v>
      </c>
      <c r="AN23" s="337">
        <f t="shared" si="13"/>
        <v>0</v>
      </c>
      <c r="AO23" s="337">
        <f>LET(
cashReceived,W23, 
avgoQty,AE23, 
proceedsStyle,Reference!$E$9, 
avgoFMV,Reference!$B$18, 
SWITCH(proceedsStyle, "combined", cashReceived +(avgoQty*avgoFMV), "cashOnly", cashReceived))</f>
        <v>0</v>
      </c>
      <c r="AP23" s="338">
        <f>LET(
numVmwShares,D23, 
vmwBasis, Z23, 
avgoQty,AE23, 
avgoFMV,Reference!$B$18, 
cashReceived,W23, 
avgoTotalValue, avgoFMV*avgoQty, 
vmwTotalBasis, vmwBasis*numVmwShares,
alternateGainAmount,AF23, 
IF(cashReceived&lt;alternateGainAmount,
  avgoTotalValue,
  vmwTotalBasis
))</f>
        <v>0</v>
      </c>
      <c r="AQ23" s="338" t="str">
        <f t="shared" si="14"/>
        <v/>
      </c>
      <c r="AR23" s="338">
        <v>0.0</v>
      </c>
      <c r="AS23" s="339">
        <f t="shared" si="15"/>
        <v>0</v>
      </c>
      <c r="AT23" s="442" t="str">
        <f t="shared" si="16"/>
        <v>n/a</v>
      </c>
      <c r="AU23" s="328">
        <f>LET(saleFMV,Reference!$B$10, postMergerBasis,AT23, avgoQty,AE23, lotFractionAmount,AG23, iferror((saleFMV - postMergerBasis) * (avgoQty - lotFractionAmount), 0))</f>
        <v>0</v>
      </c>
      <c r="AV23" s="328">
        <f>LET(
avgoQty,AE24, 
purchaseDate,C24,
postMergerSaleDate,Reference!$B$29,
saleFMV,Reference!$B$10,
postMergerBasis,AT24, 
IFERROR(IF(DATEDIF(purchaseDate,postMergerSaleDate,"Y")&gt;=1,
  0,
  avgoQty * (saleFMV - postMergerBasis)
),0))</f>
        <v>0</v>
      </c>
      <c r="AW23" s="331">
        <f>LET(
avgoQty,AE23, 
purchaseDate,C23,
postMergerSaleDate,Reference!$B$29,
saleFMV,Reference!$B$10,
postMergerBasis,AT23, 
IFERROR(IF(DATEDIF(purchaseDate,postMergerSaleDate,"Y")&gt;=1,
  avgoQty * (saleFMV - postMergerBasis),
  0
),0))</f>
        <v>0</v>
      </c>
    </row>
    <row r="24">
      <c r="A24" s="431" t="s">
        <v>221</v>
      </c>
      <c r="B24" s="432">
        <v>41803.0</v>
      </c>
      <c r="C24" s="301">
        <v>43040.0</v>
      </c>
      <c r="D24" s="332"/>
      <c r="E24" s="433">
        <v>119.12</v>
      </c>
      <c r="F24" s="443"/>
      <c r="G24" s="305">
        <f t="shared" si="6"/>
        <v>0</v>
      </c>
      <c r="H24" s="317">
        <f t="shared" si="7"/>
        <v>0</v>
      </c>
      <c r="I24" s="444"/>
      <c r="J24" s="342" t="b">
        <v>0</v>
      </c>
      <c r="K24" s="436"/>
      <c r="L24" s="311">
        <v>0.0</v>
      </c>
      <c r="M24" s="311">
        <v>0.0</v>
      </c>
      <c r="N24" s="311">
        <v>0.0</v>
      </c>
      <c r="O24" s="311">
        <v>0.0</v>
      </c>
      <c r="P24" s="311">
        <v>0.0</v>
      </c>
      <c r="Q24" s="313">
        <f t="shared" si="8"/>
        <v>0</v>
      </c>
      <c r="R24" s="313" t="str">
        <f>SWITCH(S24,"cash",Reference!E$5,"shares",Reference!$E$6,"balance",Reference!$E$7,"pro-rata",Reference!$B$5)</f>
        <v>#DIV/0!</v>
      </c>
      <c r="S24" s="314" t="s">
        <v>205</v>
      </c>
      <c r="T24" s="315">
        <f>LET(numVmwShares,D24, cashRatio,Reference!$B$4, vmwFinalPrice,Reference!$B$3, numVmwShares * cashRatio * vmwFinalPrice)</f>
        <v>0</v>
      </c>
      <c r="U24" s="315">
        <f>iferror(LET(numVmwShares,$D24, stockRatio,Q24, vmwFinalPrice,Reference!$B$3, (1 - stockRatio) * vmwFinalPrice * numVmwShares),0)</f>
        <v>0</v>
      </c>
      <c r="V24" s="315">
        <f>iferror(LET(numVmwShares,$D24, stockRatio,R24, vmwFinalPrice,Reference!$B$3, (1 - stockRatio) * vmwFinalPrice * numVmwShares),0)</f>
        <v>0</v>
      </c>
      <c r="W24" s="315">
        <f>SWITCH(Reference!$E$4,"eTradeTransactionLog", T24, "eTradeHoldingRatio",T24, "eTradeLotQtyRatio",U24,"manualLotRatio",V24)</f>
        <v>0</v>
      </c>
      <c r="X24" s="305">
        <f>LET(purchaseDate,C24, dateOfRecord,Reference!$B$26, returnOfCapital,Reference!$C$26, IF(purchaseDate &lt; dateOfRecord, returnOfCapital,0))</f>
        <v>10.18</v>
      </c>
      <c r="Y24" s="305">
        <f>LET(purchaseDate,C24, dateOfRecord,Reference!$B$27, returnOfCapital,Reference!$C$27, IF(purchaseDate &lt; dateOfRecord, returnOfCapital,0))</f>
        <v>16.58</v>
      </c>
      <c r="Z24" s="305">
        <f t="shared" si="9"/>
        <v>92.36</v>
      </c>
      <c r="AA24" s="437">
        <f t="shared" si="10"/>
        <v>0</v>
      </c>
      <c r="AB24" s="316">
        <f>LET(numVmwShares,D24, stockRatio,Reference!$B$5, vmwToAvgoRatio,Reference!$B$6, numVmwShares * stockRatio * vmwToAvgoRatio)</f>
        <v>0</v>
      </c>
      <c r="AC24" s="316">
        <f>LET(numVmwShares,D24, stockRatio,Q24, vmwToAvgoRatio,Reference!$B$6, numVmwShares * stockRatio * vmwToAvgoRatio)</f>
        <v>0</v>
      </c>
      <c r="AD24" s="316" t="str">
        <f>LET(numVmwShares,D24, stockRatio,R24, vmwToAvgoRatio,Reference!$B$6, numVmwShares * stockRatio * vmwToAvgoRatio)</f>
        <v>#DIV/0!</v>
      </c>
      <c r="AE24" s="316">
        <f>SWITCH(Reference!$E$4, "eTradeTransactionLog", AB24, "eTradeHoldingRatio",AB24, "eTradeLotQtyRatio",AC24,"manualLotRatio",AD24)</f>
        <v>0</v>
      </c>
      <c r="AF24" s="317">
        <f>LET(numVmwShares,D24, vmwBasis,Z24, avgoQty,AE24, avgoFMV,Reference!$B$18, cashReceived,W24, gain,cashReceived+(avgoQty*avgoFMV)-(numVmwShares*vmwBasis),
MAX(gain,0))</f>
        <v>0</v>
      </c>
      <c r="AG24" s="318">
        <f>LET(useForFraction,J24, fractionAmount,Summary!$C$41, esppFractionLots,ESPP!$N$5, rsuFractionLots,RSU!J$5, IF(useForFraction, fractionAmount / (esppFractionLots+rsuFractionLots), 0))</f>
        <v>0</v>
      </c>
      <c r="AH24" s="438">
        <f>LET(useForFraction,J24, fractionSaleFMV,Reference!$B$23, postMergerBasis,AT24, lotFractionAmount,AG24, IF(useForFraction, (fractionSaleFMV - postMergerBasis)*lotFractionAmount, 0))</f>
        <v>0</v>
      </c>
      <c r="AI24" s="439">
        <f t="shared" si="11"/>
        <v>0</v>
      </c>
      <c r="AJ24" s="440">
        <f>LET(
purchaseDate,C24,
mergerDate,Reference!$B$28,
lotFractionGain,AH24,
mergerGain,AI24,
IF(DATEDIF(purchaseDate,mergerDate,"Y")&gt;=1,
  0,
  lotFractionGain + mergerGain
))</f>
        <v>0</v>
      </c>
      <c r="AK24" s="440">
        <f>LET(
purchaseDate,C24,
mergerDate,Reference!$B$28,
lotFractionGain,AH24,
mergerGain,AI24,
IF(DATEDIF(purchaseDate,mergerDate,"Y")&gt;=1,
  lotFractionGain+mergerGain,
  0
))</f>
        <v>0</v>
      </c>
      <c r="AL24" s="441" t="str">
        <f>IF(DATEDIF(C24,Reference!$B$28,"Y")&gt;=1,"Part II Box E","Part I Box B")</f>
        <v>Part II Box E</v>
      </c>
      <c r="AM24" s="336">
        <f t="shared" si="12"/>
        <v>43040</v>
      </c>
      <c r="AN24" s="337">
        <f t="shared" si="13"/>
        <v>0</v>
      </c>
      <c r="AO24" s="337">
        <f>LET(
cashReceived,W24, 
avgoQty,AE24, 
proceedsStyle,Reference!$E$9, 
avgoFMV,Reference!$B$18, 
SWITCH(proceedsStyle, "combined", cashReceived +(avgoQty*avgoFMV), "cashOnly", cashReceived))</f>
        <v>0</v>
      </c>
      <c r="AP24" s="338">
        <f>LET(
numVmwShares,D24, 
vmwBasis, Z24, 
avgoQty,AE24, 
avgoFMV,Reference!$B$18, 
cashReceived,W24, 
avgoTotalValue, avgoFMV*avgoQty, 
vmwTotalBasis, vmwBasis*numVmwShares,
alternateGainAmount,AF24, 
IF(cashReceived&lt;alternateGainAmount,
  avgoTotalValue,
  vmwTotalBasis
))</f>
        <v>0</v>
      </c>
      <c r="AQ24" s="338" t="str">
        <f t="shared" si="14"/>
        <v/>
      </c>
      <c r="AR24" s="338">
        <v>0.0</v>
      </c>
      <c r="AS24" s="339">
        <f t="shared" si="15"/>
        <v>0</v>
      </c>
      <c r="AT24" s="442" t="str">
        <f t="shared" si="16"/>
        <v>n/a</v>
      </c>
      <c r="AU24" s="328">
        <f>LET(saleFMV,Reference!$B$10, postMergerBasis,AT24, avgoQty,AE24, lotFractionAmount,AG24, iferror((saleFMV - postMergerBasis) * (avgoQty - lotFractionAmount), 0))</f>
        <v>0</v>
      </c>
      <c r="AV24" s="328">
        <f>LET(
avgoQty,AE25, 
purchaseDate,C25,
postMergerSaleDate,Reference!$B$29,
saleFMV,Reference!$B$10,
postMergerBasis,AT25, 
IFERROR(IF(DATEDIF(purchaseDate,postMergerSaleDate,"Y")&gt;=1,
  0,
  avgoQty * (saleFMV - postMergerBasis)
),0))</f>
        <v>0</v>
      </c>
      <c r="AW24" s="331">
        <f>LET(
avgoQty,AE24, 
purchaseDate,C24,
postMergerSaleDate,Reference!$B$29,
saleFMV,Reference!$B$10,
postMergerBasis,AT24, 
IFERROR(IF(DATEDIF(purchaseDate,postMergerSaleDate,"Y")&gt;=1,
  avgoQty * (saleFMV - postMergerBasis),
  0
),0))</f>
        <v>0</v>
      </c>
    </row>
    <row r="25">
      <c r="A25" s="431" t="s">
        <v>222</v>
      </c>
      <c r="B25" s="432">
        <v>42170.0</v>
      </c>
      <c r="C25" s="301">
        <v>43040.0</v>
      </c>
      <c r="D25" s="332"/>
      <c r="E25" s="433">
        <v>119.12</v>
      </c>
      <c r="F25" s="443"/>
      <c r="G25" s="305">
        <f t="shared" si="6"/>
        <v>0</v>
      </c>
      <c r="H25" s="317">
        <f t="shared" si="7"/>
        <v>0</v>
      </c>
      <c r="I25" s="446"/>
      <c r="J25" s="342" t="b">
        <v>0</v>
      </c>
      <c r="K25" s="436"/>
      <c r="L25" s="311">
        <v>0.0</v>
      </c>
      <c r="M25" s="311">
        <v>0.0</v>
      </c>
      <c r="N25" s="311">
        <v>0.0</v>
      </c>
      <c r="O25" s="311">
        <v>0.0</v>
      </c>
      <c r="P25" s="311">
        <v>0.0</v>
      </c>
      <c r="Q25" s="313">
        <f t="shared" si="8"/>
        <v>0</v>
      </c>
      <c r="R25" s="313" t="str">
        <f>SWITCH(S25,"cash",Reference!E$5,"shares",Reference!$E$6,"balance",Reference!$E$7,"pro-rata",Reference!$B$5)</f>
        <v>#DIV/0!</v>
      </c>
      <c r="S25" s="314" t="s">
        <v>205</v>
      </c>
      <c r="T25" s="315">
        <f>LET(numVmwShares,D25, cashRatio,Reference!$B$4, vmwFinalPrice,Reference!$B$3, numVmwShares * cashRatio * vmwFinalPrice)</f>
        <v>0</v>
      </c>
      <c r="U25" s="315">
        <f>iferror(LET(numVmwShares,$D25, stockRatio,Q25, vmwFinalPrice,Reference!$B$3, (1 - stockRatio) * vmwFinalPrice * numVmwShares),0)</f>
        <v>0</v>
      </c>
      <c r="V25" s="315">
        <f>iferror(LET(numVmwShares,$D25, stockRatio,R25, vmwFinalPrice,Reference!$B$3, (1 - stockRatio) * vmwFinalPrice * numVmwShares),0)</f>
        <v>0</v>
      </c>
      <c r="W25" s="315">
        <f>SWITCH(Reference!$E$4,"eTradeTransactionLog", T25, "eTradeHoldingRatio",T25, "eTradeLotQtyRatio",U25,"manualLotRatio",V25)</f>
        <v>0</v>
      </c>
      <c r="X25" s="305">
        <f>LET(purchaseDate,C25, dateOfRecord,Reference!$B$26, returnOfCapital,Reference!$C$26, IF(purchaseDate &lt; dateOfRecord, returnOfCapital,0))</f>
        <v>10.18</v>
      </c>
      <c r="Y25" s="305">
        <f>LET(purchaseDate,C25, dateOfRecord,Reference!$B$27, returnOfCapital,Reference!$C$27, IF(purchaseDate &lt; dateOfRecord, returnOfCapital,0))</f>
        <v>16.58</v>
      </c>
      <c r="Z25" s="305">
        <f t="shared" si="9"/>
        <v>92.36</v>
      </c>
      <c r="AA25" s="437">
        <f t="shared" si="10"/>
        <v>0</v>
      </c>
      <c r="AB25" s="316">
        <f>LET(numVmwShares,D25, stockRatio,Reference!$B$5, vmwToAvgoRatio,Reference!$B$6, numVmwShares * stockRatio * vmwToAvgoRatio)</f>
        <v>0</v>
      </c>
      <c r="AC25" s="316">
        <f>LET(numVmwShares,D25, stockRatio,Q25, vmwToAvgoRatio,Reference!$B$6, numVmwShares * stockRatio * vmwToAvgoRatio)</f>
        <v>0</v>
      </c>
      <c r="AD25" s="316" t="str">
        <f>LET(numVmwShares,D25, stockRatio,R25, vmwToAvgoRatio,Reference!$B$6, numVmwShares * stockRatio * vmwToAvgoRatio)</f>
        <v>#DIV/0!</v>
      </c>
      <c r="AE25" s="316">
        <f>SWITCH(Reference!$E$4, "eTradeTransactionLog", AB25, "eTradeHoldingRatio",AB25, "eTradeLotQtyRatio",AC25,"manualLotRatio",AD25)</f>
        <v>0</v>
      </c>
      <c r="AF25" s="317">
        <f>LET(numVmwShares,D25, vmwBasis,Z25, avgoQty,AE25, avgoFMV,Reference!$B$18, cashReceived,W25, gain,cashReceived+(avgoQty*avgoFMV)-(numVmwShares*vmwBasis),
MAX(gain,0))</f>
        <v>0</v>
      </c>
      <c r="AG25" s="318">
        <f>LET(useForFraction,J25, fractionAmount,Summary!$C$41, esppFractionLots,ESPP!$N$5, rsuFractionLots,RSU!J$5, IF(useForFraction, fractionAmount / (esppFractionLots+rsuFractionLots), 0))</f>
        <v>0</v>
      </c>
      <c r="AH25" s="438">
        <f>LET(useForFraction,J25, fractionSaleFMV,Reference!$B$23, postMergerBasis,AT25, lotFractionAmount,AG25, IF(useForFraction, (fractionSaleFMV - postMergerBasis)*lotFractionAmount, 0))</f>
        <v>0</v>
      </c>
      <c r="AI25" s="439">
        <f t="shared" si="11"/>
        <v>0</v>
      </c>
      <c r="AJ25" s="440">
        <f>LET(
purchaseDate,C25,
mergerDate,Reference!$B$28,
lotFractionGain,AH25,
mergerGain,AI25,
IF(DATEDIF(purchaseDate,mergerDate,"Y")&gt;=1,
  0,
  lotFractionGain + mergerGain
))</f>
        <v>0</v>
      </c>
      <c r="AK25" s="440">
        <f>LET(
purchaseDate,C25,
mergerDate,Reference!$B$28,
lotFractionGain,AH25,
mergerGain,AI25,
IF(DATEDIF(purchaseDate,mergerDate,"Y")&gt;=1,
  lotFractionGain+mergerGain,
  0
))</f>
        <v>0</v>
      </c>
      <c r="AL25" s="441" t="str">
        <f>IF(DATEDIF(C25,Reference!$B$28,"Y")&gt;=1,"Part II Box E","Part I Box B")</f>
        <v>Part II Box E</v>
      </c>
      <c r="AM25" s="336">
        <f t="shared" si="12"/>
        <v>43040</v>
      </c>
      <c r="AN25" s="337">
        <f t="shared" si="13"/>
        <v>0</v>
      </c>
      <c r="AO25" s="337">
        <f>LET(
cashReceived,W25, 
avgoQty,AE25, 
proceedsStyle,Reference!$E$9, 
avgoFMV,Reference!$B$18, 
SWITCH(proceedsStyle, "combined", cashReceived +(avgoQty*avgoFMV), "cashOnly", cashReceived))</f>
        <v>0</v>
      </c>
      <c r="AP25" s="338">
        <f>LET(
numVmwShares,D25, 
vmwBasis, Z25, 
avgoQty,AE25, 
avgoFMV,Reference!$B$18, 
cashReceived,W25, 
avgoTotalValue, avgoFMV*avgoQty, 
vmwTotalBasis, vmwBasis*numVmwShares,
alternateGainAmount,AF25, 
IF(cashReceived&lt;alternateGainAmount,
  avgoTotalValue,
  vmwTotalBasis
))</f>
        <v>0</v>
      </c>
      <c r="AQ25" s="338" t="str">
        <f t="shared" si="14"/>
        <v/>
      </c>
      <c r="AR25" s="338">
        <v>0.0</v>
      </c>
      <c r="AS25" s="339">
        <f t="shared" si="15"/>
        <v>0</v>
      </c>
      <c r="AT25" s="442" t="str">
        <f t="shared" si="16"/>
        <v>n/a</v>
      </c>
      <c r="AU25" s="328">
        <f>LET(saleFMV,Reference!$B$10, postMergerBasis,AT25, avgoQty,AE25, lotFractionAmount,AG25, iferror((saleFMV - postMergerBasis) * (avgoQty - lotFractionAmount), 0))</f>
        <v>0</v>
      </c>
      <c r="AV25" s="328">
        <f>LET(
avgoQty,AE26, 
purchaseDate,C26,
postMergerSaleDate,Reference!$B$29,
saleFMV,Reference!$B$10,
postMergerBasis,AT26, 
IFERROR(IF(DATEDIF(purchaseDate,postMergerSaleDate,"Y")&gt;=1,
  0,
  avgoQty * (saleFMV - postMergerBasis)
),0))</f>
        <v>0</v>
      </c>
      <c r="AW25" s="331">
        <f>LET(
avgoQty,AE25, 
purchaseDate,C25,
postMergerSaleDate,Reference!$B$29,
saleFMV,Reference!$B$10,
postMergerBasis,AT25, 
IFERROR(IF(DATEDIF(purchaseDate,postMergerSaleDate,"Y")&gt;=1,
  avgoQty * (saleFMV - postMergerBasis),
  0
),0))</f>
        <v>0</v>
      </c>
    </row>
    <row r="26">
      <c r="A26" s="431" t="s">
        <v>224</v>
      </c>
      <c r="B26" s="432">
        <v>42489.0</v>
      </c>
      <c r="C26" s="301">
        <v>43040.0</v>
      </c>
      <c r="D26" s="332"/>
      <c r="E26" s="433">
        <v>119.12</v>
      </c>
      <c r="F26" s="443"/>
      <c r="G26" s="305">
        <f t="shared" si="6"/>
        <v>0</v>
      </c>
      <c r="H26" s="317">
        <f t="shared" si="7"/>
        <v>0</v>
      </c>
      <c r="I26" s="444"/>
      <c r="J26" s="342" t="b">
        <v>0</v>
      </c>
      <c r="K26" s="436"/>
      <c r="L26" s="311">
        <v>0.0</v>
      </c>
      <c r="M26" s="311">
        <v>0.0</v>
      </c>
      <c r="N26" s="311">
        <v>0.0</v>
      </c>
      <c r="O26" s="311">
        <v>0.0</v>
      </c>
      <c r="P26" s="311">
        <v>0.0</v>
      </c>
      <c r="Q26" s="313">
        <f t="shared" si="8"/>
        <v>0</v>
      </c>
      <c r="R26" s="313" t="str">
        <f>SWITCH(S26,"cash",Reference!E$5,"shares",Reference!$E$6,"balance",Reference!$E$7,"pro-rata",Reference!$B$5)</f>
        <v>#DIV/0!</v>
      </c>
      <c r="S26" s="314" t="s">
        <v>205</v>
      </c>
      <c r="T26" s="315">
        <f>LET(numVmwShares,D26, cashRatio,Reference!$B$4, vmwFinalPrice,Reference!$B$3, numVmwShares * cashRatio * vmwFinalPrice)</f>
        <v>0</v>
      </c>
      <c r="U26" s="315">
        <f>iferror(LET(numVmwShares,$D26, stockRatio,Q26, vmwFinalPrice,Reference!$B$3, (1 - stockRatio) * vmwFinalPrice * numVmwShares),0)</f>
        <v>0</v>
      </c>
      <c r="V26" s="315">
        <f>iferror(LET(numVmwShares,$D26, stockRatio,R26, vmwFinalPrice,Reference!$B$3, (1 - stockRatio) * vmwFinalPrice * numVmwShares),0)</f>
        <v>0</v>
      </c>
      <c r="W26" s="315">
        <f>SWITCH(Reference!$E$4,"eTradeTransactionLog", T26, "eTradeHoldingRatio",T26, "eTradeLotQtyRatio",U26,"manualLotRatio",V26)</f>
        <v>0</v>
      </c>
      <c r="X26" s="305">
        <f>LET(purchaseDate,C26, dateOfRecord,Reference!$B$26, returnOfCapital,Reference!$C$26, IF(purchaseDate &lt; dateOfRecord, returnOfCapital,0))</f>
        <v>10.18</v>
      </c>
      <c r="Y26" s="305">
        <f>LET(purchaseDate,C26, dateOfRecord,Reference!$B$27, returnOfCapital,Reference!$C$27, IF(purchaseDate &lt; dateOfRecord, returnOfCapital,0))</f>
        <v>16.58</v>
      </c>
      <c r="Z26" s="305">
        <f t="shared" si="9"/>
        <v>92.36</v>
      </c>
      <c r="AA26" s="437">
        <f t="shared" si="10"/>
        <v>0</v>
      </c>
      <c r="AB26" s="316">
        <f>LET(numVmwShares,D26, stockRatio,Reference!$B$5, vmwToAvgoRatio,Reference!$B$6, numVmwShares * stockRatio * vmwToAvgoRatio)</f>
        <v>0</v>
      </c>
      <c r="AC26" s="316">
        <f>LET(numVmwShares,D26, stockRatio,Q26, vmwToAvgoRatio,Reference!$B$6, numVmwShares * stockRatio * vmwToAvgoRatio)</f>
        <v>0</v>
      </c>
      <c r="AD26" s="316" t="str">
        <f>LET(numVmwShares,D26, stockRatio,R26, vmwToAvgoRatio,Reference!$B$6, numVmwShares * stockRatio * vmwToAvgoRatio)</f>
        <v>#DIV/0!</v>
      </c>
      <c r="AE26" s="316">
        <f>SWITCH(Reference!$E$4, "eTradeTransactionLog", AB26, "eTradeHoldingRatio",AB26, "eTradeLotQtyRatio",AC26,"manualLotRatio",AD26)</f>
        <v>0</v>
      </c>
      <c r="AF26" s="317">
        <f>LET(numVmwShares,D26, vmwBasis,Z26, avgoQty,AE26, avgoFMV,Reference!$B$18, cashReceived,W26, gain,cashReceived+(avgoQty*avgoFMV)-(numVmwShares*vmwBasis),
MAX(gain,0))</f>
        <v>0</v>
      </c>
      <c r="AG26" s="318">
        <f>LET(useForFraction,J26, fractionAmount,Summary!$C$41, esppFractionLots,ESPP!$N$5, rsuFractionLots,RSU!J$5, IF(useForFraction, fractionAmount / (esppFractionLots+rsuFractionLots), 0))</f>
        <v>0</v>
      </c>
      <c r="AH26" s="438">
        <f>LET(useForFraction,J26, fractionSaleFMV,Reference!$B$23, postMergerBasis,AT26, lotFractionAmount,AG26, IF(useForFraction, (fractionSaleFMV - postMergerBasis)*lotFractionAmount, 0))</f>
        <v>0</v>
      </c>
      <c r="AI26" s="439">
        <f t="shared" si="11"/>
        <v>0</v>
      </c>
      <c r="AJ26" s="440">
        <f>LET(
purchaseDate,C26,
mergerDate,Reference!$B$28,
lotFractionGain,AH26,
mergerGain,AI26,
IF(DATEDIF(purchaseDate,mergerDate,"Y")&gt;=1,
  0,
  lotFractionGain + mergerGain
))</f>
        <v>0</v>
      </c>
      <c r="AK26" s="440">
        <f>LET(
purchaseDate,C26,
mergerDate,Reference!$B$28,
lotFractionGain,AH26,
mergerGain,AI26,
IF(DATEDIF(purchaseDate,mergerDate,"Y")&gt;=1,
  lotFractionGain+mergerGain,
  0
))</f>
        <v>0</v>
      </c>
      <c r="AL26" s="441" t="str">
        <f>IF(DATEDIF(C26,Reference!$B$28,"Y")&gt;=1,"Part II Box E","Part I Box B")</f>
        <v>Part II Box E</v>
      </c>
      <c r="AM26" s="336">
        <f t="shared" si="12"/>
        <v>43040</v>
      </c>
      <c r="AN26" s="337">
        <f t="shared" si="13"/>
        <v>0</v>
      </c>
      <c r="AO26" s="337">
        <f>LET(
cashReceived,W26, 
avgoQty,AE26, 
proceedsStyle,Reference!$E$9, 
avgoFMV,Reference!$B$18, 
SWITCH(proceedsStyle, "combined", cashReceived +(avgoQty*avgoFMV), "cashOnly", cashReceived))</f>
        <v>0</v>
      </c>
      <c r="AP26" s="338">
        <f>LET(
numVmwShares,D26, 
vmwBasis, Z26, 
avgoQty,AE26, 
avgoFMV,Reference!$B$18, 
cashReceived,W26, 
avgoTotalValue, avgoFMV*avgoQty, 
vmwTotalBasis, vmwBasis*numVmwShares,
alternateGainAmount,AF26, 
IF(cashReceived&lt;alternateGainAmount,
  avgoTotalValue,
  vmwTotalBasis
))</f>
        <v>0</v>
      </c>
      <c r="AQ26" s="338" t="str">
        <f t="shared" si="14"/>
        <v/>
      </c>
      <c r="AR26" s="338">
        <v>0.0</v>
      </c>
      <c r="AS26" s="339">
        <f t="shared" si="15"/>
        <v>0</v>
      </c>
      <c r="AT26" s="442" t="str">
        <f t="shared" si="16"/>
        <v>n/a</v>
      </c>
      <c r="AU26" s="328">
        <f>LET(saleFMV,Reference!$B$10, postMergerBasis,AT26, avgoQty,AE26, lotFractionAmount,AG26, iferror((saleFMV - postMergerBasis) * (avgoQty - lotFractionAmount), 0))</f>
        <v>0</v>
      </c>
      <c r="AV26" s="328">
        <f>LET(
avgoQty,AE27, 
purchaseDate,C27,
postMergerSaleDate,Reference!$B$29,
saleFMV,Reference!$B$10,
postMergerBasis,AT27, 
IFERROR(IF(DATEDIF(purchaseDate,postMergerSaleDate,"Y")&gt;=1,
  0,
  avgoQty * (saleFMV - postMergerBasis)
),0))</f>
        <v>0</v>
      </c>
      <c r="AW26" s="331">
        <f>LET(
avgoQty,AE26, 
purchaseDate,C26,
postMergerSaleDate,Reference!$B$29,
saleFMV,Reference!$B$10,
postMergerBasis,AT26, 
IFERROR(IF(DATEDIF(purchaseDate,postMergerSaleDate,"Y")&gt;=1,
  avgoQty * (saleFMV - postMergerBasis),
  0
),0))</f>
        <v>0</v>
      </c>
    </row>
    <row r="27">
      <c r="A27" s="431" t="s">
        <v>223</v>
      </c>
      <c r="B27" s="432">
        <v>42342.0</v>
      </c>
      <c r="C27" s="301">
        <v>43070.0</v>
      </c>
      <c r="D27" s="332"/>
      <c r="E27" s="433">
        <v>124.44</v>
      </c>
      <c r="F27" s="443"/>
      <c r="G27" s="305">
        <f t="shared" si="6"/>
        <v>0</v>
      </c>
      <c r="H27" s="317">
        <f t="shared" si="7"/>
        <v>0</v>
      </c>
      <c r="I27" s="444"/>
      <c r="J27" s="342" t="b">
        <v>0</v>
      </c>
      <c r="K27" s="436"/>
      <c r="L27" s="311">
        <v>0.0</v>
      </c>
      <c r="M27" s="311">
        <v>0.0</v>
      </c>
      <c r="N27" s="311">
        <v>0.0</v>
      </c>
      <c r="O27" s="311">
        <v>0.0</v>
      </c>
      <c r="P27" s="311">
        <v>0.0</v>
      </c>
      <c r="Q27" s="313">
        <f t="shared" si="8"/>
        <v>0</v>
      </c>
      <c r="R27" s="313" t="str">
        <f>SWITCH(S27,"cash",Reference!E$5,"shares",Reference!$E$6,"balance",Reference!$E$7,"pro-rata",Reference!$B$5)</f>
        <v>#DIV/0!</v>
      </c>
      <c r="S27" s="314" t="s">
        <v>205</v>
      </c>
      <c r="T27" s="315">
        <f>LET(numVmwShares,D27, cashRatio,Reference!$B$4, vmwFinalPrice,Reference!$B$3, numVmwShares * cashRatio * vmwFinalPrice)</f>
        <v>0</v>
      </c>
      <c r="U27" s="315">
        <f>iferror(LET(numVmwShares,$D27, stockRatio,Q27, vmwFinalPrice,Reference!$B$3, (1 - stockRatio) * vmwFinalPrice * numVmwShares),0)</f>
        <v>0</v>
      </c>
      <c r="V27" s="315">
        <f>iferror(LET(numVmwShares,$D27, stockRatio,R27, vmwFinalPrice,Reference!$B$3, (1 - stockRatio) * vmwFinalPrice * numVmwShares),0)</f>
        <v>0</v>
      </c>
      <c r="W27" s="315">
        <f>SWITCH(Reference!$E$4,"eTradeTransactionLog", T27, "eTradeHoldingRatio",T27, "eTradeLotQtyRatio",U27,"manualLotRatio",V27)</f>
        <v>0</v>
      </c>
      <c r="X27" s="305">
        <f>LET(purchaseDate,C27, dateOfRecord,Reference!$B$26, returnOfCapital,Reference!$C$26, IF(purchaseDate &lt; dateOfRecord, returnOfCapital,0))</f>
        <v>10.18</v>
      </c>
      <c r="Y27" s="305">
        <f>LET(purchaseDate,C27, dateOfRecord,Reference!$B$27, returnOfCapital,Reference!$C$27, IF(purchaseDate &lt; dateOfRecord, returnOfCapital,0))</f>
        <v>16.58</v>
      </c>
      <c r="Z27" s="305">
        <f t="shared" si="9"/>
        <v>97.68</v>
      </c>
      <c r="AA27" s="437">
        <f t="shared" si="10"/>
        <v>0</v>
      </c>
      <c r="AB27" s="316">
        <f>LET(numVmwShares,D27, stockRatio,Reference!$B$5, vmwToAvgoRatio,Reference!$B$6, numVmwShares * stockRatio * vmwToAvgoRatio)</f>
        <v>0</v>
      </c>
      <c r="AC27" s="316">
        <f>LET(numVmwShares,D27, stockRatio,Q27, vmwToAvgoRatio,Reference!$B$6, numVmwShares * stockRatio * vmwToAvgoRatio)</f>
        <v>0</v>
      </c>
      <c r="AD27" s="316" t="str">
        <f>LET(numVmwShares,D27, stockRatio,R27, vmwToAvgoRatio,Reference!$B$6, numVmwShares * stockRatio * vmwToAvgoRatio)</f>
        <v>#DIV/0!</v>
      </c>
      <c r="AE27" s="316">
        <f>SWITCH(Reference!$E$4, "eTradeTransactionLog", AB27, "eTradeHoldingRatio",AB27, "eTradeLotQtyRatio",AC27,"manualLotRatio",AD27)</f>
        <v>0</v>
      </c>
      <c r="AF27" s="317">
        <f>LET(numVmwShares,D27, vmwBasis,Z27, avgoQty,AE27, avgoFMV,Reference!$B$18, cashReceived,W27, gain,cashReceived+(avgoQty*avgoFMV)-(numVmwShares*vmwBasis),
MAX(gain,0))</f>
        <v>0</v>
      </c>
      <c r="AG27" s="318">
        <f>LET(useForFraction,J27, fractionAmount,Summary!$C$41, esppFractionLots,ESPP!$N$5, rsuFractionLots,RSU!J$5, IF(useForFraction, fractionAmount / (esppFractionLots+rsuFractionLots), 0))</f>
        <v>0</v>
      </c>
      <c r="AH27" s="438">
        <f>LET(useForFraction,J27, fractionSaleFMV,Reference!$B$23, postMergerBasis,AT27, lotFractionAmount,AG27, IF(useForFraction, (fractionSaleFMV - postMergerBasis)*lotFractionAmount, 0))</f>
        <v>0</v>
      </c>
      <c r="AI27" s="439">
        <f t="shared" si="11"/>
        <v>0</v>
      </c>
      <c r="AJ27" s="440">
        <f>LET(
purchaseDate,C27,
mergerDate,Reference!$B$28,
lotFractionGain,AH27,
mergerGain,AI27,
IF(DATEDIF(purchaseDate,mergerDate,"Y")&gt;=1,
  0,
  lotFractionGain + mergerGain
))</f>
        <v>0</v>
      </c>
      <c r="AK27" s="440">
        <f>LET(
purchaseDate,C27,
mergerDate,Reference!$B$28,
lotFractionGain,AH27,
mergerGain,AI27,
IF(DATEDIF(purchaseDate,mergerDate,"Y")&gt;=1,
  lotFractionGain+mergerGain,
  0
))</f>
        <v>0</v>
      </c>
      <c r="AL27" s="441" t="str">
        <f>IF(DATEDIF(C27,Reference!$B$28,"Y")&gt;=1,"Part II Box E","Part I Box B")</f>
        <v>Part II Box E</v>
      </c>
      <c r="AM27" s="336">
        <f t="shared" si="12"/>
        <v>43070</v>
      </c>
      <c r="AN27" s="337">
        <f t="shared" si="13"/>
        <v>0</v>
      </c>
      <c r="AO27" s="337">
        <f>LET(
cashReceived,W27, 
avgoQty,AE27, 
proceedsStyle,Reference!$E$9, 
avgoFMV,Reference!$B$18, 
SWITCH(proceedsStyle, "combined", cashReceived +(avgoQty*avgoFMV), "cashOnly", cashReceived))</f>
        <v>0</v>
      </c>
      <c r="AP27" s="338">
        <f>LET(
numVmwShares,D27, 
vmwBasis, Z27, 
avgoQty,AE27, 
avgoFMV,Reference!$B$18, 
cashReceived,W27, 
avgoTotalValue, avgoFMV*avgoQty, 
vmwTotalBasis, vmwBasis*numVmwShares,
alternateGainAmount,AF27, 
IF(cashReceived&lt;alternateGainAmount,
  avgoTotalValue,
  vmwTotalBasis
))</f>
        <v>0</v>
      </c>
      <c r="AQ27" s="338" t="str">
        <f t="shared" si="14"/>
        <v/>
      </c>
      <c r="AR27" s="338">
        <v>0.0</v>
      </c>
      <c r="AS27" s="339">
        <f t="shared" si="15"/>
        <v>0</v>
      </c>
      <c r="AT27" s="442" t="str">
        <f t="shared" si="16"/>
        <v>n/a</v>
      </c>
      <c r="AU27" s="328">
        <f>LET(saleFMV,Reference!$B$10, postMergerBasis,AT27, avgoQty,AE27, lotFractionAmount,AG27, iferror((saleFMV - postMergerBasis) * (avgoQty - lotFractionAmount), 0))</f>
        <v>0</v>
      </c>
      <c r="AV27" s="328">
        <f>LET(
avgoQty,AE28, 
purchaseDate,C28,
postMergerSaleDate,Reference!$B$29,
saleFMV,Reference!$B$10,
postMergerBasis,AT28, 
IFERROR(IF(DATEDIF(purchaseDate,postMergerSaleDate,"Y")&gt;=1,
  0,
  avgoQty * (saleFMV - postMergerBasis)
),0))</f>
        <v>0</v>
      </c>
      <c r="AW27" s="331">
        <f>LET(
avgoQty,AE27, 
purchaseDate,C27,
postMergerSaleDate,Reference!$B$29,
saleFMV,Reference!$B$10,
postMergerBasis,AT27, 
IFERROR(IF(DATEDIF(purchaseDate,postMergerSaleDate,"Y")&gt;=1,
  avgoQty * (saleFMV - postMergerBasis),
  0
),0))</f>
        <v>0</v>
      </c>
    </row>
    <row r="28">
      <c r="A28" s="431" t="s">
        <v>221</v>
      </c>
      <c r="B28" s="432">
        <v>41803.0</v>
      </c>
      <c r="C28" s="301">
        <v>43221.0</v>
      </c>
      <c r="D28" s="332"/>
      <c r="E28" s="433">
        <v>133.22</v>
      </c>
      <c r="F28" s="443"/>
      <c r="G28" s="305">
        <f t="shared" si="6"/>
        <v>0</v>
      </c>
      <c r="H28" s="317">
        <f t="shared" si="7"/>
        <v>0</v>
      </c>
      <c r="I28" s="446"/>
      <c r="J28" s="342" t="b">
        <v>0</v>
      </c>
      <c r="K28" s="436"/>
      <c r="L28" s="311">
        <v>0.0</v>
      </c>
      <c r="M28" s="311">
        <v>0.0</v>
      </c>
      <c r="N28" s="311">
        <v>0.0</v>
      </c>
      <c r="O28" s="311">
        <v>0.0</v>
      </c>
      <c r="P28" s="311">
        <v>0.0</v>
      </c>
      <c r="Q28" s="313">
        <f t="shared" si="8"/>
        <v>0</v>
      </c>
      <c r="R28" s="313" t="str">
        <f>SWITCH(S28,"cash",Reference!E$5,"shares",Reference!$E$6,"balance",Reference!$E$7,"pro-rata",Reference!$B$5)</f>
        <v>#DIV/0!</v>
      </c>
      <c r="S28" s="314" t="s">
        <v>205</v>
      </c>
      <c r="T28" s="315">
        <f>LET(numVmwShares,D28, cashRatio,Reference!$B$4, vmwFinalPrice,Reference!$B$3, numVmwShares * cashRatio * vmwFinalPrice)</f>
        <v>0</v>
      </c>
      <c r="U28" s="315">
        <f>iferror(LET(numVmwShares,$D28, stockRatio,Q28, vmwFinalPrice,Reference!$B$3, (1 - stockRatio) * vmwFinalPrice * numVmwShares),0)</f>
        <v>0</v>
      </c>
      <c r="V28" s="315">
        <f>iferror(LET(numVmwShares,$D28, stockRatio,R28, vmwFinalPrice,Reference!$B$3, (1 - stockRatio) * vmwFinalPrice * numVmwShares),0)</f>
        <v>0</v>
      </c>
      <c r="W28" s="315">
        <f>SWITCH(Reference!$E$4,"eTradeTransactionLog", T28, "eTradeHoldingRatio",T28, "eTradeLotQtyRatio",U28,"manualLotRatio",V28)</f>
        <v>0</v>
      </c>
      <c r="X28" s="305">
        <f>LET(purchaseDate,C28, dateOfRecord,Reference!$B$26, returnOfCapital,Reference!$C$26, IF(purchaseDate &lt; dateOfRecord, returnOfCapital,0))</f>
        <v>10.18</v>
      </c>
      <c r="Y28" s="305">
        <f>LET(purchaseDate,C28, dateOfRecord,Reference!$B$27, returnOfCapital,Reference!$C$27, IF(purchaseDate &lt; dateOfRecord, returnOfCapital,0))</f>
        <v>16.58</v>
      </c>
      <c r="Z28" s="305">
        <f t="shared" si="9"/>
        <v>106.46</v>
      </c>
      <c r="AA28" s="437">
        <f t="shared" si="10"/>
        <v>0</v>
      </c>
      <c r="AB28" s="316">
        <f>LET(numVmwShares,D28, stockRatio,Reference!$B$5, vmwToAvgoRatio,Reference!$B$6, numVmwShares * stockRatio * vmwToAvgoRatio)</f>
        <v>0</v>
      </c>
      <c r="AC28" s="316">
        <f>LET(numVmwShares,D28, stockRatio,Q28, vmwToAvgoRatio,Reference!$B$6, numVmwShares * stockRatio * vmwToAvgoRatio)</f>
        <v>0</v>
      </c>
      <c r="AD28" s="316" t="str">
        <f>LET(numVmwShares,D28, stockRatio,R28, vmwToAvgoRatio,Reference!$B$6, numVmwShares * stockRatio * vmwToAvgoRatio)</f>
        <v>#DIV/0!</v>
      </c>
      <c r="AE28" s="316">
        <f>SWITCH(Reference!$E$4, "eTradeTransactionLog", AB28, "eTradeHoldingRatio",AB28, "eTradeLotQtyRatio",AC28,"manualLotRatio",AD28)</f>
        <v>0</v>
      </c>
      <c r="AF28" s="317">
        <f>LET(numVmwShares,D28, vmwBasis,Z28, avgoQty,AE28, avgoFMV,Reference!$B$18, cashReceived,W28, gain,cashReceived+(avgoQty*avgoFMV)-(numVmwShares*vmwBasis),
MAX(gain,0))</f>
        <v>0</v>
      </c>
      <c r="AG28" s="318">
        <f>LET(useForFraction,J28, fractionAmount,Summary!$C$41, esppFractionLots,ESPP!$N$5, rsuFractionLots,RSU!J$5, IF(useForFraction, fractionAmount / (esppFractionLots+rsuFractionLots), 0))</f>
        <v>0</v>
      </c>
      <c r="AH28" s="438">
        <f>LET(useForFraction,J28, fractionSaleFMV,Reference!$B$23, postMergerBasis,AT28, lotFractionAmount,AG28, IF(useForFraction, (fractionSaleFMV - postMergerBasis)*lotFractionAmount, 0))</f>
        <v>0</v>
      </c>
      <c r="AI28" s="439">
        <f t="shared" si="11"/>
        <v>0</v>
      </c>
      <c r="AJ28" s="440">
        <f>LET(
purchaseDate,C28,
mergerDate,Reference!$B$28,
lotFractionGain,AH28,
mergerGain,AI28,
IF(DATEDIF(purchaseDate,mergerDate,"Y")&gt;=1,
  0,
  lotFractionGain + mergerGain
))</f>
        <v>0</v>
      </c>
      <c r="AK28" s="440">
        <f>LET(
purchaseDate,C28,
mergerDate,Reference!$B$28,
lotFractionGain,AH28,
mergerGain,AI28,
IF(DATEDIF(purchaseDate,mergerDate,"Y")&gt;=1,
  lotFractionGain+mergerGain,
  0
))</f>
        <v>0</v>
      </c>
      <c r="AL28" s="441" t="str">
        <f>IF(DATEDIF(C28,Reference!$B$28,"Y")&gt;=1,"Part II Box E","Part I Box B")</f>
        <v>Part II Box E</v>
      </c>
      <c r="AM28" s="336">
        <f t="shared" si="12"/>
        <v>43221</v>
      </c>
      <c r="AN28" s="337">
        <f t="shared" si="13"/>
        <v>0</v>
      </c>
      <c r="AO28" s="337">
        <f>LET(
cashReceived,W28, 
avgoQty,AE28, 
proceedsStyle,Reference!$E$9, 
avgoFMV,Reference!$B$18, 
SWITCH(proceedsStyle, "combined", cashReceived +(avgoQty*avgoFMV), "cashOnly", cashReceived))</f>
        <v>0</v>
      </c>
      <c r="AP28" s="338">
        <f>LET(
numVmwShares,D28, 
vmwBasis, Z28, 
avgoQty,AE28, 
avgoFMV,Reference!$B$18, 
cashReceived,W28, 
avgoTotalValue, avgoFMV*avgoQty, 
vmwTotalBasis, vmwBasis*numVmwShares,
alternateGainAmount,AF28, 
IF(cashReceived&lt;alternateGainAmount,
  avgoTotalValue,
  vmwTotalBasis
))</f>
        <v>0</v>
      </c>
      <c r="AQ28" s="338" t="str">
        <f t="shared" si="14"/>
        <v/>
      </c>
      <c r="AR28" s="338">
        <v>0.0</v>
      </c>
      <c r="AS28" s="339">
        <f t="shared" si="15"/>
        <v>0</v>
      </c>
      <c r="AT28" s="442" t="str">
        <f t="shared" si="16"/>
        <v>n/a</v>
      </c>
      <c r="AU28" s="328">
        <f>LET(saleFMV,Reference!$B$10, postMergerBasis,AT28, avgoQty,AE28, lotFractionAmount,AG28, iferror((saleFMV - postMergerBasis) * (avgoQty - lotFractionAmount), 0))</f>
        <v>0</v>
      </c>
      <c r="AV28" s="328">
        <f>LET(
avgoQty,AE29, 
purchaseDate,C29,
postMergerSaleDate,Reference!$B$29,
saleFMV,Reference!$B$10,
postMergerBasis,AT29, 
IFERROR(IF(DATEDIF(purchaseDate,postMergerSaleDate,"Y")&gt;=1,
  0,
  avgoQty * (saleFMV - postMergerBasis)
),0))</f>
        <v>0</v>
      </c>
      <c r="AW28" s="331">
        <f>LET(
avgoQty,AE28, 
purchaseDate,C28,
postMergerSaleDate,Reference!$B$29,
saleFMV,Reference!$B$10,
postMergerBasis,AT28, 
IFERROR(IF(DATEDIF(purchaseDate,postMergerSaleDate,"Y")&gt;=1,
  avgoQty * (saleFMV - postMergerBasis),
  0
),0))</f>
        <v>0</v>
      </c>
    </row>
    <row r="29">
      <c r="A29" s="431" t="s">
        <v>222</v>
      </c>
      <c r="B29" s="432">
        <v>42170.0</v>
      </c>
      <c r="C29" s="301">
        <v>43221.0</v>
      </c>
      <c r="D29" s="332"/>
      <c r="E29" s="433">
        <v>133.22</v>
      </c>
      <c r="F29" s="443"/>
      <c r="G29" s="305">
        <f t="shared" si="6"/>
        <v>0</v>
      </c>
      <c r="H29" s="317">
        <f t="shared" si="7"/>
        <v>0</v>
      </c>
      <c r="I29" s="444"/>
      <c r="J29" s="342" t="b">
        <v>0</v>
      </c>
      <c r="K29" s="436"/>
      <c r="L29" s="311">
        <v>0.0</v>
      </c>
      <c r="M29" s="311">
        <v>0.0</v>
      </c>
      <c r="N29" s="311">
        <v>0.0</v>
      </c>
      <c r="O29" s="311">
        <v>0.0</v>
      </c>
      <c r="P29" s="311">
        <v>0.0</v>
      </c>
      <c r="Q29" s="313">
        <f t="shared" si="8"/>
        <v>0</v>
      </c>
      <c r="R29" s="313" t="str">
        <f>SWITCH(S29,"cash",Reference!E$5,"shares",Reference!$E$6,"balance",Reference!$E$7,"pro-rata",Reference!$B$5)</f>
        <v>#DIV/0!</v>
      </c>
      <c r="S29" s="314" t="s">
        <v>205</v>
      </c>
      <c r="T29" s="315">
        <f>LET(numVmwShares,D29, cashRatio,Reference!$B$4, vmwFinalPrice,Reference!$B$3, numVmwShares * cashRatio * vmwFinalPrice)</f>
        <v>0</v>
      </c>
      <c r="U29" s="315">
        <f>iferror(LET(numVmwShares,$D29, stockRatio,Q29, vmwFinalPrice,Reference!$B$3, (1 - stockRatio) * vmwFinalPrice * numVmwShares),0)</f>
        <v>0</v>
      </c>
      <c r="V29" s="315">
        <f>iferror(LET(numVmwShares,$D29, stockRatio,R29, vmwFinalPrice,Reference!$B$3, (1 - stockRatio) * vmwFinalPrice * numVmwShares),0)</f>
        <v>0</v>
      </c>
      <c r="W29" s="315">
        <f>SWITCH(Reference!$E$4,"eTradeTransactionLog", T29, "eTradeHoldingRatio",T29, "eTradeLotQtyRatio",U29,"manualLotRatio",V29)</f>
        <v>0</v>
      </c>
      <c r="X29" s="305">
        <f>LET(purchaseDate,C29, dateOfRecord,Reference!$B$26, returnOfCapital,Reference!$C$26, IF(purchaseDate &lt; dateOfRecord, returnOfCapital,0))</f>
        <v>10.18</v>
      </c>
      <c r="Y29" s="305">
        <f>LET(purchaseDate,C29, dateOfRecord,Reference!$B$27, returnOfCapital,Reference!$C$27, IF(purchaseDate &lt; dateOfRecord, returnOfCapital,0))</f>
        <v>16.58</v>
      </c>
      <c r="Z29" s="305">
        <f t="shared" si="9"/>
        <v>106.46</v>
      </c>
      <c r="AA29" s="437">
        <f t="shared" si="10"/>
        <v>0</v>
      </c>
      <c r="AB29" s="316">
        <f>LET(numVmwShares,D29, stockRatio,Reference!$B$5, vmwToAvgoRatio,Reference!$B$6, numVmwShares * stockRatio * vmwToAvgoRatio)</f>
        <v>0</v>
      </c>
      <c r="AC29" s="316">
        <f>LET(numVmwShares,D29, stockRatio,Q29, vmwToAvgoRatio,Reference!$B$6, numVmwShares * stockRatio * vmwToAvgoRatio)</f>
        <v>0</v>
      </c>
      <c r="AD29" s="316" t="str">
        <f>LET(numVmwShares,D29, stockRatio,R29, vmwToAvgoRatio,Reference!$B$6, numVmwShares * stockRatio * vmwToAvgoRatio)</f>
        <v>#DIV/0!</v>
      </c>
      <c r="AE29" s="316">
        <f>SWITCH(Reference!$E$4, "eTradeTransactionLog", AB29, "eTradeHoldingRatio",AB29, "eTradeLotQtyRatio",AC29,"manualLotRatio",AD29)</f>
        <v>0</v>
      </c>
      <c r="AF29" s="317">
        <f>LET(numVmwShares,D29, vmwBasis,Z29, avgoQty,AE29, avgoFMV,Reference!$B$18, cashReceived,W29, gain,cashReceived+(avgoQty*avgoFMV)-(numVmwShares*vmwBasis),
MAX(gain,0))</f>
        <v>0</v>
      </c>
      <c r="AG29" s="318">
        <f>LET(useForFraction,J29, fractionAmount,Summary!$C$41, esppFractionLots,ESPP!$N$5, rsuFractionLots,RSU!J$5, IF(useForFraction, fractionAmount / (esppFractionLots+rsuFractionLots), 0))</f>
        <v>0</v>
      </c>
      <c r="AH29" s="438">
        <f>LET(useForFraction,J29, fractionSaleFMV,Reference!$B$23, postMergerBasis,AT29, lotFractionAmount,AG29, IF(useForFraction, (fractionSaleFMV - postMergerBasis)*lotFractionAmount, 0))</f>
        <v>0</v>
      </c>
      <c r="AI29" s="439">
        <f t="shared" si="11"/>
        <v>0</v>
      </c>
      <c r="AJ29" s="440">
        <f>LET(
purchaseDate,C29,
mergerDate,Reference!$B$28,
lotFractionGain,AH29,
mergerGain,AI29,
IF(DATEDIF(purchaseDate,mergerDate,"Y")&gt;=1,
  0,
  lotFractionGain + mergerGain
))</f>
        <v>0</v>
      </c>
      <c r="AK29" s="440">
        <f>LET(
purchaseDate,C29,
mergerDate,Reference!$B$28,
lotFractionGain,AH29,
mergerGain,AI29,
IF(DATEDIF(purchaseDate,mergerDate,"Y")&gt;=1,
  lotFractionGain+mergerGain,
  0
))</f>
        <v>0</v>
      </c>
      <c r="AL29" s="441" t="str">
        <f>IF(DATEDIF(C29,Reference!$B$28,"Y")&gt;=1,"Part II Box E","Part I Box B")</f>
        <v>Part II Box E</v>
      </c>
      <c r="AM29" s="336">
        <f t="shared" si="12"/>
        <v>43221</v>
      </c>
      <c r="AN29" s="337">
        <f t="shared" si="13"/>
        <v>0</v>
      </c>
      <c r="AO29" s="337">
        <f>LET(
cashReceived,W29, 
avgoQty,AE29, 
proceedsStyle,Reference!$E$9, 
avgoFMV,Reference!$B$18, 
SWITCH(proceedsStyle, "combined", cashReceived +(avgoQty*avgoFMV), "cashOnly", cashReceived))</f>
        <v>0</v>
      </c>
      <c r="AP29" s="338">
        <f>LET(
numVmwShares,D29, 
vmwBasis, Z29, 
avgoQty,AE29, 
avgoFMV,Reference!$B$18, 
cashReceived,W29, 
avgoTotalValue, avgoFMV*avgoQty, 
vmwTotalBasis, vmwBasis*numVmwShares,
alternateGainAmount,AF29, 
IF(cashReceived&lt;alternateGainAmount,
  avgoTotalValue,
  vmwTotalBasis
))</f>
        <v>0</v>
      </c>
      <c r="AQ29" s="338" t="str">
        <f t="shared" si="14"/>
        <v/>
      </c>
      <c r="AR29" s="338">
        <v>0.0</v>
      </c>
      <c r="AS29" s="339">
        <f t="shared" si="15"/>
        <v>0</v>
      </c>
      <c r="AT29" s="442" t="str">
        <f t="shared" si="16"/>
        <v>n/a</v>
      </c>
      <c r="AU29" s="328">
        <f>LET(saleFMV,Reference!$B$10, postMergerBasis,AT29, avgoQty,AE29, lotFractionAmount,AG29, iferror((saleFMV - postMergerBasis) * (avgoQty - lotFractionAmount), 0))</f>
        <v>0</v>
      </c>
      <c r="AV29" s="328">
        <f>LET(
avgoQty,AE30, 
purchaseDate,C30,
postMergerSaleDate,Reference!$B$29,
saleFMV,Reference!$B$10,
postMergerBasis,AT30, 
IFERROR(IF(DATEDIF(purchaseDate,postMergerSaleDate,"Y")&gt;=1,
  0,
  avgoQty * (saleFMV - postMergerBasis)
),0))</f>
        <v>0</v>
      </c>
      <c r="AW29" s="331">
        <f>LET(
avgoQty,AE29, 
purchaseDate,C29,
postMergerSaleDate,Reference!$B$29,
saleFMV,Reference!$B$10,
postMergerBasis,AT29, 
IFERROR(IF(DATEDIF(purchaseDate,postMergerSaleDate,"Y")&gt;=1,
  avgoQty * (saleFMV - postMergerBasis),
  0
),0))</f>
        <v>0</v>
      </c>
    </row>
    <row r="30">
      <c r="A30" s="431" t="s">
        <v>224</v>
      </c>
      <c r="B30" s="432">
        <v>42489.0</v>
      </c>
      <c r="C30" s="301">
        <v>43221.0</v>
      </c>
      <c r="D30" s="332"/>
      <c r="E30" s="433">
        <v>133.22</v>
      </c>
      <c r="F30" s="443"/>
      <c r="G30" s="305">
        <f t="shared" si="6"/>
        <v>0</v>
      </c>
      <c r="H30" s="317">
        <f t="shared" si="7"/>
        <v>0</v>
      </c>
      <c r="I30" s="446"/>
      <c r="J30" s="342" t="b">
        <v>0</v>
      </c>
      <c r="K30" s="436"/>
      <c r="L30" s="311">
        <v>0.0</v>
      </c>
      <c r="M30" s="311">
        <v>0.0</v>
      </c>
      <c r="N30" s="311">
        <v>0.0</v>
      </c>
      <c r="O30" s="311">
        <v>0.0</v>
      </c>
      <c r="P30" s="311">
        <v>0.0</v>
      </c>
      <c r="Q30" s="313">
        <f t="shared" si="8"/>
        <v>0</v>
      </c>
      <c r="R30" s="313" t="str">
        <f>SWITCH(S30,"cash",Reference!E$5,"shares",Reference!$E$6,"balance",Reference!$E$7,"pro-rata",Reference!$B$5)</f>
        <v>#DIV/0!</v>
      </c>
      <c r="S30" s="314" t="s">
        <v>205</v>
      </c>
      <c r="T30" s="315">
        <f>LET(numVmwShares,D30, cashRatio,Reference!$B$4, vmwFinalPrice,Reference!$B$3, numVmwShares * cashRatio * vmwFinalPrice)</f>
        <v>0</v>
      </c>
      <c r="U30" s="315">
        <f>iferror(LET(numVmwShares,$D30, stockRatio,Q30, vmwFinalPrice,Reference!$B$3, (1 - stockRatio) * vmwFinalPrice * numVmwShares),0)</f>
        <v>0</v>
      </c>
      <c r="V30" s="315">
        <f>iferror(LET(numVmwShares,$D30, stockRatio,R30, vmwFinalPrice,Reference!$B$3, (1 - stockRatio) * vmwFinalPrice * numVmwShares),0)</f>
        <v>0</v>
      </c>
      <c r="W30" s="315">
        <f>SWITCH(Reference!$E$4,"eTradeTransactionLog", T30, "eTradeHoldingRatio",T30, "eTradeLotQtyRatio",U30,"manualLotRatio",V30)</f>
        <v>0</v>
      </c>
      <c r="X30" s="305">
        <f>LET(purchaseDate,C30, dateOfRecord,Reference!$B$26, returnOfCapital,Reference!$C$26, IF(purchaseDate &lt; dateOfRecord, returnOfCapital,0))</f>
        <v>10.18</v>
      </c>
      <c r="Y30" s="305">
        <f>LET(purchaseDate,C30, dateOfRecord,Reference!$B$27, returnOfCapital,Reference!$C$27, IF(purchaseDate &lt; dateOfRecord, returnOfCapital,0))</f>
        <v>16.58</v>
      </c>
      <c r="Z30" s="305">
        <f t="shared" si="9"/>
        <v>106.46</v>
      </c>
      <c r="AA30" s="437">
        <f t="shared" si="10"/>
        <v>0</v>
      </c>
      <c r="AB30" s="316">
        <f>LET(numVmwShares,D30, stockRatio,Reference!$B$5, vmwToAvgoRatio,Reference!$B$6, numVmwShares * stockRatio * vmwToAvgoRatio)</f>
        <v>0</v>
      </c>
      <c r="AC30" s="316">
        <f>LET(numVmwShares,D30, stockRatio,Q30, vmwToAvgoRatio,Reference!$B$6, numVmwShares * stockRatio * vmwToAvgoRatio)</f>
        <v>0</v>
      </c>
      <c r="AD30" s="316" t="str">
        <f>LET(numVmwShares,D30, stockRatio,R30, vmwToAvgoRatio,Reference!$B$6, numVmwShares * stockRatio * vmwToAvgoRatio)</f>
        <v>#DIV/0!</v>
      </c>
      <c r="AE30" s="316">
        <f>SWITCH(Reference!$E$4, "eTradeTransactionLog", AB30, "eTradeHoldingRatio",AB30, "eTradeLotQtyRatio",AC30,"manualLotRatio",AD30)</f>
        <v>0</v>
      </c>
      <c r="AF30" s="317">
        <f>LET(numVmwShares,D30, vmwBasis,Z30, avgoQty,AE30, avgoFMV,Reference!$B$18, cashReceived,W30, gain,cashReceived+(avgoQty*avgoFMV)-(numVmwShares*vmwBasis),
MAX(gain,0))</f>
        <v>0</v>
      </c>
      <c r="AG30" s="318">
        <f>LET(useForFraction,J30, fractionAmount,Summary!$C$41, esppFractionLots,ESPP!$N$5, rsuFractionLots,RSU!J$5, IF(useForFraction, fractionAmount / (esppFractionLots+rsuFractionLots), 0))</f>
        <v>0</v>
      </c>
      <c r="AH30" s="438">
        <f>LET(useForFraction,J30, fractionSaleFMV,Reference!$B$23, postMergerBasis,AT30, lotFractionAmount,AG30, IF(useForFraction, (fractionSaleFMV - postMergerBasis)*lotFractionAmount, 0))</f>
        <v>0</v>
      </c>
      <c r="AI30" s="439">
        <f t="shared" si="11"/>
        <v>0</v>
      </c>
      <c r="AJ30" s="440">
        <f>LET(
purchaseDate,C30,
mergerDate,Reference!$B$28,
lotFractionGain,AH30,
mergerGain,AI30,
IF(DATEDIF(purchaseDate,mergerDate,"Y")&gt;=1,
  0,
  lotFractionGain + mergerGain
))</f>
        <v>0</v>
      </c>
      <c r="AK30" s="440">
        <f>LET(
purchaseDate,C30,
mergerDate,Reference!$B$28,
lotFractionGain,AH30,
mergerGain,AI30,
IF(DATEDIF(purchaseDate,mergerDate,"Y")&gt;=1,
  lotFractionGain+mergerGain,
  0
))</f>
        <v>0</v>
      </c>
      <c r="AL30" s="441" t="str">
        <f>IF(DATEDIF(C30,Reference!$B$28,"Y")&gt;=1,"Part II Box E","Part I Box B")</f>
        <v>Part II Box E</v>
      </c>
      <c r="AM30" s="336">
        <f t="shared" si="12"/>
        <v>43221</v>
      </c>
      <c r="AN30" s="337">
        <f t="shared" si="13"/>
        <v>0</v>
      </c>
      <c r="AO30" s="337">
        <f>LET(
cashReceived,W30, 
avgoQty,AE30, 
proceedsStyle,Reference!$E$9, 
avgoFMV,Reference!$B$18, 
SWITCH(proceedsStyle, "combined", cashReceived +(avgoQty*avgoFMV), "cashOnly", cashReceived))</f>
        <v>0</v>
      </c>
      <c r="AP30" s="338">
        <f>LET(
numVmwShares,D30, 
vmwBasis, Z30, 
avgoQty,AE30, 
avgoFMV,Reference!$B$18, 
cashReceived,W30, 
avgoTotalValue, avgoFMV*avgoQty, 
vmwTotalBasis, vmwBasis*numVmwShares,
alternateGainAmount,AF30, 
IF(cashReceived&lt;alternateGainAmount,
  avgoTotalValue,
  vmwTotalBasis
))</f>
        <v>0</v>
      </c>
      <c r="AQ30" s="338" t="str">
        <f t="shared" si="14"/>
        <v/>
      </c>
      <c r="AR30" s="338">
        <v>0.0</v>
      </c>
      <c r="AS30" s="339">
        <f t="shared" si="15"/>
        <v>0</v>
      </c>
      <c r="AT30" s="442" t="str">
        <f t="shared" si="16"/>
        <v>n/a</v>
      </c>
      <c r="AU30" s="328">
        <f>LET(saleFMV,Reference!$B$10, postMergerBasis,AT30, avgoQty,AE30, lotFractionAmount,AG30, iferror((saleFMV - postMergerBasis) * (avgoQty - lotFractionAmount), 0))</f>
        <v>0</v>
      </c>
      <c r="AV30" s="328">
        <f>LET(
avgoQty,AE31, 
purchaseDate,C31,
postMergerSaleDate,Reference!$B$29,
saleFMV,Reference!$B$10,
postMergerBasis,AT31, 
IFERROR(IF(DATEDIF(purchaseDate,postMergerSaleDate,"Y")&gt;=1,
  0,
  avgoQty * (saleFMV - postMergerBasis)
),0))</f>
        <v>0</v>
      </c>
      <c r="AW30" s="331">
        <f>LET(
avgoQty,AE30, 
purchaseDate,C30,
postMergerSaleDate,Reference!$B$29,
saleFMV,Reference!$B$10,
postMergerBasis,AT30, 
IFERROR(IF(DATEDIF(purchaseDate,postMergerSaleDate,"Y")&gt;=1,
  avgoQty * (saleFMV - postMergerBasis),
  0
),0))</f>
        <v>0</v>
      </c>
    </row>
    <row r="31">
      <c r="A31" s="431" t="s">
        <v>223</v>
      </c>
      <c r="B31" s="432">
        <v>42342.0</v>
      </c>
      <c r="C31" s="301">
        <v>43252.0</v>
      </c>
      <c r="D31" s="332"/>
      <c r="E31" s="433">
        <v>145.93</v>
      </c>
      <c r="F31" s="443"/>
      <c r="G31" s="305">
        <f t="shared" si="6"/>
        <v>0</v>
      </c>
      <c r="H31" s="317">
        <f t="shared" si="7"/>
        <v>0</v>
      </c>
      <c r="I31" s="444"/>
      <c r="J31" s="342" t="b">
        <v>0</v>
      </c>
      <c r="K31" s="436"/>
      <c r="L31" s="311">
        <v>0.0</v>
      </c>
      <c r="M31" s="311">
        <v>0.0</v>
      </c>
      <c r="N31" s="311">
        <v>0.0</v>
      </c>
      <c r="O31" s="311">
        <v>0.0</v>
      </c>
      <c r="P31" s="311">
        <v>0.0</v>
      </c>
      <c r="Q31" s="313">
        <f t="shared" si="8"/>
        <v>0</v>
      </c>
      <c r="R31" s="313" t="str">
        <f>SWITCH(S31,"cash",Reference!E$5,"shares",Reference!$E$6,"balance",Reference!$E$7,"pro-rata",Reference!$B$5)</f>
        <v>#DIV/0!</v>
      </c>
      <c r="S31" s="314" t="s">
        <v>205</v>
      </c>
      <c r="T31" s="315">
        <f>LET(numVmwShares,D31, cashRatio,Reference!$B$4, vmwFinalPrice,Reference!$B$3, numVmwShares * cashRatio * vmwFinalPrice)</f>
        <v>0</v>
      </c>
      <c r="U31" s="315">
        <f>iferror(LET(numVmwShares,$D31, stockRatio,Q31, vmwFinalPrice,Reference!$B$3, (1 - stockRatio) * vmwFinalPrice * numVmwShares),0)</f>
        <v>0</v>
      </c>
      <c r="V31" s="315">
        <f>iferror(LET(numVmwShares,$D31, stockRatio,R31, vmwFinalPrice,Reference!$B$3, (1 - stockRatio) * vmwFinalPrice * numVmwShares),0)</f>
        <v>0</v>
      </c>
      <c r="W31" s="315">
        <f>SWITCH(Reference!$E$4,"eTradeTransactionLog", T31, "eTradeHoldingRatio",T31, "eTradeLotQtyRatio",U31,"manualLotRatio",V31)</f>
        <v>0</v>
      </c>
      <c r="X31" s="305">
        <f>LET(purchaseDate,C31, dateOfRecord,Reference!$B$26, returnOfCapital,Reference!$C$26, IF(purchaseDate &lt; dateOfRecord, returnOfCapital,0))</f>
        <v>10.18</v>
      </c>
      <c r="Y31" s="305">
        <f>LET(purchaseDate,C31, dateOfRecord,Reference!$B$27, returnOfCapital,Reference!$C$27, IF(purchaseDate &lt; dateOfRecord, returnOfCapital,0))</f>
        <v>16.58</v>
      </c>
      <c r="Z31" s="305">
        <f t="shared" si="9"/>
        <v>119.17</v>
      </c>
      <c r="AA31" s="437">
        <f t="shared" si="10"/>
        <v>0</v>
      </c>
      <c r="AB31" s="316">
        <f>LET(numVmwShares,D31, stockRatio,Reference!$B$5, vmwToAvgoRatio,Reference!$B$6, numVmwShares * stockRatio * vmwToAvgoRatio)</f>
        <v>0</v>
      </c>
      <c r="AC31" s="316">
        <f>LET(numVmwShares,D31, stockRatio,Q31, vmwToAvgoRatio,Reference!$B$6, numVmwShares * stockRatio * vmwToAvgoRatio)</f>
        <v>0</v>
      </c>
      <c r="AD31" s="316" t="str">
        <f>LET(numVmwShares,D31, stockRatio,R31, vmwToAvgoRatio,Reference!$B$6, numVmwShares * stockRatio * vmwToAvgoRatio)</f>
        <v>#DIV/0!</v>
      </c>
      <c r="AE31" s="316">
        <f>SWITCH(Reference!$E$4, "eTradeTransactionLog", AB31, "eTradeHoldingRatio",AB31, "eTradeLotQtyRatio",AC31,"manualLotRatio",AD31)</f>
        <v>0</v>
      </c>
      <c r="AF31" s="317">
        <f>LET(numVmwShares,D31, vmwBasis,Z31, avgoQty,AE31, avgoFMV,Reference!$B$18, cashReceived,W31, gain,cashReceived+(avgoQty*avgoFMV)-(numVmwShares*vmwBasis),
MAX(gain,0))</f>
        <v>0</v>
      </c>
      <c r="AG31" s="318">
        <f>LET(useForFraction,J31, fractionAmount,Summary!$C$41, esppFractionLots,ESPP!$N$5, rsuFractionLots,RSU!J$5, IF(useForFraction, fractionAmount / (esppFractionLots+rsuFractionLots), 0))</f>
        <v>0</v>
      </c>
      <c r="AH31" s="438">
        <f>LET(useForFraction,J31, fractionSaleFMV,Reference!$B$23, postMergerBasis,AT31, lotFractionAmount,AG31, IF(useForFraction, (fractionSaleFMV - postMergerBasis)*lotFractionAmount, 0))</f>
        <v>0</v>
      </c>
      <c r="AI31" s="439">
        <f t="shared" si="11"/>
        <v>0</v>
      </c>
      <c r="AJ31" s="440">
        <f>LET(
purchaseDate,C31,
mergerDate,Reference!$B$28,
lotFractionGain,AH31,
mergerGain,AI31,
IF(DATEDIF(purchaseDate,mergerDate,"Y")&gt;=1,
  0,
  lotFractionGain + mergerGain
))</f>
        <v>0</v>
      </c>
      <c r="AK31" s="440">
        <f>LET(
purchaseDate,C31,
mergerDate,Reference!$B$28,
lotFractionGain,AH31,
mergerGain,AI31,
IF(DATEDIF(purchaseDate,mergerDate,"Y")&gt;=1,
  lotFractionGain+mergerGain,
  0
))</f>
        <v>0</v>
      </c>
      <c r="AL31" s="441" t="str">
        <f>IF(DATEDIF(C31,Reference!$B$28,"Y")&gt;=1,"Part II Box E","Part I Box B")</f>
        <v>Part II Box E</v>
      </c>
      <c r="AM31" s="336">
        <f t="shared" si="12"/>
        <v>43252</v>
      </c>
      <c r="AN31" s="337">
        <f t="shared" si="13"/>
        <v>0</v>
      </c>
      <c r="AO31" s="337">
        <f>LET(
cashReceived,W31, 
avgoQty,AE31, 
proceedsStyle,Reference!$E$9, 
avgoFMV,Reference!$B$18, 
SWITCH(proceedsStyle, "combined", cashReceived +(avgoQty*avgoFMV), "cashOnly", cashReceived))</f>
        <v>0</v>
      </c>
      <c r="AP31" s="338">
        <f>LET(
numVmwShares,D31, 
vmwBasis, Z31, 
avgoQty,AE31, 
avgoFMV,Reference!$B$18, 
cashReceived,W31, 
avgoTotalValue, avgoFMV*avgoQty, 
vmwTotalBasis, vmwBasis*numVmwShares,
alternateGainAmount,AF31, 
IF(cashReceived&lt;alternateGainAmount,
  avgoTotalValue,
  vmwTotalBasis
))</f>
        <v>0</v>
      </c>
      <c r="AQ31" s="338" t="str">
        <f t="shared" si="14"/>
        <v/>
      </c>
      <c r="AR31" s="338">
        <v>0.0</v>
      </c>
      <c r="AS31" s="339">
        <f t="shared" si="15"/>
        <v>0</v>
      </c>
      <c r="AT31" s="442" t="str">
        <f t="shared" si="16"/>
        <v>n/a</v>
      </c>
      <c r="AU31" s="328">
        <f>LET(saleFMV,Reference!$B$10, postMergerBasis,AT31, avgoQty,AE31, lotFractionAmount,AG31, iferror((saleFMV - postMergerBasis) * (avgoQty - lotFractionAmount), 0))</f>
        <v>0</v>
      </c>
      <c r="AV31" s="328">
        <f>LET(
avgoQty,AE32, 
purchaseDate,C32,
postMergerSaleDate,Reference!$B$29,
saleFMV,Reference!$B$10,
postMergerBasis,AT32, 
IFERROR(IF(DATEDIF(purchaseDate,postMergerSaleDate,"Y")&gt;=1,
  0,
  avgoQty * (saleFMV - postMergerBasis)
),0))</f>
        <v>0</v>
      </c>
      <c r="AW31" s="331">
        <f>LET(
avgoQty,AE31, 
purchaseDate,C31,
postMergerSaleDate,Reference!$B$29,
saleFMV,Reference!$B$10,
postMergerBasis,AT31, 
IFERROR(IF(DATEDIF(purchaseDate,postMergerSaleDate,"Y")&gt;=1,
  avgoQty * (saleFMV - postMergerBasis),
  0
),0))</f>
        <v>0</v>
      </c>
    </row>
    <row r="32">
      <c r="A32" s="431" t="s">
        <v>225</v>
      </c>
      <c r="B32" s="432">
        <v>42929.0</v>
      </c>
      <c r="C32" s="301">
        <v>43282.0</v>
      </c>
      <c r="D32" s="332"/>
      <c r="E32" s="433">
        <v>146.97</v>
      </c>
      <c r="F32" s="443"/>
      <c r="G32" s="305">
        <f t="shared" si="6"/>
        <v>0</v>
      </c>
      <c r="H32" s="317">
        <f t="shared" si="7"/>
        <v>0</v>
      </c>
      <c r="I32" s="444"/>
      <c r="J32" s="342" t="b">
        <v>0</v>
      </c>
      <c r="K32" s="436"/>
      <c r="L32" s="311">
        <v>0.0</v>
      </c>
      <c r="M32" s="311">
        <v>0.0</v>
      </c>
      <c r="N32" s="311">
        <v>0.0</v>
      </c>
      <c r="O32" s="311">
        <v>0.0</v>
      </c>
      <c r="P32" s="311">
        <v>0.0</v>
      </c>
      <c r="Q32" s="313">
        <f t="shared" si="8"/>
        <v>0</v>
      </c>
      <c r="R32" s="313" t="str">
        <f>SWITCH(S32,"cash",Reference!E$5,"shares",Reference!$E$6,"balance",Reference!$E$7,"pro-rata",Reference!$B$5)</f>
        <v>#DIV/0!</v>
      </c>
      <c r="S32" s="314" t="s">
        <v>205</v>
      </c>
      <c r="T32" s="315">
        <f>LET(numVmwShares,D32, cashRatio,Reference!$B$4, vmwFinalPrice,Reference!$B$3, numVmwShares * cashRatio * vmwFinalPrice)</f>
        <v>0</v>
      </c>
      <c r="U32" s="315">
        <f>iferror(LET(numVmwShares,$D32, stockRatio,Q32, vmwFinalPrice,Reference!$B$3, (1 - stockRatio) * vmwFinalPrice * numVmwShares),0)</f>
        <v>0</v>
      </c>
      <c r="V32" s="315">
        <f>iferror(LET(numVmwShares,$D32, stockRatio,R32, vmwFinalPrice,Reference!$B$3, (1 - stockRatio) * vmwFinalPrice * numVmwShares),0)</f>
        <v>0</v>
      </c>
      <c r="W32" s="315">
        <f>SWITCH(Reference!$E$4,"eTradeTransactionLog", T32, "eTradeHoldingRatio",T32, "eTradeLotQtyRatio",U32,"manualLotRatio",V32)</f>
        <v>0</v>
      </c>
      <c r="X32" s="305">
        <f>LET(purchaseDate,C32, dateOfRecord,Reference!$B$26, returnOfCapital,Reference!$C$26, IF(purchaseDate &lt; dateOfRecord, returnOfCapital,0))</f>
        <v>10.18</v>
      </c>
      <c r="Y32" s="305">
        <f>LET(purchaseDate,C32, dateOfRecord,Reference!$B$27, returnOfCapital,Reference!$C$27, IF(purchaseDate &lt; dateOfRecord, returnOfCapital,0))</f>
        <v>16.58</v>
      </c>
      <c r="Z32" s="305">
        <f t="shared" si="9"/>
        <v>120.21</v>
      </c>
      <c r="AA32" s="437">
        <f t="shared" si="10"/>
        <v>0</v>
      </c>
      <c r="AB32" s="316">
        <f>LET(numVmwShares,D32, stockRatio,Reference!$B$5, vmwToAvgoRatio,Reference!$B$6, numVmwShares * stockRatio * vmwToAvgoRatio)</f>
        <v>0</v>
      </c>
      <c r="AC32" s="316">
        <f>LET(numVmwShares,D32, stockRatio,Q32, vmwToAvgoRatio,Reference!$B$6, numVmwShares * stockRatio * vmwToAvgoRatio)</f>
        <v>0</v>
      </c>
      <c r="AD32" s="316" t="str">
        <f>LET(numVmwShares,D32, stockRatio,R32, vmwToAvgoRatio,Reference!$B$6, numVmwShares * stockRatio * vmwToAvgoRatio)</f>
        <v>#DIV/0!</v>
      </c>
      <c r="AE32" s="316">
        <f>SWITCH(Reference!$E$4, "eTradeTransactionLog", AB32, "eTradeHoldingRatio",AB32, "eTradeLotQtyRatio",AC32,"manualLotRatio",AD32)</f>
        <v>0</v>
      </c>
      <c r="AF32" s="317">
        <f>LET(numVmwShares,D32, vmwBasis,Z32, avgoQty,AE32, avgoFMV,Reference!$B$18, cashReceived,W32, gain,cashReceived+(avgoQty*avgoFMV)-(numVmwShares*vmwBasis),
MAX(gain,0))</f>
        <v>0</v>
      </c>
      <c r="AG32" s="318">
        <f>LET(useForFraction,J32, fractionAmount,Summary!$C$41, esppFractionLots,ESPP!$N$5, rsuFractionLots,RSU!J$5, IF(useForFraction, fractionAmount / (esppFractionLots+rsuFractionLots), 0))</f>
        <v>0</v>
      </c>
      <c r="AH32" s="438">
        <f>LET(useForFraction,J32, fractionSaleFMV,Reference!$B$23, postMergerBasis,AT32, lotFractionAmount,AG32, IF(useForFraction, (fractionSaleFMV - postMergerBasis)*lotFractionAmount, 0))</f>
        <v>0</v>
      </c>
      <c r="AI32" s="439">
        <f t="shared" si="11"/>
        <v>0</v>
      </c>
      <c r="AJ32" s="440">
        <f>LET(
purchaseDate,C32,
mergerDate,Reference!$B$28,
lotFractionGain,AH32,
mergerGain,AI32,
IF(DATEDIF(purchaseDate,mergerDate,"Y")&gt;=1,
  0,
  lotFractionGain + mergerGain
))</f>
        <v>0</v>
      </c>
      <c r="AK32" s="440">
        <f>LET(
purchaseDate,C32,
mergerDate,Reference!$B$28,
lotFractionGain,AH32,
mergerGain,AI32,
IF(DATEDIF(purchaseDate,mergerDate,"Y")&gt;=1,
  lotFractionGain+mergerGain,
  0
))</f>
        <v>0</v>
      </c>
      <c r="AL32" s="441" t="str">
        <f>IF(DATEDIF(C32,Reference!$B$28,"Y")&gt;=1,"Part II Box E","Part I Box B")</f>
        <v>Part II Box E</v>
      </c>
      <c r="AM32" s="336">
        <f t="shared" si="12"/>
        <v>43282</v>
      </c>
      <c r="AN32" s="337">
        <f t="shared" si="13"/>
        <v>0</v>
      </c>
      <c r="AO32" s="337">
        <f>LET(
cashReceived,W32, 
avgoQty,AE32, 
proceedsStyle,Reference!$E$9, 
avgoFMV,Reference!$B$18, 
SWITCH(proceedsStyle, "combined", cashReceived +(avgoQty*avgoFMV), "cashOnly", cashReceived))</f>
        <v>0</v>
      </c>
      <c r="AP32" s="338">
        <f>LET(
numVmwShares,D32, 
vmwBasis, Z32, 
avgoQty,AE32, 
avgoFMV,Reference!$B$18, 
cashReceived,W32, 
avgoTotalValue, avgoFMV*avgoQty, 
vmwTotalBasis, vmwBasis*numVmwShares,
alternateGainAmount,AF32, 
IF(cashReceived&lt;alternateGainAmount,
  avgoTotalValue,
  vmwTotalBasis
))</f>
        <v>0</v>
      </c>
      <c r="AQ32" s="338" t="str">
        <f t="shared" si="14"/>
        <v/>
      </c>
      <c r="AR32" s="338">
        <v>0.0</v>
      </c>
      <c r="AS32" s="339">
        <f t="shared" si="15"/>
        <v>0</v>
      </c>
      <c r="AT32" s="442" t="str">
        <f t="shared" si="16"/>
        <v>n/a</v>
      </c>
      <c r="AU32" s="328">
        <f>LET(saleFMV,Reference!$B$10, postMergerBasis,AT32, avgoQty,AE32, lotFractionAmount,AG32, iferror((saleFMV - postMergerBasis) * (avgoQty - lotFractionAmount), 0))</f>
        <v>0</v>
      </c>
      <c r="AV32" s="328">
        <f>LET(
avgoQty,AE33, 
purchaseDate,C33,
postMergerSaleDate,Reference!$B$29,
saleFMV,Reference!$B$10,
postMergerBasis,AT33, 
IFERROR(IF(DATEDIF(purchaseDate,postMergerSaleDate,"Y")&gt;=1,
  0,
  avgoQty * (saleFMV - postMergerBasis)
),0))</f>
        <v>0</v>
      </c>
      <c r="AW32" s="331">
        <f>LET(
avgoQty,AE32, 
purchaseDate,C32,
postMergerSaleDate,Reference!$B$29,
saleFMV,Reference!$B$10,
postMergerBasis,AT32, 
IFERROR(IF(DATEDIF(purchaseDate,postMergerSaleDate,"Y")&gt;=1,
  avgoQty * (saleFMV - postMergerBasis),
  0
),0))</f>
        <v>0</v>
      </c>
    </row>
    <row r="33">
      <c r="A33" s="431" t="s">
        <v>222</v>
      </c>
      <c r="B33" s="432">
        <v>42170.0</v>
      </c>
      <c r="C33" s="301">
        <v>43405.0</v>
      </c>
      <c r="D33" s="332"/>
      <c r="E33" s="433">
        <v>144.64</v>
      </c>
      <c r="F33" s="443"/>
      <c r="G33" s="305">
        <f t="shared" si="6"/>
        <v>0</v>
      </c>
      <c r="H33" s="317">
        <f t="shared" si="7"/>
        <v>0</v>
      </c>
      <c r="I33" s="444"/>
      <c r="J33" s="342" t="b">
        <v>0</v>
      </c>
      <c r="K33" s="436"/>
      <c r="L33" s="311">
        <v>0.0</v>
      </c>
      <c r="M33" s="311">
        <v>0.0</v>
      </c>
      <c r="N33" s="311">
        <v>0.0</v>
      </c>
      <c r="O33" s="311">
        <v>0.0</v>
      </c>
      <c r="P33" s="311">
        <v>0.0</v>
      </c>
      <c r="Q33" s="313">
        <f t="shared" si="8"/>
        <v>0</v>
      </c>
      <c r="R33" s="313" t="str">
        <f>SWITCH(S33,"cash",Reference!E$5,"shares",Reference!$E$6,"balance",Reference!$E$7,"pro-rata",Reference!$B$5)</f>
        <v>#DIV/0!</v>
      </c>
      <c r="S33" s="314" t="s">
        <v>205</v>
      </c>
      <c r="T33" s="315">
        <f>LET(numVmwShares,D33, cashRatio,Reference!$B$4, vmwFinalPrice,Reference!$B$3, numVmwShares * cashRatio * vmwFinalPrice)</f>
        <v>0</v>
      </c>
      <c r="U33" s="315">
        <f>iferror(LET(numVmwShares,$D33, stockRatio,Q33, vmwFinalPrice,Reference!$B$3, (1 - stockRatio) * vmwFinalPrice * numVmwShares),0)</f>
        <v>0</v>
      </c>
      <c r="V33" s="315">
        <f>iferror(LET(numVmwShares,$D33, stockRatio,R33, vmwFinalPrice,Reference!$B$3, (1 - stockRatio) * vmwFinalPrice * numVmwShares),0)</f>
        <v>0</v>
      </c>
      <c r="W33" s="315">
        <f>SWITCH(Reference!$E$4,"eTradeTransactionLog", T33, "eTradeHoldingRatio",T33, "eTradeLotQtyRatio",U33,"manualLotRatio",V33)</f>
        <v>0</v>
      </c>
      <c r="X33" s="305">
        <f>LET(purchaseDate,C33, dateOfRecord,Reference!$B$26, returnOfCapital,Reference!$C$26, IF(purchaseDate &lt; dateOfRecord, returnOfCapital,0))</f>
        <v>10.18</v>
      </c>
      <c r="Y33" s="305">
        <f>LET(purchaseDate,C33, dateOfRecord,Reference!$B$27, returnOfCapital,Reference!$C$27, IF(purchaseDate &lt; dateOfRecord, returnOfCapital,0))</f>
        <v>16.58</v>
      </c>
      <c r="Z33" s="305">
        <f t="shared" si="9"/>
        <v>117.88</v>
      </c>
      <c r="AA33" s="437">
        <f t="shared" si="10"/>
        <v>0</v>
      </c>
      <c r="AB33" s="316">
        <f>LET(numVmwShares,D33, stockRatio,Reference!$B$5, vmwToAvgoRatio,Reference!$B$6, numVmwShares * stockRatio * vmwToAvgoRatio)</f>
        <v>0</v>
      </c>
      <c r="AC33" s="316">
        <f>LET(numVmwShares,D33, stockRatio,Q33, vmwToAvgoRatio,Reference!$B$6, numVmwShares * stockRatio * vmwToAvgoRatio)</f>
        <v>0</v>
      </c>
      <c r="AD33" s="316" t="str">
        <f>LET(numVmwShares,D33, stockRatio,R33, vmwToAvgoRatio,Reference!$B$6, numVmwShares * stockRatio * vmwToAvgoRatio)</f>
        <v>#DIV/0!</v>
      </c>
      <c r="AE33" s="316">
        <f>SWITCH(Reference!$E$4, "eTradeTransactionLog", AB33, "eTradeHoldingRatio",AB33, "eTradeLotQtyRatio",AC33,"manualLotRatio",AD33)</f>
        <v>0</v>
      </c>
      <c r="AF33" s="317">
        <f>LET(numVmwShares,D33, vmwBasis,Z33, avgoQty,AE33, avgoFMV,Reference!$B$18, cashReceived,W33, gain,cashReceived+(avgoQty*avgoFMV)-(numVmwShares*vmwBasis),
MAX(gain,0))</f>
        <v>0</v>
      </c>
      <c r="AG33" s="318">
        <f>LET(useForFraction,J33, fractionAmount,Summary!$C$41, esppFractionLots,ESPP!$N$5, rsuFractionLots,RSU!J$5, IF(useForFraction, fractionAmount / (esppFractionLots+rsuFractionLots), 0))</f>
        <v>0</v>
      </c>
      <c r="AH33" s="438">
        <f>LET(useForFraction,J33, fractionSaleFMV,Reference!$B$23, postMergerBasis,AT33, lotFractionAmount,AG33, IF(useForFraction, (fractionSaleFMV - postMergerBasis)*lotFractionAmount, 0))</f>
        <v>0</v>
      </c>
      <c r="AI33" s="439">
        <f t="shared" si="11"/>
        <v>0</v>
      </c>
      <c r="AJ33" s="440">
        <f>LET(
purchaseDate,C33,
mergerDate,Reference!$B$28,
lotFractionGain,AH33,
mergerGain,AI33,
IF(DATEDIF(purchaseDate,mergerDate,"Y")&gt;=1,
  0,
  lotFractionGain + mergerGain
))</f>
        <v>0</v>
      </c>
      <c r="AK33" s="440">
        <f>LET(
purchaseDate,C33,
mergerDate,Reference!$B$28,
lotFractionGain,AH33,
mergerGain,AI33,
IF(DATEDIF(purchaseDate,mergerDate,"Y")&gt;=1,
  lotFractionGain+mergerGain,
  0
))</f>
        <v>0</v>
      </c>
      <c r="AL33" s="441" t="str">
        <f>IF(DATEDIF(C33,Reference!$B$28,"Y")&gt;=1,"Part II Box E","Part I Box B")</f>
        <v>Part II Box E</v>
      </c>
      <c r="AM33" s="336">
        <f t="shared" si="12"/>
        <v>43405</v>
      </c>
      <c r="AN33" s="337">
        <f t="shared" si="13"/>
        <v>0</v>
      </c>
      <c r="AO33" s="337">
        <f>LET(
cashReceived,W33, 
avgoQty,AE33, 
proceedsStyle,Reference!$E$9, 
avgoFMV,Reference!$B$18, 
SWITCH(proceedsStyle, "combined", cashReceived +(avgoQty*avgoFMV), "cashOnly", cashReceived))</f>
        <v>0</v>
      </c>
      <c r="AP33" s="338">
        <f>LET(
numVmwShares,D33, 
vmwBasis, Z33, 
avgoQty,AE33, 
avgoFMV,Reference!$B$18, 
cashReceived,W33, 
avgoTotalValue, avgoFMV*avgoQty, 
vmwTotalBasis, vmwBasis*numVmwShares,
alternateGainAmount,AF33, 
IF(cashReceived&lt;alternateGainAmount,
  avgoTotalValue,
  vmwTotalBasis
))</f>
        <v>0</v>
      </c>
      <c r="AQ33" s="338" t="str">
        <f t="shared" si="14"/>
        <v/>
      </c>
      <c r="AR33" s="338">
        <v>0.0</v>
      </c>
      <c r="AS33" s="339">
        <f t="shared" si="15"/>
        <v>0</v>
      </c>
      <c r="AT33" s="442" t="str">
        <f t="shared" si="16"/>
        <v>n/a</v>
      </c>
      <c r="AU33" s="328">
        <f>LET(saleFMV,Reference!$B$10, postMergerBasis,AT33, avgoQty,AE33, lotFractionAmount,AG33, iferror((saleFMV - postMergerBasis) * (avgoQty - lotFractionAmount), 0))</f>
        <v>0</v>
      </c>
      <c r="AV33" s="328">
        <f>LET(
avgoQty,AE34, 
purchaseDate,C34,
postMergerSaleDate,Reference!$B$29,
saleFMV,Reference!$B$10,
postMergerBasis,AT34, 
IFERROR(IF(DATEDIF(purchaseDate,postMergerSaleDate,"Y")&gt;=1,
  0,
  avgoQty * (saleFMV - postMergerBasis)
),0))</f>
        <v>0</v>
      </c>
      <c r="AW33" s="331">
        <f>LET(
avgoQty,AE33, 
purchaseDate,C33,
postMergerSaleDate,Reference!$B$29,
saleFMV,Reference!$B$10,
postMergerBasis,AT33, 
IFERROR(IF(DATEDIF(purchaseDate,postMergerSaleDate,"Y")&gt;=1,
  avgoQty * (saleFMV - postMergerBasis),
  0
),0))</f>
        <v>0</v>
      </c>
    </row>
    <row r="34">
      <c r="A34" s="431" t="s">
        <v>224</v>
      </c>
      <c r="B34" s="432">
        <v>42489.0</v>
      </c>
      <c r="C34" s="301">
        <v>43405.0</v>
      </c>
      <c r="D34" s="332"/>
      <c r="E34" s="433">
        <v>144.64</v>
      </c>
      <c r="F34" s="443"/>
      <c r="G34" s="305">
        <f t="shared" si="6"/>
        <v>0</v>
      </c>
      <c r="H34" s="317">
        <f t="shared" si="7"/>
        <v>0</v>
      </c>
      <c r="I34" s="444"/>
      <c r="J34" s="342" t="b">
        <v>0</v>
      </c>
      <c r="K34" s="436"/>
      <c r="L34" s="311">
        <v>0.0</v>
      </c>
      <c r="M34" s="311">
        <v>0.0</v>
      </c>
      <c r="N34" s="311">
        <v>0.0</v>
      </c>
      <c r="O34" s="311">
        <v>0.0</v>
      </c>
      <c r="P34" s="311">
        <v>0.0</v>
      </c>
      <c r="Q34" s="313">
        <f t="shared" si="8"/>
        <v>0</v>
      </c>
      <c r="R34" s="313" t="str">
        <f>SWITCH(S34,"cash",Reference!E$5,"shares",Reference!$E$6,"balance",Reference!$E$7,"pro-rata",Reference!$B$5)</f>
        <v>#DIV/0!</v>
      </c>
      <c r="S34" s="314" t="s">
        <v>205</v>
      </c>
      <c r="T34" s="315">
        <f>LET(numVmwShares,D34, cashRatio,Reference!$B$4, vmwFinalPrice,Reference!$B$3, numVmwShares * cashRatio * vmwFinalPrice)</f>
        <v>0</v>
      </c>
      <c r="U34" s="315">
        <f>iferror(LET(numVmwShares,$D34, stockRatio,Q34, vmwFinalPrice,Reference!$B$3, (1 - stockRatio) * vmwFinalPrice * numVmwShares),0)</f>
        <v>0</v>
      </c>
      <c r="V34" s="315">
        <f>iferror(LET(numVmwShares,$D34, stockRatio,R34, vmwFinalPrice,Reference!$B$3, (1 - stockRatio) * vmwFinalPrice * numVmwShares),0)</f>
        <v>0</v>
      </c>
      <c r="W34" s="315">
        <f>SWITCH(Reference!$E$4,"eTradeTransactionLog", T34, "eTradeHoldingRatio",T34, "eTradeLotQtyRatio",U34,"manualLotRatio",V34)</f>
        <v>0</v>
      </c>
      <c r="X34" s="305">
        <f>LET(purchaseDate,C34, dateOfRecord,Reference!$B$26, returnOfCapital,Reference!$C$26, IF(purchaseDate &lt; dateOfRecord, returnOfCapital,0))</f>
        <v>10.18</v>
      </c>
      <c r="Y34" s="305">
        <f>LET(purchaseDate,C34, dateOfRecord,Reference!$B$27, returnOfCapital,Reference!$C$27, IF(purchaseDate &lt; dateOfRecord, returnOfCapital,0))</f>
        <v>16.58</v>
      </c>
      <c r="Z34" s="305">
        <f t="shared" si="9"/>
        <v>117.88</v>
      </c>
      <c r="AA34" s="437">
        <f t="shared" si="10"/>
        <v>0</v>
      </c>
      <c r="AB34" s="316">
        <f>LET(numVmwShares,D34, stockRatio,Reference!$B$5, vmwToAvgoRatio,Reference!$B$6, numVmwShares * stockRatio * vmwToAvgoRatio)</f>
        <v>0</v>
      </c>
      <c r="AC34" s="316">
        <f>LET(numVmwShares,D34, stockRatio,Q34, vmwToAvgoRatio,Reference!$B$6, numVmwShares * stockRatio * vmwToAvgoRatio)</f>
        <v>0</v>
      </c>
      <c r="AD34" s="316" t="str">
        <f>LET(numVmwShares,D34, stockRatio,R34, vmwToAvgoRatio,Reference!$B$6, numVmwShares * stockRatio * vmwToAvgoRatio)</f>
        <v>#DIV/0!</v>
      </c>
      <c r="AE34" s="316">
        <f>SWITCH(Reference!$E$4, "eTradeTransactionLog", AB34, "eTradeHoldingRatio",AB34, "eTradeLotQtyRatio",AC34,"manualLotRatio",AD34)</f>
        <v>0</v>
      </c>
      <c r="AF34" s="317">
        <f>LET(numVmwShares,D34, vmwBasis,Z34, avgoQty,AE34, avgoFMV,Reference!$B$18, cashReceived,W34, gain,cashReceived+(avgoQty*avgoFMV)-(numVmwShares*vmwBasis),
MAX(gain,0))</f>
        <v>0</v>
      </c>
      <c r="AG34" s="318">
        <f>LET(useForFraction,J34, fractionAmount,Summary!$C$41, esppFractionLots,ESPP!$N$5, rsuFractionLots,RSU!J$5, IF(useForFraction, fractionAmount / (esppFractionLots+rsuFractionLots), 0))</f>
        <v>0</v>
      </c>
      <c r="AH34" s="438">
        <f>LET(useForFraction,J34, fractionSaleFMV,Reference!$B$23, postMergerBasis,AT34, lotFractionAmount,AG34, IF(useForFraction, (fractionSaleFMV - postMergerBasis)*lotFractionAmount, 0))</f>
        <v>0</v>
      </c>
      <c r="AI34" s="439">
        <f t="shared" si="11"/>
        <v>0</v>
      </c>
      <c r="AJ34" s="440">
        <f>LET(
purchaseDate,C34,
mergerDate,Reference!$B$28,
lotFractionGain,AH34,
mergerGain,AI34,
IF(DATEDIF(purchaseDate,mergerDate,"Y")&gt;=1,
  0,
  lotFractionGain + mergerGain
))</f>
        <v>0</v>
      </c>
      <c r="AK34" s="440">
        <f>LET(
purchaseDate,C34,
mergerDate,Reference!$B$28,
lotFractionGain,AH34,
mergerGain,AI34,
IF(DATEDIF(purchaseDate,mergerDate,"Y")&gt;=1,
  lotFractionGain+mergerGain,
  0
))</f>
        <v>0</v>
      </c>
      <c r="AL34" s="441" t="str">
        <f>IF(DATEDIF(C34,Reference!$B$28,"Y")&gt;=1,"Part II Box E","Part I Box B")</f>
        <v>Part II Box E</v>
      </c>
      <c r="AM34" s="336">
        <f t="shared" si="12"/>
        <v>43405</v>
      </c>
      <c r="AN34" s="337">
        <f t="shared" si="13"/>
        <v>0</v>
      </c>
      <c r="AO34" s="337">
        <f>LET(
cashReceived,W34, 
avgoQty,AE34, 
proceedsStyle,Reference!$E$9, 
avgoFMV,Reference!$B$18, 
SWITCH(proceedsStyle, "combined", cashReceived +(avgoQty*avgoFMV), "cashOnly", cashReceived))</f>
        <v>0</v>
      </c>
      <c r="AP34" s="338">
        <f>LET(
numVmwShares,D34, 
vmwBasis, Z34, 
avgoQty,AE34, 
avgoFMV,Reference!$B$18, 
cashReceived,W34, 
avgoTotalValue, avgoFMV*avgoQty, 
vmwTotalBasis, vmwBasis*numVmwShares,
alternateGainAmount,AF34, 
IF(cashReceived&lt;alternateGainAmount,
  avgoTotalValue,
  vmwTotalBasis
))</f>
        <v>0</v>
      </c>
      <c r="AQ34" s="338" t="str">
        <f t="shared" si="14"/>
        <v/>
      </c>
      <c r="AR34" s="338">
        <v>0.0</v>
      </c>
      <c r="AS34" s="339">
        <f t="shared" si="15"/>
        <v>0</v>
      </c>
      <c r="AT34" s="442" t="str">
        <f t="shared" si="16"/>
        <v>n/a</v>
      </c>
      <c r="AU34" s="328">
        <f>LET(saleFMV,Reference!$B$10, postMergerBasis,AT34, avgoQty,AE34, lotFractionAmount,AG34, iferror((saleFMV - postMergerBasis) * (avgoQty - lotFractionAmount), 0))</f>
        <v>0</v>
      </c>
      <c r="AV34" s="328">
        <f>LET(
avgoQty,AE35, 
purchaseDate,C35,
postMergerSaleDate,Reference!$B$29,
saleFMV,Reference!$B$10,
postMergerBasis,AT35, 
IFERROR(IF(DATEDIF(purchaseDate,postMergerSaleDate,"Y")&gt;=1,
  0,
  avgoQty * (saleFMV - postMergerBasis)
),0))</f>
        <v>0</v>
      </c>
      <c r="AW34" s="331">
        <f>LET(
avgoQty,AE34, 
purchaseDate,C34,
postMergerSaleDate,Reference!$B$29,
saleFMV,Reference!$B$10,
postMergerBasis,AT34, 
IFERROR(IF(DATEDIF(purchaseDate,postMergerSaleDate,"Y")&gt;=1,
  avgoQty * (saleFMV - postMergerBasis),
  0
),0))</f>
        <v>0</v>
      </c>
    </row>
    <row r="35">
      <c r="A35" s="431" t="s">
        <v>223</v>
      </c>
      <c r="B35" s="432">
        <v>42342.0</v>
      </c>
      <c r="C35" s="301">
        <v>43435.0</v>
      </c>
      <c r="D35" s="332"/>
      <c r="E35" s="433">
        <v>167.34</v>
      </c>
      <c r="F35" s="443"/>
      <c r="G35" s="305">
        <f t="shared" si="6"/>
        <v>0</v>
      </c>
      <c r="H35" s="317">
        <f t="shared" si="7"/>
        <v>0</v>
      </c>
      <c r="I35" s="444"/>
      <c r="J35" s="342" t="b">
        <v>0</v>
      </c>
      <c r="K35" s="436"/>
      <c r="L35" s="311">
        <v>0.0</v>
      </c>
      <c r="M35" s="311">
        <v>0.0</v>
      </c>
      <c r="N35" s="311">
        <v>0.0</v>
      </c>
      <c r="O35" s="311">
        <v>0.0</v>
      </c>
      <c r="P35" s="311">
        <v>0.0</v>
      </c>
      <c r="Q35" s="313">
        <f t="shared" si="8"/>
        <v>0</v>
      </c>
      <c r="R35" s="313" t="str">
        <f>SWITCH(S35,"cash",Reference!E$5,"shares",Reference!$E$6,"balance",Reference!$E$7,"pro-rata",Reference!$B$5)</f>
        <v>#DIV/0!</v>
      </c>
      <c r="S35" s="314" t="s">
        <v>205</v>
      </c>
      <c r="T35" s="315">
        <f>LET(numVmwShares,D35, cashRatio,Reference!$B$4, vmwFinalPrice,Reference!$B$3, numVmwShares * cashRatio * vmwFinalPrice)</f>
        <v>0</v>
      </c>
      <c r="U35" s="315">
        <f>iferror(LET(numVmwShares,$D35, stockRatio,Q35, vmwFinalPrice,Reference!$B$3, (1 - stockRatio) * vmwFinalPrice * numVmwShares),0)</f>
        <v>0</v>
      </c>
      <c r="V35" s="315">
        <f>iferror(LET(numVmwShares,$D35, stockRatio,R35, vmwFinalPrice,Reference!$B$3, (1 - stockRatio) * vmwFinalPrice * numVmwShares),0)</f>
        <v>0</v>
      </c>
      <c r="W35" s="315">
        <f>SWITCH(Reference!$E$4,"eTradeTransactionLog", T35, "eTradeHoldingRatio",T35, "eTradeLotQtyRatio",U35,"manualLotRatio",V35)</f>
        <v>0</v>
      </c>
      <c r="X35" s="305">
        <f>LET(purchaseDate,C35, dateOfRecord,Reference!$B$26, returnOfCapital,Reference!$C$26, IF(purchaseDate &lt; dateOfRecord, returnOfCapital,0))</f>
        <v>10.18</v>
      </c>
      <c r="Y35" s="305">
        <f>LET(purchaseDate,C35, dateOfRecord,Reference!$B$27, returnOfCapital,Reference!$C$27, IF(purchaseDate &lt; dateOfRecord, returnOfCapital,0))</f>
        <v>16.58</v>
      </c>
      <c r="Z35" s="305">
        <f t="shared" si="9"/>
        <v>140.58</v>
      </c>
      <c r="AA35" s="437">
        <f t="shared" si="10"/>
        <v>0</v>
      </c>
      <c r="AB35" s="316">
        <f>LET(numVmwShares,D35, stockRatio,Reference!$B$5, vmwToAvgoRatio,Reference!$B$6, numVmwShares * stockRatio * vmwToAvgoRatio)</f>
        <v>0</v>
      </c>
      <c r="AC35" s="316">
        <f>LET(numVmwShares,D35, stockRatio,Q35, vmwToAvgoRatio,Reference!$B$6, numVmwShares * stockRatio * vmwToAvgoRatio)</f>
        <v>0</v>
      </c>
      <c r="AD35" s="316" t="str">
        <f>LET(numVmwShares,D35, stockRatio,R35, vmwToAvgoRatio,Reference!$B$6, numVmwShares * stockRatio * vmwToAvgoRatio)</f>
        <v>#DIV/0!</v>
      </c>
      <c r="AE35" s="316">
        <f>SWITCH(Reference!$E$4, "eTradeTransactionLog", AB35, "eTradeHoldingRatio",AB35, "eTradeLotQtyRatio",AC35,"manualLotRatio",AD35)</f>
        <v>0</v>
      </c>
      <c r="AF35" s="317">
        <f>LET(numVmwShares,D35, vmwBasis,Z35, avgoQty,AE35, avgoFMV,Reference!$B$18, cashReceived,W35, gain,cashReceived+(avgoQty*avgoFMV)-(numVmwShares*vmwBasis),
MAX(gain,0))</f>
        <v>0</v>
      </c>
      <c r="AG35" s="318">
        <f>LET(useForFraction,J35, fractionAmount,Summary!$C$41, esppFractionLots,ESPP!$N$5, rsuFractionLots,RSU!J$5, IF(useForFraction, fractionAmount / (esppFractionLots+rsuFractionLots), 0))</f>
        <v>0</v>
      </c>
      <c r="AH35" s="438">
        <f>LET(useForFraction,J35, fractionSaleFMV,Reference!$B$23, postMergerBasis,AT35, lotFractionAmount,AG35, IF(useForFraction, (fractionSaleFMV - postMergerBasis)*lotFractionAmount, 0))</f>
        <v>0</v>
      </c>
      <c r="AI35" s="439">
        <f t="shared" si="11"/>
        <v>0</v>
      </c>
      <c r="AJ35" s="440">
        <f>LET(
purchaseDate,C35,
mergerDate,Reference!$B$28,
lotFractionGain,AH35,
mergerGain,AI35,
IF(DATEDIF(purchaseDate,mergerDate,"Y")&gt;=1,
  0,
  lotFractionGain + mergerGain
))</f>
        <v>0</v>
      </c>
      <c r="AK35" s="440">
        <f>LET(
purchaseDate,C35,
mergerDate,Reference!$B$28,
lotFractionGain,AH35,
mergerGain,AI35,
IF(DATEDIF(purchaseDate,mergerDate,"Y")&gt;=1,
  lotFractionGain+mergerGain,
  0
))</f>
        <v>0</v>
      </c>
      <c r="AL35" s="441" t="str">
        <f>IF(DATEDIF(C35,Reference!$B$28,"Y")&gt;=1,"Part II Box E","Part I Box B")</f>
        <v>Part II Box E</v>
      </c>
      <c r="AM35" s="336">
        <f t="shared" si="12"/>
        <v>43435</v>
      </c>
      <c r="AN35" s="337">
        <f t="shared" si="13"/>
        <v>0</v>
      </c>
      <c r="AO35" s="337">
        <f>LET(
cashReceived,W35, 
avgoQty,AE35, 
proceedsStyle,Reference!$E$9, 
avgoFMV,Reference!$B$18, 
SWITCH(proceedsStyle, "combined", cashReceived +(avgoQty*avgoFMV), "cashOnly", cashReceived))</f>
        <v>0</v>
      </c>
      <c r="AP35" s="338">
        <f>LET(
numVmwShares,D35, 
vmwBasis, Z35, 
avgoQty,AE35, 
avgoFMV,Reference!$B$18, 
cashReceived,W35, 
avgoTotalValue, avgoFMV*avgoQty, 
vmwTotalBasis, vmwBasis*numVmwShares,
alternateGainAmount,AF35, 
IF(cashReceived&lt;alternateGainAmount,
  avgoTotalValue,
  vmwTotalBasis
))</f>
        <v>0</v>
      </c>
      <c r="AQ35" s="338" t="str">
        <f t="shared" si="14"/>
        <v/>
      </c>
      <c r="AR35" s="338">
        <v>0.0</v>
      </c>
      <c r="AS35" s="339">
        <f t="shared" si="15"/>
        <v>0</v>
      </c>
      <c r="AT35" s="442" t="str">
        <f t="shared" si="16"/>
        <v>n/a</v>
      </c>
      <c r="AU35" s="328">
        <f>LET(saleFMV,Reference!$B$10, postMergerBasis,AT35, avgoQty,AE35, lotFractionAmount,AG35, iferror((saleFMV - postMergerBasis) * (avgoQty - lotFractionAmount), 0))</f>
        <v>0</v>
      </c>
      <c r="AV35" s="328">
        <f>LET(
avgoQty,AE36, 
purchaseDate,C36,
postMergerSaleDate,Reference!$B$29,
saleFMV,Reference!$B$10,
postMergerBasis,AT36, 
IFERROR(IF(DATEDIF(purchaseDate,postMergerSaleDate,"Y")&gt;=1,
  0,
  avgoQty * (saleFMV - postMergerBasis)
),0))</f>
        <v>0</v>
      </c>
      <c r="AW35" s="331">
        <f>LET(
avgoQty,AE35, 
purchaseDate,C35,
postMergerSaleDate,Reference!$B$29,
saleFMV,Reference!$B$10,
postMergerBasis,AT35, 
IFERROR(IF(DATEDIF(purchaseDate,postMergerSaleDate,"Y")&gt;=1,
  avgoQty * (saleFMV - postMergerBasis),
  0
),0))</f>
        <v>0</v>
      </c>
    </row>
    <row r="36">
      <c r="A36" s="431" t="s">
        <v>226</v>
      </c>
      <c r="B36" s="432">
        <v>43462.0</v>
      </c>
      <c r="C36" s="301">
        <v>43475.0</v>
      </c>
      <c r="D36" s="332"/>
      <c r="E36" s="433">
        <v>148.88</v>
      </c>
      <c r="F36" s="443"/>
      <c r="G36" s="305">
        <f t="shared" si="6"/>
        <v>0</v>
      </c>
      <c r="H36" s="317">
        <f t="shared" si="7"/>
        <v>0</v>
      </c>
      <c r="I36" s="444"/>
      <c r="J36" s="342" t="b">
        <v>0</v>
      </c>
      <c r="K36" s="436"/>
      <c r="L36" s="311">
        <v>0.0</v>
      </c>
      <c r="M36" s="311">
        <v>0.0</v>
      </c>
      <c r="N36" s="311">
        <v>0.0</v>
      </c>
      <c r="O36" s="311">
        <v>0.0</v>
      </c>
      <c r="P36" s="311">
        <v>0.0</v>
      </c>
      <c r="Q36" s="313">
        <f t="shared" si="8"/>
        <v>0</v>
      </c>
      <c r="R36" s="313" t="str">
        <f>SWITCH(S36,"cash",Reference!E$5,"shares",Reference!$E$6,"balance",Reference!$E$7,"pro-rata",Reference!$B$5)</f>
        <v>#DIV/0!</v>
      </c>
      <c r="S36" s="314" t="s">
        <v>205</v>
      </c>
      <c r="T36" s="315">
        <f>LET(numVmwShares,D36, cashRatio,Reference!$B$4, vmwFinalPrice,Reference!$B$3, numVmwShares * cashRatio * vmwFinalPrice)</f>
        <v>0</v>
      </c>
      <c r="U36" s="315">
        <f>iferror(LET(numVmwShares,$D36, stockRatio,Q36, vmwFinalPrice,Reference!$B$3, (1 - stockRatio) * vmwFinalPrice * numVmwShares),0)</f>
        <v>0</v>
      </c>
      <c r="V36" s="315">
        <f>iferror(LET(numVmwShares,$D36, stockRatio,R36, vmwFinalPrice,Reference!$B$3, (1 - stockRatio) * vmwFinalPrice * numVmwShares),0)</f>
        <v>0</v>
      </c>
      <c r="W36" s="315">
        <f>SWITCH(Reference!$E$4,"eTradeTransactionLog", T36, "eTradeHoldingRatio",T36, "eTradeLotQtyRatio",U36,"manualLotRatio",V36)</f>
        <v>0</v>
      </c>
      <c r="X36" s="305">
        <f>LET(purchaseDate,C36, dateOfRecord,Reference!$B$26, returnOfCapital,Reference!$C$26, IF(purchaseDate &lt; dateOfRecord, returnOfCapital,0))</f>
        <v>0</v>
      </c>
      <c r="Y36" s="305">
        <f>LET(purchaseDate,C36, dateOfRecord,Reference!$B$27, returnOfCapital,Reference!$C$27, IF(purchaseDate &lt; dateOfRecord, returnOfCapital,0))</f>
        <v>16.58</v>
      </c>
      <c r="Z36" s="305">
        <f t="shared" si="9"/>
        <v>132.3</v>
      </c>
      <c r="AA36" s="437">
        <f t="shared" si="10"/>
        <v>0</v>
      </c>
      <c r="AB36" s="316">
        <f>LET(numVmwShares,D36, stockRatio,Reference!$B$5, vmwToAvgoRatio,Reference!$B$6, numVmwShares * stockRatio * vmwToAvgoRatio)</f>
        <v>0</v>
      </c>
      <c r="AC36" s="316">
        <f>LET(numVmwShares,D36, stockRatio,Q36, vmwToAvgoRatio,Reference!$B$6, numVmwShares * stockRatio * vmwToAvgoRatio)</f>
        <v>0</v>
      </c>
      <c r="AD36" s="316" t="str">
        <f>LET(numVmwShares,D36, stockRatio,R36, vmwToAvgoRatio,Reference!$B$6, numVmwShares * stockRatio * vmwToAvgoRatio)</f>
        <v>#DIV/0!</v>
      </c>
      <c r="AE36" s="316">
        <f>SWITCH(Reference!$E$4, "eTradeTransactionLog", AB36, "eTradeHoldingRatio",AB36, "eTradeLotQtyRatio",AC36,"manualLotRatio",AD36)</f>
        <v>0</v>
      </c>
      <c r="AF36" s="317">
        <f>LET(numVmwShares,D36, vmwBasis,Z36, avgoQty,AE36, avgoFMV,Reference!$B$18, cashReceived,W36, gain,cashReceived+(avgoQty*avgoFMV)-(numVmwShares*vmwBasis),
MAX(gain,0))</f>
        <v>0</v>
      </c>
      <c r="AG36" s="318">
        <f>LET(useForFraction,J36, fractionAmount,Summary!$C$41, esppFractionLots,ESPP!$N$5, rsuFractionLots,RSU!J$5, IF(useForFraction, fractionAmount / (esppFractionLots+rsuFractionLots), 0))</f>
        <v>0</v>
      </c>
      <c r="AH36" s="438">
        <f>LET(useForFraction,J36, fractionSaleFMV,Reference!$B$23, postMergerBasis,AT36, lotFractionAmount,AG36, IF(useForFraction, (fractionSaleFMV - postMergerBasis)*lotFractionAmount, 0))</f>
        <v>0</v>
      </c>
      <c r="AI36" s="439">
        <f t="shared" si="11"/>
        <v>0</v>
      </c>
      <c r="AJ36" s="440">
        <f>LET(
purchaseDate,C36,
mergerDate,Reference!$B$28,
lotFractionGain,AH36,
mergerGain,AI36,
IF(DATEDIF(purchaseDate,mergerDate,"Y")&gt;=1,
  0,
  lotFractionGain + mergerGain
))</f>
        <v>0</v>
      </c>
      <c r="AK36" s="440">
        <f>LET(
purchaseDate,C36,
mergerDate,Reference!$B$28,
lotFractionGain,AH36,
mergerGain,AI36,
IF(DATEDIF(purchaseDate,mergerDate,"Y")&gt;=1,
  lotFractionGain+mergerGain,
  0
))</f>
        <v>0</v>
      </c>
      <c r="AL36" s="441" t="str">
        <f>IF(DATEDIF(C36,Reference!$B$28,"Y")&gt;=1,"Part II Box E","Part I Box B")</f>
        <v>Part II Box E</v>
      </c>
      <c r="AM36" s="336">
        <f t="shared" si="12"/>
        <v>43475</v>
      </c>
      <c r="AN36" s="337">
        <f t="shared" si="13"/>
        <v>0</v>
      </c>
      <c r="AO36" s="337">
        <f>LET(
cashReceived,W36, 
avgoQty,AE36, 
proceedsStyle,Reference!$E$9, 
avgoFMV,Reference!$B$18, 
SWITCH(proceedsStyle, "combined", cashReceived +(avgoQty*avgoFMV), "cashOnly", cashReceived))</f>
        <v>0</v>
      </c>
      <c r="AP36" s="338">
        <f>LET(
numVmwShares,D36, 
vmwBasis, Z36, 
avgoQty,AE36, 
avgoFMV,Reference!$B$18, 
cashReceived,W36, 
avgoTotalValue, avgoFMV*avgoQty, 
vmwTotalBasis, vmwBasis*numVmwShares,
alternateGainAmount,AF36, 
IF(cashReceived&lt;alternateGainAmount,
  avgoTotalValue,
  vmwTotalBasis
))</f>
        <v>0</v>
      </c>
      <c r="AQ36" s="338" t="str">
        <f t="shared" si="14"/>
        <v/>
      </c>
      <c r="AR36" s="338">
        <v>0.0</v>
      </c>
      <c r="AS36" s="339">
        <f t="shared" si="15"/>
        <v>0</v>
      </c>
      <c r="AT36" s="442" t="str">
        <f t="shared" si="16"/>
        <v>n/a</v>
      </c>
      <c r="AU36" s="328">
        <f>LET(saleFMV,Reference!$B$10, postMergerBasis,AT36, avgoQty,AE36, lotFractionAmount,AG36, iferror((saleFMV - postMergerBasis) * (avgoQty - lotFractionAmount), 0))</f>
        <v>0</v>
      </c>
      <c r="AV36" s="328">
        <f>LET(
avgoQty,AE37, 
purchaseDate,C37,
postMergerSaleDate,Reference!$B$29,
saleFMV,Reference!$B$10,
postMergerBasis,AT37, 
IFERROR(IF(DATEDIF(purchaseDate,postMergerSaleDate,"Y")&gt;=1,
  0,
  avgoQty * (saleFMV - postMergerBasis)
),0))</f>
        <v>0</v>
      </c>
      <c r="AW36" s="331">
        <f>LET(
avgoQty,AE36, 
purchaseDate,C36,
postMergerSaleDate,Reference!$B$29,
saleFMV,Reference!$B$10,
postMergerBasis,AT36, 
IFERROR(IF(DATEDIF(purchaseDate,postMergerSaleDate,"Y")&gt;=1,
  avgoQty * (saleFMV - postMergerBasis),
  0
),0))</f>
        <v>0</v>
      </c>
    </row>
    <row r="37">
      <c r="A37" s="431" t="s">
        <v>227</v>
      </c>
      <c r="B37" s="432">
        <v>43462.0</v>
      </c>
      <c r="C37" s="301">
        <v>43586.0</v>
      </c>
      <c r="D37" s="332"/>
      <c r="E37" s="433">
        <v>202.46</v>
      </c>
      <c r="F37" s="443"/>
      <c r="G37" s="305">
        <f t="shared" si="6"/>
        <v>0</v>
      </c>
      <c r="H37" s="317">
        <f t="shared" si="7"/>
        <v>0</v>
      </c>
      <c r="I37" s="444"/>
      <c r="J37" s="342" t="b">
        <v>0</v>
      </c>
      <c r="K37" s="436"/>
      <c r="L37" s="311">
        <v>0.0</v>
      </c>
      <c r="M37" s="311">
        <v>0.0</v>
      </c>
      <c r="N37" s="311">
        <v>0.0</v>
      </c>
      <c r="O37" s="311">
        <v>0.0</v>
      </c>
      <c r="P37" s="311">
        <v>0.0</v>
      </c>
      <c r="Q37" s="313">
        <f t="shared" si="8"/>
        <v>0</v>
      </c>
      <c r="R37" s="313" t="str">
        <f>SWITCH(S37,"cash",Reference!E$5,"shares",Reference!$E$6,"balance",Reference!$E$7,"pro-rata",Reference!$B$5)</f>
        <v>#DIV/0!</v>
      </c>
      <c r="S37" s="314" t="s">
        <v>205</v>
      </c>
      <c r="T37" s="315">
        <f>LET(numVmwShares,D37, cashRatio,Reference!$B$4, vmwFinalPrice,Reference!$B$3, numVmwShares * cashRatio * vmwFinalPrice)</f>
        <v>0</v>
      </c>
      <c r="U37" s="315">
        <f>iferror(LET(numVmwShares,$D37, stockRatio,Q37, vmwFinalPrice,Reference!$B$3, (1 - stockRatio) * vmwFinalPrice * numVmwShares),0)</f>
        <v>0</v>
      </c>
      <c r="V37" s="315">
        <f>iferror(LET(numVmwShares,$D37, stockRatio,R37, vmwFinalPrice,Reference!$B$3, (1 - stockRatio) * vmwFinalPrice * numVmwShares),0)</f>
        <v>0</v>
      </c>
      <c r="W37" s="315">
        <f>SWITCH(Reference!$E$4,"eTradeTransactionLog", T37, "eTradeHoldingRatio",T37, "eTradeLotQtyRatio",U37,"manualLotRatio",V37)</f>
        <v>0</v>
      </c>
      <c r="X37" s="305">
        <f>LET(purchaseDate,C37, dateOfRecord,Reference!$B$26, returnOfCapital,Reference!$C$26, IF(purchaseDate &lt; dateOfRecord, returnOfCapital,0))</f>
        <v>0</v>
      </c>
      <c r="Y37" s="305">
        <f>LET(purchaseDate,C37, dateOfRecord,Reference!$B$27, returnOfCapital,Reference!$C$27, IF(purchaseDate &lt; dateOfRecord, returnOfCapital,0))</f>
        <v>16.58</v>
      </c>
      <c r="Z37" s="305">
        <f t="shared" si="9"/>
        <v>185.88</v>
      </c>
      <c r="AA37" s="437">
        <f t="shared" si="10"/>
        <v>0</v>
      </c>
      <c r="AB37" s="316">
        <f>LET(numVmwShares,D37, stockRatio,Reference!$B$5, vmwToAvgoRatio,Reference!$B$6, numVmwShares * stockRatio * vmwToAvgoRatio)</f>
        <v>0</v>
      </c>
      <c r="AC37" s="316">
        <f>LET(numVmwShares,D37, stockRatio,Q37, vmwToAvgoRatio,Reference!$B$6, numVmwShares * stockRatio * vmwToAvgoRatio)</f>
        <v>0</v>
      </c>
      <c r="AD37" s="316" t="str">
        <f>LET(numVmwShares,D37, stockRatio,R37, vmwToAvgoRatio,Reference!$B$6, numVmwShares * stockRatio * vmwToAvgoRatio)</f>
        <v>#DIV/0!</v>
      </c>
      <c r="AE37" s="316">
        <f>SWITCH(Reference!$E$4, "eTradeTransactionLog", AB37, "eTradeHoldingRatio",AB37, "eTradeLotQtyRatio",AC37,"manualLotRatio",AD37)</f>
        <v>0</v>
      </c>
      <c r="AF37" s="317">
        <f>LET(numVmwShares,D37, vmwBasis,Z37, avgoQty,AE37, avgoFMV,Reference!$B$18, cashReceived,W37, gain,cashReceived+(avgoQty*avgoFMV)-(numVmwShares*vmwBasis),
MAX(gain,0))</f>
        <v>0</v>
      </c>
      <c r="AG37" s="318">
        <f>LET(useForFraction,J37, fractionAmount,Summary!$C$41, esppFractionLots,ESPP!$N$5, rsuFractionLots,RSU!J$5, IF(useForFraction, fractionAmount / (esppFractionLots+rsuFractionLots), 0))</f>
        <v>0</v>
      </c>
      <c r="AH37" s="438">
        <f>LET(useForFraction,J37, fractionSaleFMV,Reference!$B$23, postMergerBasis,AT37, lotFractionAmount,AG37, IF(useForFraction, (fractionSaleFMV - postMergerBasis)*lotFractionAmount, 0))</f>
        <v>0</v>
      </c>
      <c r="AI37" s="439">
        <f t="shared" si="11"/>
        <v>0</v>
      </c>
      <c r="AJ37" s="440">
        <f>LET(
purchaseDate,C37,
mergerDate,Reference!$B$28,
lotFractionGain,AH37,
mergerGain,AI37,
IF(DATEDIF(purchaseDate,mergerDate,"Y")&gt;=1,
  0,
  lotFractionGain + mergerGain
))</f>
        <v>0</v>
      </c>
      <c r="AK37" s="440">
        <f>LET(
purchaseDate,C37,
mergerDate,Reference!$B$28,
lotFractionGain,AH37,
mergerGain,AI37,
IF(DATEDIF(purchaseDate,mergerDate,"Y")&gt;=1,
  lotFractionGain+mergerGain,
  0
))</f>
        <v>0</v>
      </c>
      <c r="AL37" s="441" t="str">
        <f>IF(DATEDIF(C37,Reference!$B$28,"Y")&gt;=1,"Part II Box E","Part I Box B")</f>
        <v>Part II Box E</v>
      </c>
      <c r="AM37" s="336">
        <f t="shared" si="12"/>
        <v>43586</v>
      </c>
      <c r="AN37" s="337">
        <f t="shared" si="13"/>
        <v>0</v>
      </c>
      <c r="AO37" s="337">
        <f>LET(
cashReceived,W37, 
avgoQty,AE37, 
proceedsStyle,Reference!$E$9, 
avgoFMV,Reference!$B$18, 
SWITCH(proceedsStyle, "combined", cashReceived +(avgoQty*avgoFMV), "cashOnly", cashReceived))</f>
        <v>0</v>
      </c>
      <c r="AP37" s="338">
        <f>LET(
numVmwShares,D37, 
vmwBasis, Z37, 
avgoQty,AE37, 
avgoFMV,Reference!$B$18, 
cashReceived,W37, 
avgoTotalValue, avgoFMV*avgoQty, 
vmwTotalBasis, vmwBasis*numVmwShares,
alternateGainAmount,AF37, 
IF(cashReceived&lt;alternateGainAmount,
  avgoTotalValue,
  vmwTotalBasis
))</f>
        <v>0</v>
      </c>
      <c r="AQ37" s="338" t="str">
        <f t="shared" si="14"/>
        <v/>
      </c>
      <c r="AR37" s="338">
        <v>0.0</v>
      </c>
      <c r="AS37" s="339">
        <f t="shared" si="15"/>
        <v>0</v>
      </c>
      <c r="AT37" s="442" t="str">
        <f t="shared" si="16"/>
        <v>n/a</v>
      </c>
      <c r="AU37" s="328">
        <f>LET(saleFMV,Reference!$B$10, postMergerBasis,AT37, avgoQty,AE37, lotFractionAmount,AG37, iferror((saleFMV - postMergerBasis) * (avgoQty - lotFractionAmount), 0))</f>
        <v>0</v>
      </c>
      <c r="AV37" s="328">
        <f>LET(
avgoQty,AE38, 
purchaseDate,C38,
postMergerSaleDate,Reference!$B$29,
saleFMV,Reference!$B$10,
postMergerBasis,AT38, 
IFERROR(IF(DATEDIF(purchaseDate,postMergerSaleDate,"Y")&gt;=1,
  0,
  avgoQty * (saleFMV - postMergerBasis)
),0))</f>
        <v>0</v>
      </c>
      <c r="AW37" s="331">
        <f>LET(
avgoQty,AE37, 
purchaseDate,C37,
postMergerSaleDate,Reference!$B$29,
saleFMV,Reference!$B$10,
postMergerBasis,AT37, 
IFERROR(IF(DATEDIF(purchaseDate,postMergerSaleDate,"Y")&gt;=1,
  avgoQty * (saleFMV - postMergerBasis),
  0
),0))</f>
        <v>0</v>
      </c>
    </row>
    <row r="38">
      <c r="A38" s="431" t="s">
        <v>228</v>
      </c>
      <c r="B38" s="432">
        <v>43462.0</v>
      </c>
      <c r="C38" s="301">
        <v>43586.0</v>
      </c>
      <c r="D38" s="332"/>
      <c r="E38" s="433">
        <v>202.46</v>
      </c>
      <c r="F38" s="443"/>
      <c r="G38" s="305">
        <f t="shared" si="6"/>
        <v>0</v>
      </c>
      <c r="H38" s="317">
        <f t="shared" si="7"/>
        <v>0</v>
      </c>
      <c r="I38" s="444"/>
      <c r="J38" s="342" t="b">
        <v>0</v>
      </c>
      <c r="K38" s="436"/>
      <c r="L38" s="311">
        <v>0.0</v>
      </c>
      <c r="M38" s="311">
        <v>0.0</v>
      </c>
      <c r="N38" s="311">
        <v>0.0</v>
      </c>
      <c r="O38" s="311">
        <v>0.0</v>
      </c>
      <c r="P38" s="311">
        <v>0.0</v>
      </c>
      <c r="Q38" s="313">
        <f t="shared" si="8"/>
        <v>0</v>
      </c>
      <c r="R38" s="313" t="str">
        <f>SWITCH(S38,"cash",Reference!E$5,"shares",Reference!$E$6,"balance",Reference!$E$7,"pro-rata",Reference!$B$5)</f>
        <v>#DIV/0!</v>
      </c>
      <c r="S38" s="314" t="s">
        <v>205</v>
      </c>
      <c r="T38" s="315">
        <f>LET(numVmwShares,D38, cashRatio,Reference!$B$4, vmwFinalPrice,Reference!$B$3, numVmwShares * cashRatio * vmwFinalPrice)</f>
        <v>0</v>
      </c>
      <c r="U38" s="315">
        <f>iferror(LET(numVmwShares,$D38, stockRatio,Q38, vmwFinalPrice,Reference!$B$3, (1 - stockRatio) * vmwFinalPrice * numVmwShares),0)</f>
        <v>0</v>
      </c>
      <c r="V38" s="315">
        <f>iferror(LET(numVmwShares,$D38, stockRatio,R38, vmwFinalPrice,Reference!$B$3, (1 - stockRatio) * vmwFinalPrice * numVmwShares),0)</f>
        <v>0</v>
      </c>
      <c r="W38" s="315">
        <f>SWITCH(Reference!$E$4,"eTradeTransactionLog", T38, "eTradeHoldingRatio",T38, "eTradeLotQtyRatio",U38,"manualLotRatio",V38)</f>
        <v>0</v>
      </c>
      <c r="X38" s="305">
        <f>LET(purchaseDate,C38, dateOfRecord,Reference!$B$26, returnOfCapital,Reference!$C$26, IF(purchaseDate &lt; dateOfRecord, returnOfCapital,0))</f>
        <v>0</v>
      </c>
      <c r="Y38" s="305">
        <f>LET(purchaseDate,C38, dateOfRecord,Reference!$B$27, returnOfCapital,Reference!$C$27, IF(purchaseDate &lt; dateOfRecord, returnOfCapital,0))</f>
        <v>16.58</v>
      </c>
      <c r="Z38" s="305">
        <f t="shared" si="9"/>
        <v>185.88</v>
      </c>
      <c r="AA38" s="437">
        <f t="shared" si="10"/>
        <v>0</v>
      </c>
      <c r="AB38" s="316">
        <f>LET(numVmwShares,D38, stockRatio,Reference!$B$5, vmwToAvgoRatio,Reference!$B$6, numVmwShares * stockRatio * vmwToAvgoRatio)</f>
        <v>0</v>
      </c>
      <c r="AC38" s="316">
        <f>LET(numVmwShares,D38, stockRatio,Q38, vmwToAvgoRatio,Reference!$B$6, numVmwShares * stockRatio * vmwToAvgoRatio)</f>
        <v>0</v>
      </c>
      <c r="AD38" s="316" t="str">
        <f>LET(numVmwShares,D38, stockRatio,R38, vmwToAvgoRatio,Reference!$B$6, numVmwShares * stockRatio * vmwToAvgoRatio)</f>
        <v>#DIV/0!</v>
      </c>
      <c r="AE38" s="316">
        <f>SWITCH(Reference!$E$4, "eTradeTransactionLog", AB38, "eTradeHoldingRatio",AB38, "eTradeLotQtyRatio",AC38,"manualLotRatio",AD38)</f>
        <v>0</v>
      </c>
      <c r="AF38" s="317">
        <f>LET(numVmwShares,D38, vmwBasis,Z38, avgoQty,AE38, avgoFMV,Reference!$B$18, cashReceived,W38, gain,cashReceived+(avgoQty*avgoFMV)-(numVmwShares*vmwBasis),
MAX(gain,0))</f>
        <v>0</v>
      </c>
      <c r="AG38" s="318">
        <f>LET(useForFraction,J38, fractionAmount,Summary!$C$41, esppFractionLots,ESPP!$N$5, rsuFractionLots,RSU!J$5, IF(useForFraction, fractionAmount / (esppFractionLots+rsuFractionLots), 0))</f>
        <v>0</v>
      </c>
      <c r="AH38" s="438">
        <f>LET(useForFraction,J38, fractionSaleFMV,Reference!$B$23, postMergerBasis,AT38, lotFractionAmount,AG38, IF(useForFraction, (fractionSaleFMV - postMergerBasis)*lotFractionAmount, 0))</f>
        <v>0</v>
      </c>
      <c r="AI38" s="439">
        <f t="shared" si="11"/>
        <v>0</v>
      </c>
      <c r="AJ38" s="440">
        <f>LET(
purchaseDate,C38,
mergerDate,Reference!$B$28,
lotFractionGain,AH38,
mergerGain,AI38,
IF(DATEDIF(purchaseDate,mergerDate,"Y")&gt;=1,
  0,
  lotFractionGain + mergerGain
))</f>
        <v>0</v>
      </c>
      <c r="AK38" s="440">
        <f>LET(
purchaseDate,C38,
mergerDate,Reference!$B$28,
lotFractionGain,AH38,
mergerGain,AI38,
IF(DATEDIF(purchaseDate,mergerDate,"Y")&gt;=1,
  lotFractionGain+mergerGain,
  0
))</f>
        <v>0</v>
      </c>
      <c r="AL38" s="441" t="str">
        <f>IF(DATEDIF(C38,Reference!$B$28,"Y")&gt;=1,"Part II Box E","Part I Box B")</f>
        <v>Part II Box E</v>
      </c>
      <c r="AM38" s="336">
        <f t="shared" si="12"/>
        <v>43586</v>
      </c>
      <c r="AN38" s="337">
        <f t="shared" si="13"/>
        <v>0</v>
      </c>
      <c r="AO38" s="337">
        <f>LET(
cashReceived,W38, 
avgoQty,AE38, 
proceedsStyle,Reference!$E$9, 
avgoFMV,Reference!$B$18, 
SWITCH(proceedsStyle, "combined", cashReceived +(avgoQty*avgoFMV), "cashOnly", cashReceived))</f>
        <v>0</v>
      </c>
      <c r="AP38" s="338">
        <f>LET(
numVmwShares,D38, 
vmwBasis, Z38, 
avgoQty,AE38, 
avgoFMV,Reference!$B$18, 
cashReceived,W38, 
avgoTotalValue, avgoFMV*avgoQty, 
vmwTotalBasis, vmwBasis*numVmwShares,
alternateGainAmount,AF38, 
IF(cashReceived&lt;alternateGainAmount,
  avgoTotalValue,
  vmwTotalBasis
))</f>
        <v>0</v>
      </c>
      <c r="AQ38" s="338" t="str">
        <f t="shared" si="14"/>
        <v/>
      </c>
      <c r="AR38" s="338">
        <v>0.0</v>
      </c>
      <c r="AS38" s="339">
        <f t="shared" si="15"/>
        <v>0</v>
      </c>
      <c r="AT38" s="442" t="str">
        <f t="shared" si="16"/>
        <v>n/a</v>
      </c>
      <c r="AU38" s="328">
        <f>LET(saleFMV,Reference!$B$10, postMergerBasis,AT38, avgoQty,AE38, lotFractionAmount,AG38, iferror((saleFMV - postMergerBasis) * (avgoQty - lotFractionAmount), 0))</f>
        <v>0</v>
      </c>
      <c r="AV38" s="328">
        <f>LET(
avgoQty,AE39, 
purchaseDate,C39,
postMergerSaleDate,Reference!$B$29,
saleFMV,Reference!$B$10,
postMergerBasis,AT39, 
IFERROR(IF(DATEDIF(purchaseDate,postMergerSaleDate,"Y")&gt;=1,
  0,
  avgoQty * (saleFMV - postMergerBasis)
),0))</f>
        <v>0</v>
      </c>
      <c r="AW38" s="331">
        <f>LET(
avgoQty,AE38, 
purchaseDate,C38,
postMergerSaleDate,Reference!$B$29,
saleFMV,Reference!$B$10,
postMergerBasis,AT38, 
IFERROR(IF(DATEDIF(purchaseDate,postMergerSaleDate,"Y")&gt;=1,
  avgoQty * (saleFMV - postMergerBasis),
  0
),0))</f>
        <v>0</v>
      </c>
    </row>
    <row r="39">
      <c r="A39" s="431" t="s">
        <v>229</v>
      </c>
      <c r="B39" s="432">
        <v>43462.0</v>
      </c>
      <c r="C39" s="301">
        <v>43617.0</v>
      </c>
      <c r="D39" s="332"/>
      <c r="E39" s="433">
        <v>176.98</v>
      </c>
      <c r="F39" s="443"/>
      <c r="G39" s="305">
        <f t="shared" si="6"/>
        <v>0</v>
      </c>
      <c r="H39" s="317">
        <f t="shared" si="7"/>
        <v>0</v>
      </c>
      <c r="I39" s="446"/>
      <c r="J39" s="342" t="b">
        <v>0</v>
      </c>
      <c r="K39" s="436"/>
      <c r="L39" s="311">
        <v>0.0</v>
      </c>
      <c r="M39" s="311">
        <v>0.0</v>
      </c>
      <c r="N39" s="311">
        <v>0.0</v>
      </c>
      <c r="O39" s="311">
        <v>0.0</v>
      </c>
      <c r="P39" s="311">
        <v>0.0</v>
      </c>
      <c r="Q39" s="313">
        <f t="shared" si="8"/>
        <v>0</v>
      </c>
      <c r="R39" s="313" t="str">
        <f>SWITCH(S39,"cash",Reference!E$5,"shares",Reference!$E$6,"balance",Reference!$E$7,"pro-rata",Reference!$B$5)</f>
        <v>#DIV/0!</v>
      </c>
      <c r="S39" s="314" t="s">
        <v>205</v>
      </c>
      <c r="T39" s="315">
        <f>LET(numVmwShares,D39, cashRatio,Reference!$B$4, vmwFinalPrice,Reference!$B$3, numVmwShares * cashRatio * vmwFinalPrice)</f>
        <v>0</v>
      </c>
      <c r="U39" s="315">
        <f>iferror(LET(numVmwShares,$D39, stockRatio,Q39, vmwFinalPrice,Reference!$B$3, (1 - stockRatio) * vmwFinalPrice * numVmwShares),0)</f>
        <v>0</v>
      </c>
      <c r="V39" s="315">
        <f>iferror(LET(numVmwShares,$D39, stockRatio,R39, vmwFinalPrice,Reference!$B$3, (1 - stockRatio) * vmwFinalPrice * numVmwShares),0)</f>
        <v>0</v>
      </c>
      <c r="W39" s="315">
        <f>SWITCH(Reference!$E$4,"eTradeTransactionLog", T39, "eTradeHoldingRatio",T39, "eTradeLotQtyRatio",U39,"manualLotRatio",V39)</f>
        <v>0</v>
      </c>
      <c r="X39" s="305">
        <f>LET(purchaseDate,C39, dateOfRecord,Reference!$B$26, returnOfCapital,Reference!$C$26, IF(purchaseDate &lt; dateOfRecord, returnOfCapital,0))</f>
        <v>0</v>
      </c>
      <c r="Y39" s="305">
        <f>LET(purchaseDate,C39, dateOfRecord,Reference!$B$27, returnOfCapital,Reference!$C$27, IF(purchaseDate &lt; dateOfRecord, returnOfCapital,0))</f>
        <v>16.58</v>
      </c>
      <c r="Z39" s="305">
        <f t="shared" si="9"/>
        <v>160.4</v>
      </c>
      <c r="AA39" s="437">
        <f t="shared" si="10"/>
        <v>0</v>
      </c>
      <c r="AB39" s="316">
        <f>LET(numVmwShares,D39, stockRatio,Reference!$B$5, vmwToAvgoRatio,Reference!$B$6, numVmwShares * stockRatio * vmwToAvgoRatio)</f>
        <v>0</v>
      </c>
      <c r="AC39" s="316">
        <f>LET(numVmwShares,D39, stockRatio,Q39, vmwToAvgoRatio,Reference!$B$6, numVmwShares * stockRatio * vmwToAvgoRatio)</f>
        <v>0</v>
      </c>
      <c r="AD39" s="316" t="str">
        <f>LET(numVmwShares,D39, stockRatio,R39, vmwToAvgoRatio,Reference!$B$6, numVmwShares * stockRatio * vmwToAvgoRatio)</f>
        <v>#DIV/0!</v>
      </c>
      <c r="AE39" s="316">
        <f>SWITCH(Reference!$E$4, "eTradeTransactionLog", AB39, "eTradeHoldingRatio",AB39, "eTradeLotQtyRatio",AC39,"manualLotRatio",AD39)</f>
        <v>0</v>
      </c>
      <c r="AF39" s="317">
        <f>LET(numVmwShares,D39, vmwBasis,Z39, avgoQty,AE39, avgoFMV,Reference!$B$18, cashReceived,W39, gain,cashReceived+(avgoQty*avgoFMV)-(numVmwShares*vmwBasis),
MAX(gain,0))</f>
        <v>0</v>
      </c>
      <c r="AG39" s="318">
        <f>LET(useForFraction,J39, fractionAmount,Summary!$C$41, esppFractionLots,ESPP!$N$5, rsuFractionLots,RSU!J$5, IF(useForFraction, fractionAmount / (esppFractionLots+rsuFractionLots), 0))</f>
        <v>0</v>
      </c>
      <c r="AH39" s="438">
        <f>LET(useForFraction,J39, fractionSaleFMV,Reference!$B$23, postMergerBasis,AT39, lotFractionAmount,AG39, IF(useForFraction, (fractionSaleFMV - postMergerBasis)*lotFractionAmount, 0))</f>
        <v>0</v>
      </c>
      <c r="AI39" s="439">
        <f t="shared" si="11"/>
        <v>0</v>
      </c>
      <c r="AJ39" s="440">
        <f>LET(
purchaseDate,C39,
mergerDate,Reference!$B$28,
lotFractionGain,AH39,
mergerGain,AI39,
IF(DATEDIF(purchaseDate,mergerDate,"Y")&gt;=1,
  0,
  lotFractionGain + mergerGain
))</f>
        <v>0</v>
      </c>
      <c r="AK39" s="440">
        <f>LET(
purchaseDate,C39,
mergerDate,Reference!$B$28,
lotFractionGain,AH39,
mergerGain,AI39,
IF(DATEDIF(purchaseDate,mergerDate,"Y")&gt;=1,
  lotFractionGain+mergerGain,
  0
))</f>
        <v>0</v>
      </c>
      <c r="AL39" s="441" t="str">
        <f>IF(DATEDIF(C39,Reference!$B$28,"Y")&gt;=1,"Part II Box E","Part I Box B")</f>
        <v>Part II Box E</v>
      </c>
      <c r="AM39" s="336">
        <f t="shared" si="12"/>
        <v>43617</v>
      </c>
      <c r="AN39" s="337">
        <f t="shared" si="13"/>
        <v>0</v>
      </c>
      <c r="AO39" s="337">
        <f>LET(
cashReceived,W39, 
avgoQty,AE39, 
proceedsStyle,Reference!$E$9, 
avgoFMV,Reference!$B$18, 
SWITCH(proceedsStyle, "combined", cashReceived +(avgoQty*avgoFMV), "cashOnly", cashReceived))</f>
        <v>0</v>
      </c>
      <c r="AP39" s="338">
        <f>LET(
numVmwShares,D39, 
vmwBasis, Z39, 
avgoQty,AE39, 
avgoFMV,Reference!$B$18, 
cashReceived,W39, 
avgoTotalValue, avgoFMV*avgoQty, 
vmwTotalBasis, vmwBasis*numVmwShares,
alternateGainAmount,AF39, 
IF(cashReceived&lt;alternateGainAmount,
  avgoTotalValue,
  vmwTotalBasis
))</f>
        <v>0</v>
      </c>
      <c r="AQ39" s="338" t="str">
        <f t="shared" si="14"/>
        <v/>
      </c>
      <c r="AR39" s="338">
        <v>0.0</v>
      </c>
      <c r="AS39" s="339">
        <f t="shared" si="15"/>
        <v>0</v>
      </c>
      <c r="AT39" s="442" t="str">
        <f t="shared" si="16"/>
        <v>n/a</v>
      </c>
      <c r="AU39" s="328">
        <f>LET(saleFMV,Reference!$B$10, postMergerBasis,AT39, avgoQty,AE39, lotFractionAmount,AG39, iferror((saleFMV - postMergerBasis) * (avgoQty - lotFractionAmount), 0))</f>
        <v>0</v>
      </c>
      <c r="AV39" s="328">
        <f>LET(
avgoQty,AE40, 
purchaseDate,C40,
postMergerSaleDate,Reference!$B$29,
saleFMV,Reference!$B$10,
postMergerBasis,AT40, 
IFERROR(IF(DATEDIF(purchaseDate,postMergerSaleDate,"Y")&gt;=1,
  0,
  avgoQty * (saleFMV - postMergerBasis)
),0))</f>
        <v>0</v>
      </c>
      <c r="AW39" s="331">
        <f>LET(
avgoQty,AE39, 
purchaseDate,C39,
postMergerSaleDate,Reference!$B$29,
saleFMV,Reference!$B$10,
postMergerBasis,AT39, 
IFERROR(IF(DATEDIF(purchaseDate,postMergerSaleDate,"Y")&gt;=1,
  avgoQty * (saleFMV - postMergerBasis),
  0
),0))</f>
        <v>0</v>
      </c>
    </row>
    <row r="40">
      <c r="A40" s="431" t="s">
        <v>226</v>
      </c>
      <c r="B40" s="432">
        <v>43462.0</v>
      </c>
      <c r="C40" s="301">
        <v>43647.0</v>
      </c>
      <c r="D40" s="332"/>
      <c r="E40" s="433">
        <v>168.77</v>
      </c>
      <c r="F40" s="443"/>
      <c r="G40" s="305">
        <f t="shared" si="6"/>
        <v>0</v>
      </c>
      <c r="H40" s="317">
        <f t="shared" si="7"/>
        <v>0</v>
      </c>
      <c r="I40" s="444"/>
      <c r="J40" s="342" t="b">
        <v>0</v>
      </c>
      <c r="K40" s="436"/>
      <c r="L40" s="311">
        <v>0.0</v>
      </c>
      <c r="M40" s="311">
        <v>0.0</v>
      </c>
      <c r="N40" s="311">
        <v>0.0</v>
      </c>
      <c r="O40" s="311">
        <v>0.0</v>
      </c>
      <c r="P40" s="311">
        <v>0.0</v>
      </c>
      <c r="Q40" s="313">
        <f t="shared" si="8"/>
        <v>0</v>
      </c>
      <c r="R40" s="313" t="str">
        <f>SWITCH(S40,"cash",Reference!E$5,"shares",Reference!$E$6,"balance",Reference!$E$7,"pro-rata",Reference!$B$5)</f>
        <v>#DIV/0!</v>
      </c>
      <c r="S40" s="314" t="s">
        <v>205</v>
      </c>
      <c r="T40" s="315">
        <f>LET(numVmwShares,D40, cashRatio,Reference!$B$4, vmwFinalPrice,Reference!$B$3, numVmwShares * cashRatio * vmwFinalPrice)</f>
        <v>0</v>
      </c>
      <c r="U40" s="315">
        <f>iferror(LET(numVmwShares,$D40, stockRatio,Q40, vmwFinalPrice,Reference!$B$3, (1 - stockRatio) * vmwFinalPrice * numVmwShares),0)</f>
        <v>0</v>
      </c>
      <c r="V40" s="315">
        <f>iferror(LET(numVmwShares,$D40, stockRatio,R40, vmwFinalPrice,Reference!$B$3, (1 - stockRatio) * vmwFinalPrice * numVmwShares),0)</f>
        <v>0</v>
      </c>
      <c r="W40" s="315">
        <f>SWITCH(Reference!$E$4,"eTradeTransactionLog", T40, "eTradeHoldingRatio",T40, "eTradeLotQtyRatio",U40,"manualLotRatio",V40)</f>
        <v>0</v>
      </c>
      <c r="X40" s="305">
        <f>LET(purchaseDate,C40, dateOfRecord,Reference!$B$26, returnOfCapital,Reference!$C$26, IF(purchaseDate &lt; dateOfRecord, returnOfCapital,0))</f>
        <v>0</v>
      </c>
      <c r="Y40" s="305">
        <f>LET(purchaseDate,C40, dateOfRecord,Reference!$B$27, returnOfCapital,Reference!$C$27, IF(purchaseDate &lt; dateOfRecord, returnOfCapital,0))</f>
        <v>16.58</v>
      </c>
      <c r="Z40" s="305">
        <f t="shared" si="9"/>
        <v>152.19</v>
      </c>
      <c r="AA40" s="437">
        <f t="shared" si="10"/>
        <v>0</v>
      </c>
      <c r="AB40" s="316">
        <f>LET(numVmwShares,D40, stockRatio,Reference!$B$5, vmwToAvgoRatio,Reference!$B$6, numVmwShares * stockRatio * vmwToAvgoRatio)</f>
        <v>0</v>
      </c>
      <c r="AC40" s="316">
        <f>LET(numVmwShares,D40, stockRatio,Q40, vmwToAvgoRatio,Reference!$B$6, numVmwShares * stockRatio * vmwToAvgoRatio)</f>
        <v>0</v>
      </c>
      <c r="AD40" s="316" t="str">
        <f>LET(numVmwShares,D40, stockRatio,R40, vmwToAvgoRatio,Reference!$B$6, numVmwShares * stockRatio * vmwToAvgoRatio)</f>
        <v>#DIV/0!</v>
      </c>
      <c r="AE40" s="316">
        <f>SWITCH(Reference!$E$4, "eTradeTransactionLog", AB40, "eTradeHoldingRatio",AB40, "eTradeLotQtyRatio",AC40,"manualLotRatio",AD40)</f>
        <v>0</v>
      </c>
      <c r="AF40" s="317">
        <f>LET(numVmwShares,D40, vmwBasis,Z40, avgoQty,AE40, avgoFMV,Reference!$B$18, cashReceived,W40, gain,cashReceived+(avgoQty*avgoFMV)-(numVmwShares*vmwBasis),
MAX(gain,0))</f>
        <v>0</v>
      </c>
      <c r="AG40" s="318">
        <f>LET(useForFraction,J40, fractionAmount,Summary!$C$41, esppFractionLots,ESPP!$N$5, rsuFractionLots,RSU!J$5, IF(useForFraction, fractionAmount / (esppFractionLots+rsuFractionLots), 0))</f>
        <v>0</v>
      </c>
      <c r="AH40" s="438">
        <f>LET(useForFraction,J40, fractionSaleFMV,Reference!$B$23, postMergerBasis,AT40, lotFractionAmount,AG40, IF(useForFraction, (fractionSaleFMV - postMergerBasis)*lotFractionAmount, 0))</f>
        <v>0</v>
      </c>
      <c r="AI40" s="439">
        <f t="shared" si="11"/>
        <v>0</v>
      </c>
      <c r="AJ40" s="440">
        <f>LET(
purchaseDate,C40,
mergerDate,Reference!$B$28,
lotFractionGain,AH40,
mergerGain,AI40,
IF(DATEDIF(purchaseDate,mergerDate,"Y")&gt;=1,
  0,
  lotFractionGain + mergerGain
))</f>
        <v>0</v>
      </c>
      <c r="AK40" s="440">
        <f>LET(
purchaseDate,C40,
mergerDate,Reference!$B$28,
lotFractionGain,AH40,
mergerGain,AI40,
IF(DATEDIF(purchaseDate,mergerDate,"Y")&gt;=1,
  lotFractionGain+mergerGain,
  0
))</f>
        <v>0</v>
      </c>
      <c r="AL40" s="441" t="str">
        <f>IF(DATEDIF(C40,Reference!$B$28,"Y")&gt;=1,"Part II Box E","Part I Box B")</f>
        <v>Part II Box E</v>
      </c>
      <c r="AM40" s="336">
        <f t="shared" si="12"/>
        <v>43647</v>
      </c>
      <c r="AN40" s="337">
        <f t="shared" si="13"/>
        <v>0</v>
      </c>
      <c r="AO40" s="337">
        <f>LET(
cashReceived,W40, 
avgoQty,AE40, 
proceedsStyle,Reference!$E$9, 
avgoFMV,Reference!$B$18, 
SWITCH(proceedsStyle, "combined", cashReceived +(avgoQty*avgoFMV), "cashOnly", cashReceived))</f>
        <v>0</v>
      </c>
      <c r="AP40" s="338">
        <f>LET(
numVmwShares,D40, 
vmwBasis, Z40, 
avgoQty,AE40, 
avgoFMV,Reference!$B$18, 
cashReceived,W40, 
avgoTotalValue, avgoFMV*avgoQty, 
vmwTotalBasis, vmwBasis*numVmwShares,
alternateGainAmount,AF40, 
IF(cashReceived&lt;alternateGainAmount,
  avgoTotalValue,
  vmwTotalBasis
))</f>
        <v>0</v>
      </c>
      <c r="AQ40" s="338" t="str">
        <f t="shared" si="14"/>
        <v/>
      </c>
      <c r="AR40" s="338">
        <v>0.0</v>
      </c>
      <c r="AS40" s="339">
        <f t="shared" si="15"/>
        <v>0</v>
      </c>
      <c r="AT40" s="442" t="str">
        <f t="shared" si="16"/>
        <v>n/a</v>
      </c>
      <c r="AU40" s="328">
        <f>LET(saleFMV,Reference!$B$10, postMergerBasis,AT40, avgoQty,AE40, lotFractionAmount,AG40, iferror((saleFMV - postMergerBasis) * (avgoQty - lotFractionAmount), 0))</f>
        <v>0</v>
      </c>
      <c r="AV40" s="328">
        <f>LET(
avgoQty,AE41, 
purchaseDate,C41,
postMergerSaleDate,Reference!$B$29,
saleFMV,Reference!$B$10,
postMergerBasis,AT41, 
IFERROR(IF(DATEDIF(purchaseDate,postMergerSaleDate,"Y")&gt;=1,
  0,
  avgoQty * (saleFMV - postMergerBasis)
),0))</f>
        <v>0</v>
      </c>
      <c r="AW40" s="331">
        <f>LET(
avgoQty,AE40, 
purchaseDate,C40,
postMergerSaleDate,Reference!$B$29,
saleFMV,Reference!$B$10,
postMergerBasis,AT40, 
IFERROR(IF(DATEDIF(purchaseDate,postMergerSaleDate,"Y")&gt;=1,
  avgoQty * (saleFMV - postMergerBasis),
  0
),0))</f>
        <v>0</v>
      </c>
    </row>
    <row r="41">
      <c r="A41" s="431" t="s">
        <v>228</v>
      </c>
      <c r="B41" s="432">
        <v>43462.0</v>
      </c>
      <c r="C41" s="301">
        <v>43770.0</v>
      </c>
      <c r="D41" s="332"/>
      <c r="E41" s="433">
        <v>163.06</v>
      </c>
      <c r="F41" s="443"/>
      <c r="G41" s="305">
        <f t="shared" si="6"/>
        <v>0</v>
      </c>
      <c r="H41" s="317">
        <f t="shared" si="7"/>
        <v>0</v>
      </c>
      <c r="I41" s="446"/>
      <c r="J41" s="342" t="b">
        <v>0</v>
      </c>
      <c r="K41" s="436"/>
      <c r="L41" s="311">
        <v>0.0</v>
      </c>
      <c r="M41" s="311">
        <v>0.0</v>
      </c>
      <c r="N41" s="311">
        <v>0.0</v>
      </c>
      <c r="O41" s="311">
        <v>0.0</v>
      </c>
      <c r="P41" s="311">
        <v>0.0</v>
      </c>
      <c r="Q41" s="313">
        <f t="shared" si="8"/>
        <v>0</v>
      </c>
      <c r="R41" s="313" t="str">
        <f>SWITCH(S41,"cash",Reference!E$5,"shares",Reference!$E$6,"balance",Reference!$E$7,"pro-rata",Reference!$B$5)</f>
        <v>#DIV/0!</v>
      </c>
      <c r="S41" s="314" t="s">
        <v>205</v>
      </c>
      <c r="T41" s="315">
        <f>LET(numVmwShares,D41, cashRatio,Reference!$B$4, vmwFinalPrice,Reference!$B$3, numVmwShares * cashRatio * vmwFinalPrice)</f>
        <v>0</v>
      </c>
      <c r="U41" s="315">
        <f>iferror(LET(numVmwShares,$D41, stockRatio,Q41, vmwFinalPrice,Reference!$B$3, (1 - stockRatio) * vmwFinalPrice * numVmwShares),0)</f>
        <v>0</v>
      </c>
      <c r="V41" s="315">
        <f>iferror(LET(numVmwShares,$D41, stockRatio,R41, vmwFinalPrice,Reference!$B$3, (1 - stockRatio) * vmwFinalPrice * numVmwShares),0)</f>
        <v>0</v>
      </c>
      <c r="W41" s="315">
        <f>SWITCH(Reference!$E$4,"eTradeTransactionLog", T41, "eTradeHoldingRatio",T41, "eTradeLotQtyRatio",U41,"manualLotRatio",V41)</f>
        <v>0</v>
      </c>
      <c r="X41" s="305">
        <f>LET(purchaseDate,C41, dateOfRecord,Reference!$B$26, returnOfCapital,Reference!$C$26, IF(purchaseDate &lt; dateOfRecord, returnOfCapital,0))</f>
        <v>0</v>
      </c>
      <c r="Y41" s="305">
        <f>LET(purchaseDate,C41, dateOfRecord,Reference!$B$27, returnOfCapital,Reference!$C$27, IF(purchaseDate &lt; dateOfRecord, returnOfCapital,0))</f>
        <v>16.58</v>
      </c>
      <c r="Z41" s="305">
        <f t="shared" si="9"/>
        <v>146.48</v>
      </c>
      <c r="AA41" s="437">
        <f t="shared" si="10"/>
        <v>0</v>
      </c>
      <c r="AB41" s="316">
        <f>LET(numVmwShares,D41, stockRatio,Reference!$B$5, vmwToAvgoRatio,Reference!$B$6, numVmwShares * stockRatio * vmwToAvgoRatio)</f>
        <v>0</v>
      </c>
      <c r="AC41" s="316">
        <f>LET(numVmwShares,D41, stockRatio,Q41, vmwToAvgoRatio,Reference!$B$6, numVmwShares * stockRatio * vmwToAvgoRatio)</f>
        <v>0</v>
      </c>
      <c r="AD41" s="316" t="str">
        <f>LET(numVmwShares,D41, stockRatio,R41, vmwToAvgoRatio,Reference!$B$6, numVmwShares * stockRatio * vmwToAvgoRatio)</f>
        <v>#DIV/0!</v>
      </c>
      <c r="AE41" s="316">
        <f>SWITCH(Reference!$E$4, "eTradeTransactionLog", AB41, "eTradeHoldingRatio",AB41, "eTradeLotQtyRatio",AC41,"manualLotRatio",AD41)</f>
        <v>0</v>
      </c>
      <c r="AF41" s="317">
        <f>LET(numVmwShares,D41, vmwBasis,Z41, avgoQty,AE41, avgoFMV,Reference!$B$18, cashReceived,W41, gain,cashReceived+(avgoQty*avgoFMV)-(numVmwShares*vmwBasis),
MAX(gain,0))</f>
        <v>0</v>
      </c>
      <c r="AG41" s="318">
        <f>LET(useForFraction,J41, fractionAmount,Summary!$C$41, esppFractionLots,ESPP!$N$5, rsuFractionLots,RSU!J$5, IF(useForFraction, fractionAmount / (esppFractionLots+rsuFractionLots), 0))</f>
        <v>0</v>
      </c>
      <c r="AH41" s="438">
        <f>LET(useForFraction,J41, fractionSaleFMV,Reference!$B$23, postMergerBasis,AT41, lotFractionAmount,AG41, IF(useForFraction, (fractionSaleFMV - postMergerBasis)*lotFractionAmount, 0))</f>
        <v>0</v>
      </c>
      <c r="AI41" s="439">
        <f t="shared" si="11"/>
        <v>0</v>
      </c>
      <c r="AJ41" s="440">
        <f>LET(
purchaseDate,C41,
mergerDate,Reference!$B$28,
lotFractionGain,AH41,
mergerGain,AI41,
IF(DATEDIF(purchaseDate,mergerDate,"Y")&gt;=1,
  0,
  lotFractionGain + mergerGain
))</f>
        <v>0</v>
      </c>
      <c r="AK41" s="440">
        <f>LET(
purchaseDate,C41,
mergerDate,Reference!$B$28,
lotFractionGain,AH41,
mergerGain,AI41,
IF(DATEDIF(purchaseDate,mergerDate,"Y")&gt;=1,
  lotFractionGain+mergerGain,
  0
))</f>
        <v>0</v>
      </c>
      <c r="AL41" s="441" t="str">
        <f>IF(DATEDIF(C41,Reference!$B$28,"Y")&gt;=1,"Part II Box E","Part I Box B")</f>
        <v>Part II Box E</v>
      </c>
      <c r="AM41" s="336">
        <f t="shared" si="12"/>
        <v>43770</v>
      </c>
      <c r="AN41" s="337">
        <f t="shared" si="13"/>
        <v>0</v>
      </c>
      <c r="AO41" s="337">
        <f>LET(
cashReceived,W41, 
avgoQty,AE41, 
proceedsStyle,Reference!$E$9, 
avgoFMV,Reference!$B$18, 
SWITCH(proceedsStyle, "combined", cashReceived +(avgoQty*avgoFMV), "cashOnly", cashReceived))</f>
        <v>0</v>
      </c>
      <c r="AP41" s="338">
        <f>LET(
numVmwShares,D41, 
vmwBasis, Z41, 
avgoQty,AE41, 
avgoFMV,Reference!$B$18, 
cashReceived,W41, 
avgoTotalValue, avgoFMV*avgoQty, 
vmwTotalBasis, vmwBasis*numVmwShares,
alternateGainAmount,AF41, 
IF(cashReceived&lt;alternateGainAmount,
  avgoTotalValue,
  vmwTotalBasis
))</f>
        <v>0</v>
      </c>
      <c r="AQ41" s="338" t="str">
        <f t="shared" si="14"/>
        <v/>
      </c>
      <c r="AR41" s="338">
        <v>0.0</v>
      </c>
      <c r="AS41" s="339">
        <f t="shared" si="15"/>
        <v>0</v>
      </c>
      <c r="AT41" s="442" t="str">
        <f t="shared" si="16"/>
        <v>n/a</v>
      </c>
      <c r="AU41" s="328">
        <f>LET(saleFMV,Reference!$B$10, postMergerBasis,AT41, avgoQty,AE41, lotFractionAmount,AG41, iferror((saleFMV - postMergerBasis) * (avgoQty - lotFractionAmount), 0))</f>
        <v>0</v>
      </c>
      <c r="AV41" s="328">
        <f>LET(
avgoQty,AE42, 
purchaseDate,C42,
postMergerSaleDate,Reference!$B$29,
saleFMV,Reference!$B$10,
postMergerBasis,AT42, 
IFERROR(IF(DATEDIF(purchaseDate,postMergerSaleDate,"Y")&gt;=1,
  0,
  avgoQty * (saleFMV - postMergerBasis)
),0))</f>
        <v>0</v>
      </c>
      <c r="AW41" s="331">
        <f>LET(
avgoQty,AE41, 
purchaseDate,C41,
postMergerSaleDate,Reference!$B$29,
saleFMV,Reference!$B$10,
postMergerBasis,AT41, 
IFERROR(IF(DATEDIF(purchaseDate,postMergerSaleDate,"Y")&gt;=1,
  avgoQty * (saleFMV - postMergerBasis),
  0
),0))</f>
        <v>0</v>
      </c>
    </row>
    <row r="42">
      <c r="A42" s="431" t="s">
        <v>229</v>
      </c>
      <c r="B42" s="432">
        <v>43462.0</v>
      </c>
      <c r="C42" s="301">
        <v>43800.0</v>
      </c>
      <c r="D42" s="332"/>
      <c r="E42" s="433">
        <v>155.62</v>
      </c>
      <c r="F42" s="443"/>
      <c r="G42" s="305">
        <f t="shared" si="6"/>
        <v>0</v>
      </c>
      <c r="H42" s="317">
        <f t="shared" si="7"/>
        <v>0</v>
      </c>
      <c r="I42" s="446"/>
      <c r="J42" s="342" t="b">
        <v>0</v>
      </c>
      <c r="K42" s="436"/>
      <c r="L42" s="311">
        <v>0.0</v>
      </c>
      <c r="M42" s="311">
        <v>0.0</v>
      </c>
      <c r="N42" s="311">
        <v>0.0</v>
      </c>
      <c r="O42" s="311">
        <v>0.0</v>
      </c>
      <c r="P42" s="311">
        <v>0.0</v>
      </c>
      <c r="Q42" s="313">
        <f t="shared" si="8"/>
        <v>0</v>
      </c>
      <c r="R42" s="313" t="str">
        <f>SWITCH(S42,"cash",Reference!E$5,"shares",Reference!$E$6,"balance",Reference!$E$7,"pro-rata",Reference!$B$5)</f>
        <v>#DIV/0!</v>
      </c>
      <c r="S42" s="314" t="s">
        <v>205</v>
      </c>
      <c r="T42" s="315">
        <f>LET(numVmwShares,D42, cashRatio,Reference!$B$4, vmwFinalPrice,Reference!$B$3, numVmwShares * cashRatio * vmwFinalPrice)</f>
        <v>0</v>
      </c>
      <c r="U42" s="315">
        <f>iferror(LET(numVmwShares,$D42, stockRatio,Q42, vmwFinalPrice,Reference!$B$3, (1 - stockRatio) * vmwFinalPrice * numVmwShares),0)</f>
        <v>0</v>
      </c>
      <c r="V42" s="315">
        <f>iferror(LET(numVmwShares,$D42, stockRatio,R42, vmwFinalPrice,Reference!$B$3, (1 - stockRatio) * vmwFinalPrice * numVmwShares),0)</f>
        <v>0</v>
      </c>
      <c r="W42" s="315">
        <f>SWITCH(Reference!$E$4,"eTradeTransactionLog", T42, "eTradeHoldingRatio",T42, "eTradeLotQtyRatio",U42,"manualLotRatio",V42)</f>
        <v>0</v>
      </c>
      <c r="X42" s="305">
        <f>LET(purchaseDate,C42, dateOfRecord,Reference!$B$26, returnOfCapital,Reference!$C$26, IF(purchaseDate &lt; dateOfRecord, returnOfCapital,0))</f>
        <v>0</v>
      </c>
      <c r="Y42" s="305">
        <f>LET(purchaseDate,C42, dateOfRecord,Reference!$B$27, returnOfCapital,Reference!$C$27, IF(purchaseDate &lt; dateOfRecord, returnOfCapital,0))</f>
        <v>16.58</v>
      </c>
      <c r="Z42" s="305">
        <f t="shared" si="9"/>
        <v>139.04</v>
      </c>
      <c r="AA42" s="437">
        <f t="shared" si="10"/>
        <v>0</v>
      </c>
      <c r="AB42" s="316">
        <f>LET(numVmwShares,D42, stockRatio,Reference!$B$5, vmwToAvgoRatio,Reference!$B$6, numVmwShares * stockRatio * vmwToAvgoRatio)</f>
        <v>0</v>
      </c>
      <c r="AC42" s="316">
        <f>LET(numVmwShares,D42, stockRatio,Q42, vmwToAvgoRatio,Reference!$B$6, numVmwShares * stockRatio * vmwToAvgoRatio)</f>
        <v>0</v>
      </c>
      <c r="AD42" s="316" t="str">
        <f>LET(numVmwShares,D42, stockRatio,R42, vmwToAvgoRatio,Reference!$B$6, numVmwShares * stockRatio * vmwToAvgoRatio)</f>
        <v>#DIV/0!</v>
      </c>
      <c r="AE42" s="316">
        <f>SWITCH(Reference!$E$4, "eTradeTransactionLog", AB42, "eTradeHoldingRatio",AB42, "eTradeLotQtyRatio",AC42,"manualLotRatio",AD42)</f>
        <v>0</v>
      </c>
      <c r="AF42" s="317">
        <f>LET(numVmwShares,D42, vmwBasis,Z42, avgoQty,AE42, avgoFMV,Reference!$B$18, cashReceived,W42, gain,cashReceived+(avgoQty*avgoFMV)-(numVmwShares*vmwBasis),
MAX(gain,0))</f>
        <v>0</v>
      </c>
      <c r="AG42" s="318">
        <f>LET(useForFraction,J42, fractionAmount,Summary!$C$41, esppFractionLots,ESPP!$N$5, rsuFractionLots,RSU!J$5, IF(useForFraction, fractionAmount / (esppFractionLots+rsuFractionLots), 0))</f>
        <v>0</v>
      </c>
      <c r="AH42" s="438">
        <f>LET(useForFraction,J42, fractionSaleFMV,Reference!$B$23, postMergerBasis,AT42, lotFractionAmount,AG42, IF(useForFraction, (fractionSaleFMV - postMergerBasis)*lotFractionAmount, 0))</f>
        <v>0</v>
      </c>
      <c r="AI42" s="439">
        <f t="shared" si="11"/>
        <v>0</v>
      </c>
      <c r="AJ42" s="440">
        <f>LET(
purchaseDate,C42,
mergerDate,Reference!$B$28,
lotFractionGain,AH42,
mergerGain,AI42,
IF(DATEDIF(purchaseDate,mergerDate,"Y")&gt;=1,
  0,
  lotFractionGain + mergerGain
))</f>
        <v>0</v>
      </c>
      <c r="AK42" s="440">
        <f>LET(
purchaseDate,C42,
mergerDate,Reference!$B$28,
lotFractionGain,AH42,
mergerGain,AI42,
IF(DATEDIF(purchaseDate,mergerDate,"Y")&gt;=1,
  lotFractionGain+mergerGain,
  0
))</f>
        <v>0</v>
      </c>
      <c r="AL42" s="441" t="str">
        <f>IF(DATEDIF(C42,Reference!$B$28,"Y")&gt;=1,"Part II Box E","Part I Box B")</f>
        <v>Part II Box E</v>
      </c>
      <c r="AM42" s="336">
        <f t="shared" si="12"/>
        <v>43800</v>
      </c>
      <c r="AN42" s="337">
        <f t="shared" si="13"/>
        <v>0</v>
      </c>
      <c r="AO42" s="337">
        <f>LET(
cashReceived,W42, 
avgoQty,AE42, 
proceedsStyle,Reference!$E$9, 
avgoFMV,Reference!$B$18, 
SWITCH(proceedsStyle, "combined", cashReceived +(avgoQty*avgoFMV), "cashOnly", cashReceived))</f>
        <v>0</v>
      </c>
      <c r="AP42" s="338">
        <f>LET(
numVmwShares,D42, 
vmwBasis, Z42, 
avgoQty,AE42, 
avgoFMV,Reference!$B$18, 
cashReceived,W42, 
avgoTotalValue, avgoFMV*avgoQty, 
vmwTotalBasis, vmwBasis*numVmwShares,
alternateGainAmount,AF42, 
IF(cashReceived&lt;alternateGainAmount,
  avgoTotalValue,
  vmwTotalBasis
))</f>
        <v>0</v>
      </c>
      <c r="AQ42" s="338" t="str">
        <f t="shared" si="14"/>
        <v/>
      </c>
      <c r="AR42" s="338">
        <v>0.0</v>
      </c>
      <c r="AS42" s="339">
        <f t="shared" si="15"/>
        <v>0</v>
      </c>
      <c r="AT42" s="442" t="str">
        <f t="shared" si="16"/>
        <v>n/a</v>
      </c>
      <c r="AU42" s="328">
        <f>LET(saleFMV,Reference!$B$10, postMergerBasis,AT42, avgoQty,AE42, lotFractionAmount,AG42, iferror((saleFMV - postMergerBasis) * (avgoQty - lotFractionAmount), 0))</f>
        <v>0</v>
      </c>
      <c r="AV42" s="328">
        <f>LET(
avgoQty,AE43, 
purchaseDate,C43,
postMergerSaleDate,Reference!$B$29,
saleFMV,Reference!$B$10,
postMergerBasis,AT43, 
IFERROR(IF(DATEDIF(purchaseDate,postMergerSaleDate,"Y")&gt;=1,
  0,
  avgoQty * (saleFMV - postMergerBasis)
),0))</f>
        <v>0</v>
      </c>
      <c r="AW42" s="331">
        <f>LET(
avgoQty,AE42, 
purchaseDate,C42,
postMergerSaleDate,Reference!$B$29,
saleFMV,Reference!$B$10,
postMergerBasis,AT42, 
IFERROR(IF(DATEDIF(purchaseDate,postMergerSaleDate,"Y")&gt;=1,
  avgoQty * (saleFMV - postMergerBasis),
  0
),0))</f>
        <v>0</v>
      </c>
    </row>
    <row r="43">
      <c r="A43" s="431" t="s">
        <v>226</v>
      </c>
      <c r="B43" s="432">
        <v>43462.0</v>
      </c>
      <c r="C43" s="301">
        <v>43831.0</v>
      </c>
      <c r="D43" s="332"/>
      <c r="E43" s="433">
        <v>151.79</v>
      </c>
      <c r="F43" s="443"/>
      <c r="G43" s="305">
        <f t="shared" si="6"/>
        <v>0</v>
      </c>
      <c r="H43" s="317">
        <f t="shared" si="7"/>
        <v>0</v>
      </c>
      <c r="I43" s="444"/>
      <c r="J43" s="342" t="b">
        <v>0</v>
      </c>
      <c r="K43" s="436"/>
      <c r="L43" s="311">
        <v>0.0</v>
      </c>
      <c r="M43" s="311">
        <v>0.0</v>
      </c>
      <c r="N43" s="311">
        <v>0.0</v>
      </c>
      <c r="O43" s="311">
        <v>0.0</v>
      </c>
      <c r="P43" s="311">
        <v>0.0</v>
      </c>
      <c r="Q43" s="313">
        <f t="shared" si="8"/>
        <v>0</v>
      </c>
      <c r="R43" s="313" t="str">
        <f>SWITCH(S43,"cash",Reference!E$5,"shares",Reference!$E$6,"balance",Reference!$E$7,"pro-rata",Reference!$B$5)</f>
        <v>#DIV/0!</v>
      </c>
      <c r="S43" s="314" t="s">
        <v>205</v>
      </c>
      <c r="T43" s="315">
        <f>LET(numVmwShares,D43, cashRatio,Reference!$B$4, vmwFinalPrice,Reference!$B$3, numVmwShares * cashRatio * vmwFinalPrice)</f>
        <v>0</v>
      </c>
      <c r="U43" s="315">
        <f>iferror(LET(numVmwShares,$D43, stockRatio,Q43, vmwFinalPrice,Reference!$B$3, (1 - stockRatio) * vmwFinalPrice * numVmwShares),0)</f>
        <v>0</v>
      </c>
      <c r="V43" s="315">
        <f>iferror(LET(numVmwShares,$D43, stockRatio,R43, vmwFinalPrice,Reference!$B$3, (1 - stockRatio) * vmwFinalPrice * numVmwShares),0)</f>
        <v>0</v>
      </c>
      <c r="W43" s="315">
        <f>SWITCH(Reference!$E$4,"eTradeTransactionLog", T43, "eTradeHoldingRatio",T43, "eTradeLotQtyRatio",U43,"manualLotRatio",V43)</f>
        <v>0</v>
      </c>
      <c r="X43" s="305">
        <f>LET(purchaseDate,C43, dateOfRecord,Reference!$B$26, returnOfCapital,Reference!$C$26, IF(purchaseDate &lt; dateOfRecord, returnOfCapital,0))</f>
        <v>0</v>
      </c>
      <c r="Y43" s="305">
        <f>LET(purchaseDate,C43, dateOfRecord,Reference!$B$27, returnOfCapital,Reference!$C$27, IF(purchaseDate &lt; dateOfRecord, returnOfCapital,0))</f>
        <v>16.58</v>
      </c>
      <c r="Z43" s="305">
        <f t="shared" si="9"/>
        <v>135.21</v>
      </c>
      <c r="AA43" s="437">
        <f t="shared" si="10"/>
        <v>0</v>
      </c>
      <c r="AB43" s="316">
        <f>LET(numVmwShares,D43, stockRatio,Reference!$B$5, vmwToAvgoRatio,Reference!$B$6, numVmwShares * stockRatio * vmwToAvgoRatio)</f>
        <v>0</v>
      </c>
      <c r="AC43" s="316">
        <f>LET(numVmwShares,D43, stockRatio,Q43, vmwToAvgoRatio,Reference!$B$6, numVmwShares * stockRatio * vmwToAvgoRatio)</f>
        <v>0</v>
      </c>
      <c r="AD43" s="316" t="str">
        <f>LET(numVmwShares,D43, stockRatio,R43, vmwToAvgoRatio,Reference!$B$6, numVmwShares * stockRatio * vmwToAvgoRatio)</f>
        <v>#DIV/0!</v>
      </c>
      <c r="AE43" s="316">
        <f>SWITCH(Reference!$E$4, "eTradeTransactionLog", AB43, "eTradeHoldingRatio",AB43, "eTradeLotQtyRatio",AC43,"manualLotRatio",AD43)</f>
        <v>0</v>
      </c>
      <c r="AF43" s="317">
        <f>LET(numVmwShares,D43, vmwBasis,Z43, avgoQty,AE43, avgoFMV,Reference!$B$18, cashReceived,W43, gain,cashReceived+(avgoQty*avgoFMV)-(numVmwShares*vmwBasis),
MAX(gain,0))</f>
        <v>0</v>
      </c>
      <c r="AG43" s="318">
        <f>LET(useForFraction,J43, fractionAmount,Summary!$C$41, esppFractionLots,ESPP!$N$5, rsuFractionLots,RSU!J$5, IF(useForFraction, fractionAmount / (esppFractionLots+rsuFractionLots), 0))</f>
        <v>0</v>
      </c>
      <c r="AH43" s="438">
        <f>LET(useForFraction,J43, fractionSaleFMV,Reference!$B$23, postMergerBasis,AT43, lotFractionAmount,AG43, IF(useForFraction, (fractionSaleFMV - postMergerBasis)*lotFractionAmount, 0))</f>
        <v>0</v>
      </c>
      <c r="AI43" s="439">
        <f t="shared" si="11"/>
        <v>0</v>
      </c>
      <c r="AJ43" s="440">
        <f>LET(
purchaseDate,C43,
mergerDate,Reference!$B$28,
lotFractionGain,AH43,
mergerGain,AI43,
IF(DATEDIF(purchaseDate,mergerDate,"Y")&gt;=1,
  0,
  lotFractionGain + mergerGain
))</f>
        <v>0</v>
      </c>
      <c r="AK43" s="440">
        <f>LET(
purchaseDate,C43,
mergerDate,Reference!$B$28,
lotFractionGain,AH43,
mergerGain,AI43,
IF(DATEDIF(purchaseDate,mergerDate,"Y")&gt;=1,
  lotFractionGain+mergerGain,
  0
))</f>
        <v>0</v>
      </c>
      <c r="AL43" s="441" t="str">
        <f>IF(DATEDIF(C43,Reference!$B$28,"Y")&gt;=1,"Part II Box E","Part I Box B")</f>
        <v>Part II Box E</v>
      </c>
      <c r="AM43" s="336">
        <f t="shared" si="12"/>
        <v>43831</v>
      </c>
      <c r="AN43" s="337">
        <f t="shared" si="13"/>
        <v>0</v>
      </c>
      <c r="AO43" s="337">
        <f>LET(
cashReceived,W43, 
avgoQty,AE43, 
proceedsStyle,Reference!$E$9, 
avgoFMV,Reference!$B$18, 
SWITCH(proceedsStyle, "combined", cashReceived +(avgoQty*avgoFMV), "cashOnly", cashReceived))</f>
        <v>0</v>
      </c>
      <c r="AP43" s="338">
        <f>LET(
numVmwShares,D43, 
vmwBasis, Z43, 
avgoQty,AE43, 
avgoFMV,Reference!$B$18, 
cashReceived,W43, 
avgoTotalValue, avgoFMV*avgoQty, 
vmwTotalBasis, vmwBasis*numVmwShares,
alternateGainAmount,AF43, 
IF(cashReceived&lt;alternateGainAmount,
  avgoTotalValue,
  vmwTotalBasis
))</f>
        <v>0</v>
      </c>
      <c r="AQ43" s="338" t="str">
        <f t="shared" si="14"/>
        <v/>
      </c>
      <c r="AR43" s="338">
        <v>0.0</v>
      </c>
      <c r="AS43" s="339">
        <f t="shared" si="15"/>
        <v>0</v>
      </c>
      <c r="AT43" s="442" t="str">
        <f t="shared" si="16"/>
        <v>n/a</v>
      </c>
      <c r="AU43" s="328">
        <f>LET(saleFMV,Reference!$B$10, postMergerBasis,AT43, avgoQty,AE43, lotFractionAmount,AG43, iferror((saleFMV - postMergerBasis) * (avgoQty - lotFractionAmount), 0))</f>
        <v>0</v>
      </c>
      <c r="AV43" s="328">
        <f>LET(
avgoQty,AE44, 
purchaseDate,C44,
postMergerSaleDate,Reference!$B$29,
saleFMV,Reference!$B$10,
postMergerBasis,AT44, 
IFERROR(IF(DATEDIF(purchaseDate,postMergerSaleDate,"Y")&gt;=1,
  0,
  avgoQty * (saleFMV - postMergerBasis)
),0))</f>
        <v>0</v>
      </c>
      <c r="AW43" s="331">
        <f>LET(
avgoQty,AE43, 
purchaseDate,C43,
postMergerSaleDate,Reference!$B$29,
saleFMV,Reference!$B$10,
postMergerBasis,AT43, 
IFERROR(IF(DATEDIF(purchaseDate,postMergerSaleDate,"Y")&gt;=1,
  avgoQty * (saleFMV - postMergerBasis),
  0
),0))</f>
        <v>0</v>
      </c>
    </row>
    <row r="44">
      <c r="A44" s="431"/>
      <c r="B44" s="447"/>
      <c r="C44" s="301">
        <v>43862.0</v>
      </c>
      <c r="D44" s="332"/>
      <c r="E44" s="433">
        <v>148.06</v>
      </c>
      <c r="F44" s="443"/>
      <c r="G44" s="305">
        <f t="shared" si="6"/>
        <v>0</v>
      </c>
      <c r="H44" s="317">
        <f t="shared" si="7"/>
        <v>0</v>
      </c>
      <c r="I44" s="444"/>
      <c r="J44" s="342" t="b">
        <v>0</v>
      </c>
      <c r="K44" s="436"/>
      <c r="L44" s="311">
        <v>0.0</v>
      </c>
      <c r="M44" s="311">
        <v>0.0</v>
      </c>
      <c r="N44" s="311">
        <v>0.0</v>
      </c>
      <c r="O44" s="311">
        <v>0.0</v>
      </c>
      <c r="P44" s="311">
        <v>0.0</v>
      </c>
      <c r="Q44" s="313">
        <f t="shared" si="8"/>
        <v>0</v>
      </c>
      <c r="R44" s="313" t="str">
        <f>SWITCH(S44,"cash",Reference!E$5,"shares",Reference!$E$6,"balance",Reference!$E$7,"pro-rata",Reference!$B$5)</f>
        <v>#DIV/0!</v>
      </c>
      <c r="S44" s="314" t="s">
        <v>205</v>
      </c>
      <c r="T44" s="315">
        <f>LET(numVmwShares,D44, cashRatio,Reference!$B$4, vmwFinalPrice,Reference!$B$3, numVmwShares * cashRatio * vmwFinalPrice)</f>
        <v>0</v>
      </c>
      <c r="U44" s="315">
        <f>iferror(LET(numVmwShares,$D44, stockRatio,Q44, vmwFinalPrice,Reference!$B$3, (1 - stockRatio) * vmwFinalPrice * numVmwShares),0)</f>
        <v>0</v>
      </c>
      <c r="V44" s="315">
        <f>iferror(LET(numVmwShares,$D44, stockRatio,R44, vmwFinalPrice,Reference!$B$3, (1 - stockRatio) * vmwFinalPrice * numVmwShares),0)</f>
        <v>0</v>
      </c>
      <c r="W44" s="315">
        <f>SWITCH(Reference!$E$4,"eTradeTransactionLog", T44, "eTradeHoldingRatio",T44, "eTradeLotQtyRatio",U44,"manualLotRatio",V44)</f>
        <v>0</v>
      </c>
      <c r="X44" s="305">
        <f>LET(purchaseDate,C44, dateOfRecord,Reference!$B$26, returnOfCapital,Reference!$C$26, IF(purchaseDate &lt; dateOfRecord, returnOfCapital,0))</f>
        <v>0</v>
      </c>
      <c r="Y44" s="305">
        <f>LET(purchaseDate,C44, dateOfRecord,Reference!$B$27, returnOfCapital,Reference!$C$27, IF(purchaseDate &lt; dateOfRecord, returnOfCapital,0))</f>
        <v>16.58</v>
      </c>
      <c r="Z44" s="305">
        <f t="shared" si="9"/>
        <v>131.48</v>
      </c>
      <c r="AA44" s="305">
        <f t="shared" si="10"/>
        <v>0</v>
      </c>
      <c r="AB44" s="316">
        <f>LET(numVmwShares,D44, stockRatio,Reference!$B$5, vmwToAvgoRatio,Reference!$B$6, numVmwShares * stockRatio * vmwToAvgoRatio)</f>
        <v>0</v>
      </c>
      <c r="AC44" s="316">
        <f>LET(numVmwShares,D44, stockRatio,Q44, vmwToAvgoRatio,Reference!$B$6, numVmwShares * stockRatio * vmwToAvgoRatio)</f>
        <v>0</v>
      </c>
      <c r="AD44" s="316" t="str">
        <f>LET(numVmwShares,D44, stockRatio,R44, vmwToAvgoRatio,Reference!$B$6, numVmwShares * stockRatio * vmwToAvgoRatio)</f>
        <v>#DIV/0!</v>
      </c>
      <c r="AE44" s="316">
        <f>SWITCH(Reference!$E$4, "eTradeTransactionLog", AB44, "eTradeHoldingRatio",AB44, "eTradeLotQtyRatio",AC44,"manualLotRatio",AD44)</f>
        <v>0</v>
      </c>
      <c r="AF44" s="317">
        <f>LET(numVmwShares,D44, vmwBasis,Z44, avgoQty,AE44, avgoFMV,Reference!$B$18, cashReceived,W44, gain,cashReceived+(avgoQty*avgoFMV)-(numVmwShares*vmwBasis),
MAX(gain,0))</f>
        <v>0</v>
      </c>
      <c r="AG44" s="318">
        <f>LET(useForFraction,J44, fractionAmount,Summary!$C$41, esppFractionLots,ESPP!$N$5, rsuFractionLots,RSU!J$5, IF(useForFraction, fractionAmount / (esppFractionLots+rsuFractionLots), 0))</f>
        <v>0</v>
      </c>
      <c r="AH44" s="438">
        <f>LET(useForFraction,J44, fractionSaleFMV,Reference!$B$23, postMergerBasis,AT44, lotFractionAmount,AG44, IF(useForFraction, (fractionSaleFMV - postMergerBasis)*lotFractionAmount, 0))</f>
        <v>0</v>
      </c>
      <c r="AI44" s="439">
        <f t="shared" si="11"/>
        <v>0</v>
      </c>
      <c r="AJ44" s="440">
        <f>LET(
purchaseDate,C44,
mergerDate,Reference!$B$28,
lotFractionGain,AH44,
mergerGain,AI44,
IF(DATEDIF(purchaseDate,mergerDate,"Y")&gt;=1,
  0,
  lotFractionGain + mergerGain
))</f>
        <v>0</v>
      </c>
      <c r="AK44" s="440">
        <f>LET(
purchaseDate,C44,
mergerDate,Reference!$B$28,
lotFractionGain,AH44,
mergerGain,AI44,
IF(DATEDIF(purchaseDate,mergerDate,"Y")&gt;=1,
  lotFractionGain+mergerGain,
  0
))</f>
        <v>0</v>
      </c>
      <c r="AL44" s="441" t="str">
        <f>IF(DATEDIF(C44,Reference!$B$28,"Y")&gt;=1,"Part II Box E","Part I Box B")</f>
        <v>Part II Box E</v>
      </c>
      <c r="AM44" s="336">
        <f t="shared" si="12"/>
        <v>43862</v>
      </c>
      <c r="AN44" s="337">
        <f t="shared" si="13"/>
        <v>0</v>
      </c>
      <c r="AO44" s="337">
        <f>LET(
cashReceived,W44, 
avgoQty,AE44, 
proceedsStyle,Reference!$E$9, 
avgoFMV,Reference!$B$18, 
SWITCH(proceedsStyle, "combined", cashReceived +(avgoQty*avgoFMV), "cashOnly", cashReceived))</f>
        <v>0</v>
      </c>
      <c r="AP44" s="338">
        <f>LET(
numVmwShares,D44, 
vmwBasis, Z44, 
avgoQty,AE44, 
avgoFMV,Reference!$B$18, 
cashReceived,W44, 
avgoTotalValue, avgoFMV*avgoQty, 
vmwTotalBasis, vmwBasis*numVmwShares,
alternateGainAmount,AF44, 
IF(cashReceived&lt;alternateGainAmount,
  avgoTotalValue,
  vmwTotalBasis
))</f>
        <v>0</v>
      </c>
      <c r="AQ44" s="338" t="str">
        <f t="shared" si="14"/>
        <v/>
      </c>
      <c r="AR44" s="338">
        <v>0.0</v>
      </c>
      <c r="AS44" s="339">
        <f t="shared" si="15"/>
        <v>0</v>
      </c>
      <c r="AT44" s="442" t="str">
        <f t="shared" si="16"/>
        <v>n/a</v>
      </c>
      <c r="AU44" s="328">
        <f>LET(saleFMV,Reference!$B$10, postMergerBasis,AT44, avgoQty,AE44, lotFractionAmount,AG44, iferror((saleFMV - postMergerBasis) * (avgoQty - lotFractionAmount), 0))</f>
        <v>0</v>
      </c>
      <c r="AV44" s="328">
        <f>LET(
avgoQty,AE45, 
purchaseDate,C45,
postMergerSaleDate,Reference!$B$29,
saleFMV,Reference!$B$10,
postMergerBasis,AT45, 
IFERROR(IF(DATEDIF(purchaseDate,postMergerSaleDate,"Y")&gt;=1,
  0,
  avgoQty * (saleFMV - postMergerBasis)
),0))</f>
        <v>0</v>
      </c>
      <c r="AW44" s="331">
        <f>LET(
avgoQty,AE44, 
purchaseDate,C44,
postMergerSaleDate,Reference!$B$29,
saleFMV,Reference!$B$10,
postMergerBasis,AT44, 
IFERROR(IF(DATEDIF(purchaseDate,postMergerSaleDate,"Y")&gt;=1,
  avgoQty * (saleFMV - postMergerBasis),
  0
),0))</f>
        <v>0</v>
      </c>
    </row>
    <row r="45">
      <c r="A45" s="431"/>
      <c r="B45" s="447"/>
      <c r="C45" s="448">
        <v>43891.0</v>
      </c>
      <c r="D45" s="332"/>
      <c r="E45" s="303">
        <v>120.52</v>
      </c>
      <c r="F45" s="443"/>
      <c r="G45" s="305">
        <f t="shared" si="6"/>
        <v>0</v>
      </c>
      <c r="H45" s="317">
        <f t="shared" si="7"/>
        <v>0</v>
      </c>
      <c r="I45" s="444"/>
      <c r="J45" s="342" t="b">
        <v>0</v>
      </c>
      <c r="K45" s="436"/>
      <c r="L45" s="311">
        <v>0.0</v>
      </c>
      <c r="M45" s="311">
        <v>0.0</v>
      </c>
      <c r="N45" s="311">
        <v>0.0</v>
      </c>
      <c r="O45" s="311">
        <v>0.0</v>
      </c>
      <c r="P45" s="311">
        <v>0.0</v>
      </c>
      <c r="Q45" s="313">
        <f t="shared" si="8"/>
        <v>0</v>
      </c>
      <c r="R45" s="313" t="str">
        <f>SWITCH(S45,"cash",Reference!E$5,"shares",Reference!$E$6,"balance",Reference!$E$7,"pro-rata",Reference!$B$5)</f>
        <v>#DIV/0!</v>
      </c>
      <c r="S45" s="314" t="s">
        <v>205</v>
      </c>
      <c r="T45" s="315">
        <f>LET(numVmwShares,D45, cashRatio,Reference!$B$4, vmwFinalPrice,Reference!$B$3, numVmwShares * cashRatio * vmwFinalPrice)</f>
        <v>0</v>
      </c>
      <c r="U45" s="315">
        <f>iferror(LET(numVmwShares,$D45, stockRatio,Q45, vmwFinalPrice,Reference!$B$3, (1 - stockRatio) * vmwFinalPrice * numVmwShares),0)</f>
        <v>0</v>
      </c>
      <c r="V45" s="315">
        <f>iferror(LET(numVmwShares,$D45, stockRatio,R45, vmwFinalPrice,Reference!$B$3, (1 - stockRatio) * vmwFinalPrice * numVmwShares),0)</f>
        <v>0</v>
      </c>
      <c r="W45" s="315">
        <f>SWITCH(Reference!$E$4,"eTradeTransactionLog", T45, "eTradeHoldingRatio",T45, "eTradeLotQtyRatio",U45,"manualLotRatio",V45)</f>
        <v>0</v>
      </c>
      <c r="X45" s="305">
        <f>LET(purchaseDate,C45, dateOfRecord,Reference!$B$26, returnOfCapital,Reference!$C$26, IF(purchaseDate &lt; dateOfRecord, returnOfCapital,0))</f>
        <v>0</v>
      </c>
      <c r="Y45" s="305">
        <f>LET(purchaseDate,C45, dateOfRecord,Reference!$B$27, returnOfCapital,Reference!$C$27, IF(purchaseDate &lt; dateOfRecord, returnOfCapital,0))</f>
        <v>16.58</v>
      </c>
      <c r="Z45" s="305">
        <f t="shared" si="9"/>
        <v>103.94</v>
      </c>
      <c r="AA45" s="305">
        <f t="shared" si="10"/>
        <v>0</v>
      </c>
      <c r="AB45" s="316">
        <f>LET(numVmwShares,D45, stockRatio,Reference!$B$5, vmwToAvgoRatio,Reference!$B$6, numVmwShares * stockRatio * vmwToAvgoRatio)</f>
        <v>0</v>
      </c>
      <c r="AC45" s="316">
        <f>LET(numVmwShares,D45, stockRatio,Q45, vmwToAvgoRatio,Reference!$B$6, numVmwShares * stockRatio * vmwToAvgoRatio)</f>
        <v>0</v>
      </c>
      <c r="AD45" s="316" t="str">
        <f>LET(numVmwShares,D45, stockRatio,R45, vmwToAvgoRatio,Reference!$B$6, numVmwShares * stockRatio * vmwToAvgoRatio)</f>
        <v>#DIV/0!</v>
      </c>
      <c r="AE45" s="316">
        <f>SWITCH(Reference!$E$4, "eTradeTransactionLog", AB45, "eTradeHoldingRatio",AB45, "eTradeLotQtyRatio",AC45,"manualLotRatio",AD45)</f>
        <v>0</v>
      </c>
      <c r="AF45" s="317">
        <f>LET(numVmwShares,D45, vmwBasis,Z45, avgoQty,AE45, avgoFMV,Reference!$B$18, cashReceived,W45, gain,cashReceived+(avgoQty*avgoFMV)-(numVmwShares*vmwBasis),
MAX(gain,0))</f>
        <v>0</v>
      </c>
      <c r="AG45" s="318">
        <f>LET(useForFraction,J45, fractionAmount,Summary!$C$41, esppFractionLots,ESPP!$N$5, rsuFractionLots,RSU!J$5, IF(useForFraction, fractionAmount / (esppFractionLots+rsuFractionLots), 0))</f>
        <v>0</v>
      </c>
      <c r="AH45" s="438">
        <f>LET(useForFraction,J45, fractionSaleFMV,Reference!$B$23, postMergerBasis,AT45, lotFractionAmount,AG45, IF(useForFraction, (fractionSaleFMV - postMergerBasis)*lotFractionAmount, 0))</f>
        <v>0</v>
      </c>
      <c r="AI45" s="439">
        <f t="shared" si="11"/>
        <v>0</v>
      </c>
      <c r="AJ45" s="440">
        <f>LET(
purchaseDate,C45,
mergerDate,Reference!$B$28,
lotFractionGain,AH45,
mergerGain,AI45,
IF(DATEDIF(purchaseDate,mergerDate,"Y")&gt;=1,
  0,
  lotFractionGain + mergerGain
))</f>
        <v>0</v>
      </c>
      <c r="AK45" s="440">
        <f>LET(
purchaseDate,C45,
mergerDate,Reference!$B$28,
lotFractionGain,AH45,
mergerGain,AI45,
IF(DATEDIF(purchaseDate,mergerDate,"Y")&gt;=1,
  lotFractionGain+mergerGain,
  0
))</f>
        <v>0</v>
      </c>
      <c r="AL45" s="441" t="str">
        <f>IF(DATEDIF(C45,Reference!$B$28,"Y")&gt;=1,"Part II Box E","Part I Box B")</f>
        <v>Part II Box E</v>
      </c>
      <c r="AM45" s="336">
        <f t="shared" si="12"/>
        <v>43891</v>
      </c>
      <c r="AN45" s="337">
        <f t="shared" si="13"/>
        <v>0</v>
      </c>
      <c r="AO45" s="337">
        <f>LET(
cashReceived,W45, 
avgoQty,AE45, 
proceedsStyle,Reference!$E$9, 
avgoFMV,Reference!$B$18, 
SWITCH(proceedsStyle, "combined", cashReceived +(avgoQty*avgoFMV), "cashOnly", cashReceived))</f>
        <v>0</v>
      </c>
      <c r="AP45" s="338">
        <f>LET(
numVmwShares,D45, 
vmwBasis, Z45, 
avgoQty,AE45, 
avgoFMV,Reference!$B$18, 
cashReceived,W45, 
avgoTotalValue, avgoFMV*avgoQty, 
vmwTotalBasis, vmwBasis*numVmwShares,
alternateGainAmount,AF45, 
IF(cashReceived&lt;alternateGainAmount,
  avgoTotalValue,
  vmwTotalBasis
))</f>
        <v>0</v>
      </c>
      <c r="AQ45" s="338" t="str">
        <f t="shared" si="14"/>
        <v/>
      </c>
      <c r="AR45" s="338">
        <v>0.0</v>
      </c>
      <c r="AS45" s="339">
        <f t="shared" si="15"/>
        <v>0</v>
      </c>
      <c r="AT45" s="442" t="str">
        <f t="shared" si="16"/>
        <v>n/a</v>
      </c>
      <c r="AU45" s="328">
        <f>LET(saleFMV,Reference!$B$10, postMergerBasis,AT45, avgoQty,AE45, lotFractionAmount,AG45, iferror((saleFMV - postMergerBasis) * (avgoQty - lotFractionAmount), 0))</f>
        <v>0</v>
      </c>
      <c r="AV45" s="328">
        <f>LET(
avgoQty,AE46, 
purchaseDate,C46,
postMergerSaleDate,Reference!$B$29,
saleFMV,Reference!$B$10,
postMergerBasis,AT46, 
IFERROR(IF(DATEDIF(purchaseDate,postMergerSaleDate,"Y")&gt;=1,
  0,
  avgoQty * (saleFMV - postMergerBasis)
),0))</f>
        <v>0</v>
      </c>
      <c r="AW45" s="331">
        <f>LET(
avgoQty,AE45, 
purchaseDate,C45,
postMergerSaleDate,Reference!$B$29,
saleFMV,Reference!$B$10,
postMergerBasis,AT45, 
IFERROR(IF(DATEDIF(purchaseDate,postMergerSaleDate,"Y")&gt;=1,
  avgoQty * (saleFMV - postMergerBasis),
  0
),0))</f>
        <v>0</v>
      </c>
    </row>
    <row r="46">
      <c r="A46" s="431" t="s">
        <v>228</v>
      </c>
      <c r="B46" s="432">
        <v>43462.0</v>
      </c>
      <c r="C46" s="301">
        <v>43952.0</v>
      </c>
      <c r="D46" s="332"/>
      <c r="E46" s="433">
        <v>125.34</v>
      </c>
      <c r="F46" s="443"/>
      <c r="G46" s="305">
        <f t="shared" si="6"/>
        <v>0</v>
      </c>
      <c r="H46" s="317">
        <f t="shared" si="7"/>
        <v>0</v>
      </c>
      <c r="I46" s="444"/>
      <c r="J46" s="342" t="b">
        <v>0</v>
      </c>
      <c r="K46" s="436"/>
      <c r="L46" s="311">
        <v>0.0</v>
      </c>
      <c r="M46" s="311">
        <v>0.0</v>
      </c>
      <c r="N46" s="311">
        <v>0.0</v>
      </c>
      <c r="O46" s="311">
        <v>0.0</v>
      </c>
      <c r="P46" s="311">
        <v>0.0</v>
      </c>
      <c r="Q46" s="313">
        <f t="shared" si="8"/>
        <v>0</v>
      </c>
      <c r="R46" s="313" t="str">
        <f>SWITCH(S46,"cash",Reference!E$5,"shares",Reference!$E$6,"balance",Reference!$E$7,"pro-rata",Reference!$B$5)</f>
        <v>#DIV/0!</v>
      </c>
      <c r="S46" s="314" t="s">
        <v>205</v>
      </c>
      <c r="T46" s="315">
        <f>LET(numVmwShares,D46, cashRatio,Reference!$B$4, vmwFinalPrice,Reference!$B$3, numVmwShares * cashRatio * vmwFinalPrice)</f>
        <v>0</v>
      </c>
      <c r="U46" s="315">
        <f>iferror(LET(numVmwShares,$D46, stockRatio,Q46, vmwFinalPrice,Reference!$B$3, (1 - stockRatio) * vmwFinalPrice * numVmwShares),0)</f>
        <v>0</v>
      </c>
      <c r="V46" s="315">
        <f>iferror(LET(numVmwShares,$D46, stockRatio,R46, vmwFinalPrice,Reference!$B$3, (1 - stockRatio) * vmwFinalPrice * numVmwShares),0)</f>
        <v>0</v>
      </c>
      <c r="W46" s="315">
        <f>SWITCH(Reference!$E$4,"eTradeTransactionLog", T46, "eTradeHoldingRatio",T46, "eTradeLotQtyRatio",U46,"manualLotRatio",V46)</f>
        <v>0</v>
      </c>
      <c r="X46" s="305">
        <f>LET(purchaseDate,C46, dateOfRecord,Reference!$B$26, returnOfCapital,Reference!$C$26, IF(purchaseDate &lt; dateOfRecord, returnOfCapital,0))</f>
        <v>0</v>
      </c>
      <c r="Y46" s="305">
        <f>LET(purchaseDate,C46, dateOfRecord,Reference!$B$27, returnOfCapital,Reference!$C$27, IF(purchaseDate &lt; dateOfRecord, returnOfCapital,0))</f>
        <v>16.58</v>
      </c>
      <c r="Z46" s="305">
        <f t="shared" si="9"/>
        <v>108.76</v>
      </c>
      <c r="AA46" s="305">
        <f t="shared" si="10"/>
        <v>0</v>
      </c>
      <c r="AB46" s="316">
        <f>LET(numVmwShares,D46, stockRatio,Reference!$B$5, vmwToAvgoRatio,Reference!$B$6, numVmwShares * stockRatio * vmwToAvgoRatio)</f>
        <v>0</v>
      </c>
      <c r="AC46" s="316">
        <f>LET(numVmwShares,D46, stockRatio,Q46, vmwToAvgoRatio,Reference!$B$6, numVmwShares * stockRatio * vmwToAvgoRatio)</f>
        <v>0</v>
      </c>
      <c r="AD46" s="316" t="str">
        <f>LET(numVmwShares,D46, stockRatio,R46, vmwToAvgoRatio,Reference!$B$6, numVmwShares * stockRatio * vmwToAvgoRatio)</f>
        <v>#DIV/0!</v>
      </c>
      <c r="AE46" s="316">
        <f>SWITCH(Reference!$E$4, "eTradeTransactionLog", AB46, "eTradeHoldingRatio",AB46, "eTradeLotQtyRatio",AC46,"manualLotRatio",AD46)</f>
        <v>0</v>
      </c>
      <c r="AF46" s="317">
        <f>LET(numVmwShares,D46, vmwBasis,Z46, avgoQty,AE46, avgoFMV,Reference!$B$18, cashReceived,W46, gain,cashReceived+(avgoQty*avgoFMV)-(numVmwShares*vmwBasis),
MAX(gain,0))</f>
        <v>0</v>
      </c>
      <c r="AG46" s="318">
        <f>LET(useForFraction,J46, fractionAmount,Summary!$C$41, esppFractionLots,ESPP!$N$5, rsuFractionLots,RSU!J$5, IF(useForFraction, fractionAmount / (esppFractionLots+rsuFractionLots), 0))</f>
        <v>0</v>
      </c>
      <c r="AH46" s="438">
        <f>LET(useForFraction,J46, fractionSaleFMV,Reference!$B$23, postMergerBasis,AT46, lotFractionAmount,AG46, IF(useForFraction, (fractionSaleFMV - postMergerBasis)*lotFractionAmount, 0))</f>
        <v>0</v>
      </c>
      <c r="AI46" s="439">
        <f t="shared" si="11"/>
        <v>0</v>
      </c>
      <c r="AJ46" s="440">
        <f>LET(
purchaseDate,C46,
mergerDate,Reference!$B$28,
lotFractionGain,AH46,
mergerGain,AI46,
IF(DATEDIF(purchaseDate,mergerDate,"Y")&gt;=1,
  0,
  lotFractionGain + mergerGain
))</f>
        <v>0</v>
      </c>
      <c r="AK46" s="440">
        <f>LET(
purchaseDate,C46,
mergerDate,Reference!$B$28,
lotFractionGain,AH46,
mergerGain,AI46,
IF(DATEDIF(purchaseDate,mergerDate,"Y")&gt;=1,
  lotFractionGain+mergerGain,
  0
))</f>
        <v>0</v>
      </c>
      <c r="AL46" s="441" t="str">
        <f>IF(DATEDIF(C46,Reference!$B$28,"Y")&gt;=1,"Part II Box E","Part I Box B")</f>
        <v>Part II Box E</v>
      </c>
      <c r="AM46" s="336">
        <f t="shared" si="12"/>
        <v>43952</v>
      </c>
      <c r="AN46" s="337">
        <f t="shared" si="13"/>
        <v>0</v>
      </c>
      <c r="AO46" s="337">
        <f>LET(
cashReceived,W46, 
avgoQty,AE46, 
proceedsStyle,Reference!$E$9, 
avgoFMV,Reference!$B$18, 
SWITCH(proceedsStyle, "combined", cashReceived +(avgoQty*avgoFMV), "cashOnly", cashReceived))</f>
        <v>0</v>
      </c>
      <c r="AP46" s="338">
        <f>LET(
numVmwShares,D46, 
vmwBasis, Z46, 
avgoQty,AE46, 
avgoFMV,Reference!$B$18, 
cashReceived,W46, 
avgoTotalValue, avgoFMV*avgoQty, 
vmwTotalBasis, vmwBasis*numVmwShares,
alternateGainAmount,AF46, 
IF(cashReceived&lt;alternateGainAmount,
  avgoTotalValue,
  vmwTotalBasis
))</f>
        <v>0</v>
      </c>
      <c r="AQ46" s="338" t="str">
        <f t="shared" si="14"/>
        <v/>
      </c>
      <c r="AR46" s="338">
        <v>0.0</v>
      </c>
      <c r="AS46" s="339">
        <f t="shared" si="15"/>
        <v>0</v>
      </c>
      <c r="AT46" s="442" t="str">
        <f t="shared" si="16"/>
        <v>n/a</v>
      </c>
      <c r="AU46" s="328">
        <f>LET(saleFMV,Reference!$B$10, postMergerBasis,AT46, avgoQty,AE46, lotFractionAmount,AG46, iferror((saleFMV - postMergerBasis) * (avgoQty - lotFractionAmount), 0))</f>
        <v>0</v>
      </c>
      <c r="AV46" s="328">
        <f>LET(
avgoQty,AE47, 
purchaseDate,C47,
postMergerSaleDate,Reference!$B$29,
saleFMV,Reference!$B$10,
postMergerBasis,AT47, 
IFERROR(IF(DATEDIF(purchaseDate,postMergerSaleDate,"Y")&gt;=1,
  0,
  avgoQty * (saleFMV - postMergerBasis)
),0))</f>
        <v>0</v>
      </c>
      <c r="AW46" s="331">
        <f>LET(
avgoQty,AE46, 
purchaseDate,C46,
postMergerSaleDate,Reference!$B$29,
saleFMV,Reference!$B$10,
postMergerBasis,AT46, 
IFERROR(IF(DATEDIF(purchaseDate,postMergerSaleDate,"Y")&gt;=1,
  avgoQty * (saleFMV - postMergerBasis),
  0
),0))</f>
        <v>0</v>
      </c>
    </row>
    <row r="47">
      <c r="A47" s="431" t="s">
        <v>230</v>
      </c>
      <c r="B47" s="432">
        <v>43630.0</v>
      </c>
      <c r="C47" s="301">
        <v>43983.0</v>
      </c>
      <c r="D47" s="332"/>
      <c r="E47" s="433">
        <v>154.14</v>
      </c>
      <c r="F47" s="443"/>
      <c r="G47" s="305">
        <f t="shared" si="6"/>
        <v>0</v>
      </c>
      <c r="H47" s="317">
        <f t="shared" si="7"/>
        <v>0</v>
      </c>
      <c r="I47" s="446"/>
      <c r="J47" s="342" t="b">
        <v>0</v>
      </c>
      <c r="K47" s="436"/>
      <c r="L47" s="311">
        <v>0.0</v>
      </c>
      <c r="M47" s="311">
        <v>0.0</v>
      </c>
      <c r="N47" s="311">
        <v>0.0</v>
      </c>
      <c r="O47" s="311">
        <v>0.0</v>
      </c>
      <c r="P47" s="311">
        <v>0.0</v>
      </c>
      <c r="Q47" s="313">
        <f t="shared" si="8"/>
        <v>0</v>
      </c>
      <c r="R47" s="313" t="str">
        <f>SWITCH(S47,"cash",Reference!E$5,"shares",Reference!$E$6,"balance",Reference!$E$7,"pro-rata",Reference!$B$5)</f>
        <v>#DIV/0!</v>
      </c>
      <c r="S47" s="314" t="s">
        <v>205</v>
      </c>
      <c r="T47" s="315">
        <f>LET(numVmwShares,D47, cashRatio,Reference!$B$4, vmwFinalPrice,Reference!$B$3, numVmwShares * cashRatio * vmwFinalPrice)</f>
        <v>0</v>
      </c>
      <c r="U47" s="315">
        <f>iferror(LET(numVmwShares,$D47, stockRatio,Q47, vmwFinalPrice,Reference!$B$3, (1 - stockRatio) * vmwFinalPrice * numVmwShares),0)</f>
        <v>0</v>
      </c>
      <c r="V47" s="315">
        <f>iferror(LET(numVmwShares,$D47, stockRatio,R47, vmwFinalPrice,Reference!$B$3, (1 - stockRatio) * vmwFinalPrice * numVmwShares),0)</f>
        <v>0</v>
      </c>
      <c r="W47" s="315">
        <f>SWITCH(Reference!$E$4,"eTradeTransactionLog", T47, "eTradeHoldingRatio",T47, "eTradeLotQtyRatio",U47,"manualLotRatio",V47)</f>
        <v>0</v>
      </c>
      <c r="X47" s="305">
        <f>LET(purchaseDate,C47, dateOfRecord,Reference!$B$26, returnOfCapital,Reference!$C$26, IF(purchaseDate &lt; dateOfRecord, returnOfCapital,0))</f>
        <v>0</v>
      </c>
      <c r="Y47" s="305">
        <f>LET(purchaseDate,C47, dateOfRecord,Reference!$B$27, returnOfCapital,Reference!$C$27, IF(purchaseDate &lt; dateOfRecord, returnOfCapital,0))</f>
        <v>16.58</v>
      </c>
      <c r="Z47" s="305">
        <f t="shared" si="9"/>
        <v>137.56</v>
      </c>
      <c r="AA47" s="305">
        <f t="shared" si="10"/>
        <v>0</v>
      </c>
      <c r="AB47" s="316">
        <f>LET(numVmwShares,D47, stockRatio,Reference!$B$5, vmwToAvgoRatio,Reference!$B$6, numVmwShares * stockRatio * vmwToAvgoRatio)</f>
        <v>0</v>
      </c>
      <c r="AC47" s="316">
        <f>LET(numVmwShares,D47, stockRatio,Q47, vmwToAvgoRatio,Reference!$B$6, numVmwShares * stockRatio * vmwToAvgoRatio)</f>
        <v>0</v>
      </c>
      <c r="AD47" s="316" t="str">
        <f>LET(numVmwShares,D47, stockRatio,R47, vmwToAvgoRatio,Reference!$B$6, numVmwShares * stockRatio * vmwToAvgoRatio)</f>
        <v>#DIV/0!</v>
      </c>
      <c r="AE47" s="316">
        <f>SWITCH(Reference!$E$4, "eTradeTransactionLog", AB47, "eTradeHoldingRatio",AB47, "eTradeLotQtyRatio",AC47,"manualLotRatio",AD47)</f>
        <v>0</v>
      </c>
      <c r="AF47" s="317">
        <f>LET(numVmwShares,D47, vmwBasis,Z47, avgoQty,AE47, avgoFMV,Reference!$B$18, cashReceived,W47, gain,cashReceived+(avgoQty*avgoFMV)-(numVmwShares*vmwBasis),
MAX(gain,0))</f>
        <v>0</v>
      </c>
      <c r="AG47" s="318">
        <f>LET(useForFraction,J47, fractionAmount,Summary!$C$41, esppFractionLots,ESPP!$N$5, rsuFractionLots,RSU!J$5, IF(useForFraction, fractionAmount / (esppFractionLots+rsuFractionLots), 0))</f>
        <v>0</v>
      </c>
      <c r="AH47" s="438">
        <f>LET(useForFraction,J47, fractionSaleFMV,Reference!$B$23, postMergerBasis,AT47, lotFractionAmount,AG47, IF(useForFraction, (fractionSaleFMV - postMergerBasis)*lotFractionAmount, 0))</f>
        <v>0</v>
      </c>
      <c r="AI47" s="439">
        <f t="shared" si="11"/>
        <v>0</v>
      </c>
      <c r="AJ47" s="440">
        <f>LET(
purchaseDate,C47,
mergerDate,Reference!$B$28,
lotFractionGain,AH47,
mergerGain,AI47,
IF(DATEDIF(purchaseDate,mergerDate,"Y")&gt;=1,
  0,
  lotFractionGain + mergerGain
))</f>
        <v>0</v>
      </c>
      <c r="AK47" s="440">
        <f>LET(
purchaseDate,C47,
mergerDate,Reference!$B$28,
lotFractionGain,AH47,
mergerGain,AI47,
IF(DATEDIF(purchaseDate,mergerDate,"Y")&gt;=1,
  lotFractionGain+mergerGain,
  0
))</f>
        <v>0</v>
      </c>
      <c r="AL47" s="441" t="str">
        <f>IF(DATEDIF(C47,Reference!$B$28,"Y")&gt;=1,"Part II Box E","Part I Box B")</f>
        <v>Part II Box E</v>
      </c>
      <c r="AM47" s="336">
        <f t="shared" si="12"/>
        <v>43983</v>
      </c>
      <c r="AN47" s="337">
        <f t="shared" si="13"/>
        <v>0</v>
      </c>
      <c r="AO47" s="337">
        <f>LET(
cashReceived,W47, 
avgoQty,AE47, 
proceedsStyle,Reference!$E$9, 
avgoFMV,Reference!$B$18, 
SWITCH(proceedsStyle, "combined", cashReceived +(avgoQty*avgoFMV), "cashOnly", cashReceived))</f>
        <v>0</v>
      </c>
      <c r="AP47" s="338">
        <f>LET(
numVmwShares,D47, 
vmwBasis, Z47, 
avgoQty,AE47, 
avgoFMV,Reference!$B$18, 
cashReceived,W47, 
avgoTotalValue, avgoFMV*avgoQty, 
vmwTotalBasis, vmwBasis*numVmwShares,
alternateGainAmount,AF47, 
IF(cashReceived&lt;alternateGainAmount,
  avgoTotalValue,
  vmwTotalBasis
))</f>
        <v>0</v>
      </c>
      <c r="AQ47" s="338" t="str">
        <f t="shared" si="14"/>
        <v/>
      </c>
      <c r="AR47" s="338">
        <v>0.0</v>
      </c>
      <c r="AS47" s="339">
        <f t="shared" si="15"/>
        <v>0</v>
      </c>
      <c r="AT47" s="442" t="str">
        <f t="shared" si="16"/>
        <v>n/a</v>
      </c>
      <c r="AU47" s="328">
        <f>LET(saleFMV,Reference!$B$10, postMergerBasis,AT47, avgoQty,AE47, lotFractionAmount,AG47, iferror((saleFMV - postMergerBasis) * (avgoQty - lotFractionAmount), 0))</f>
        <v>0</v>
      </c>
      <c r="AV47" s="328">
        <f>LET(
avgoQty,AE48, 
purchaseDate,C48,
postMergerSaleDate,Reference!$B$29,
saleFMV,Reference!$B$10,
postMergerBasis,AT48, 
IFERROR(IF(DATEDIF(purchaseDate,postMergerSaleDate,"Y")&gt;=1,
  0,
  avgoQty * (saleFMV - postMergerBasis)
),0))</f>
        <v>0</v>
      </c>
      <c r="AW47" s="331">
        <f>LET(
avgoQty,AE47, 
purchaseDate,C47,
postMergerSaleDate,Reference!$B$29,
saleFMV,Reference!$B$10,
postMergerBasis,AT47, 
IFERROR(IF(DATEDIF(purchaseDate,postMergerSaleDate,"Y")&gt;=1,
  avgoQty * (saleFMV - postMergerBasis),
  0
),0))</f>
        <v>0</v>
      </c>
    </row>
    <row r="48">
      <c r="A48" s="431" t="s">
        <v>229</v>
      </c>
      <c r="B48" s="432">
        <v>43462.0</v>
      </c>
      <c r="C48" s="301">
        <v>43983.0</v>
      </c>
      <c r="D48" s="332"/>
      <c r="E48" s="433">
        <v>154.14</v>
      </c>
      <c r="F48" s="443"/>
      <c r="G48" s="305">
        <f t="shared" si="6"/>
        <v>0</v>
      </c>
      <c r="H48" s="317">
        <f t="shared" si="7"/>
        <v>0</v>
      </c>
      <c r="I48" s="444"/>
      <c r="J48" s="342" t="b">
        <v>0</v>
      </c>
      <c r="K48" s="436"/>
      <c r="L48" s="311">
        <v>0.0</v>
      </c>
      <c r="M48" s="311">
        <v>0.0</v>
      </c>
      <c r="N48" s="311">
        <v>0.0</v>
      </c>
      <c r="O48" s="311">
        <v>0.0</v>
      </c>
      <c r="P48" s="311">
        <v>0.0</v>
      </c>
      <c r="Q48" s="313">
        <f t="shared" si="8"/>
        <v>0</v>
      </c>
      <c r="R48" s="313" t="str">
        <f>SWITCH(S48,"cash",Reference!E$5,"shares",Reference!$E$6,"balance",Reference!$E$7,"pro-rata",Reference!$B$5)</f>
        <v>#DIV/0!</v>
      </c>
      <c r="S48" s="314" t="s">
        <v>205</v>
      </c>
      <c r="T48" s="315">
        <f>LET(numVmwShares,D48, cashRatio,Reference!$B$4, vmwFinalPrice,Reference!$B$3, numVmwShares * cashRatio * vmwFinalPrice)</f>
        <v>0</v>
      </c>
      <c r="U48" s="315">
        <f>iferror(LET(numVmwShares,$D48, stockRatio,Q48, vmwFinalPrice,Reference!$B$3, (1 - stockRatio) * vmwFinalPrice * numVmwShares),0)</f>
        <v>0</v>
      </c>
      <c r="V48" s="315">
        <f>iferror(LET(numVmwShares,$D48, stockRatio,R48, vmwFinalPrice,Reference!$B$3, (1 - stockRatio) * vmwFinalPrice * numVmwShares),0)</f>
        <v>0</v>
      </c>
      <c r="W48" s="315">
        <f>SWITCH(Reference!$E$4,"eTradeTransactionLog", T48, "eTradeHoldingRatio",T48, "eTradeLotQtyRatio",U48,"manualLotRatio",V48)</f>
        <v>0</v>
      </c>
      <c r="X48" s="305">
        <f>LET(purchaseDate,C48, dateOfRecord,Reference!$B$26, returnOfCapital,Reference!$C$26, IF(purchaseDate &lt; dateOfRecord, returnOfCapital,0))</f>
        <v>0</v>
      </c>
      <c r="Y48" s="305">
        <f>LET(purchaseDate,C48, dateOfRecord,Reference!$B$27, returnOfCapital,Reference!$C$27, IF(purchaseDate &lt; dateOfRecord, returnOfCapital,0))</f>
        <v>16.58</v>
      </c>
      <c r="Z48" s="305">
        <f t="shared" si="9"/>
        <v>137.56</v>
      </c>
      <c r="AA48" s="305">
        <f t="shared" si="10"/>
        <v>0</v>
      </c>
      <c r="AB48" s="316">
        <f>LET(numVmwShares,D48, stockRatio,Reference!$B$5, vmwToAvgoRatio,Reference!$B$6, numVmwShares * stockRatio * vmwToAvgoRatio)</f>
        <v>0</v>
      </c>
      <c r="AC48" s="316">
        <f>LET(numVmwShares,D48, stockRatio,Q48, vmwToAvgoRatio,Reference!$B$6, numVmwShares * stockRatio * vmwToAvgoRatio)</f>
        <v>0</v>
      </c>
      <c r="AD48" s="316" t="str">
        <f>LET(numVmwShares,D48, stockRatio,R48, vmwToAvgoRatio,Reference!$B$6, numVmwShares * stockRatio * vmwToAvgoRatio)</f>
        <v>#DIV/0!</v>
      </c>
      <c r="AE48" s="316">
        <f>SWITCH(Reference!$E$4, "eTradeTransactionLog", AB48, "eTradeHoldingRatio",AB48, "eTradeLotQtyRatio",AC48,"manualLotRatio",AD48)</f>
        <v>0</v>
      </c>
      <c r="AF48" s="317">
        <f>LET(numVmwShares,D48, vmwBasis,Z48, avgoQty,AE48, avgoFMV,Reference!$B$18, cashReceived,W48, gain,cashReceived+(avgoQty*avgoFMV)-(numVmwShares*vmwBasis),
MAX(gain,0))</f>
        <v>0</v>
      </c>
      <c r="AG48" s="318">
        <f>LET(useForFraction,J48, fractionAmount,Summary!$C$41, esppFractionLots,ESPP!$N$5, rsuFractionLots,RSU!J$5, IF(useForFraction, fractionAmount / (esppFractionLots+rsuFractionLots), 0))</f>
        <v>0</v>
      </c>
      <c r="AH48" s="438">
        <f>LET(useForFraction,J48, fractionSaleFMV,Reference!$B$23, postMergerBasis,AT48, lotFractionAmount,AG48, IF(useForFraction, (fractionSaleFMV - postMergerBasis)*lotFractionAmount, 0))</f>
        <v>0</v>
      </c>
      <c r="AI48" s="439">
        <f t="shared" si="11"/>
        <v>0</v>
      </c>
      <c r="AJ48" s="440">
        <f>LET(
purchaseDate,C48,
mergerDate,Reference!$B$28,
lotFractionGain,AH48,
mergerGain,AI48,
IF(DATEDIF(purchaseDate,mergerDate,"Y")&gt;=1,
  0,
  lotFractionGain + mergerGain
))</f>
        <v>0</v>
      </c>
      <c r="AK48" s="440">
        <f>LET(
purchaseDate,C48,
mergerDate,Reference!$B$28,
lotFractionGain,AH48,
mergerGain,AI48,
IF(DATEDIF(purchaseDate,mergerDate,"Y")&gt;=1,
  lotFractionGain+mergerGain,
  0
))</f>
        <v>0</v>
      </c>
      <c r="AL48" s="441" t="str">
        <f>IF(DATEDIF(C48,Reference!$B$28,"Y")&gt;=1,"Part II Box E","Part I Box B")</f>
        <v>Part II Box E</v>
      </c>
      <c r="AM48" s="336">
        <f t="shared" si="12"/>
        <v>43983</v>
      </c>
      <c r="AN48" s="337">
        <f t="shared" si="13"/>
        <v>0</v>
      </c>
      <c r="AO48" s="337">
        <f>LET(
cashReceived,W48, 
avgoQty,AE48, 
proceedsStyle,Reference!$E$9, 
avgoFMV,Reference!$B$18, 
SWITCH(proceedsStyle, "combined", cashReceived +(avgoQty*avgoFMV), "cashOnly", cashReceived))</f>
        <v>0</v>
      </c>
      <c r="AP48" s="338">
        <f>LET(
numVmwShares,D48, 
vmwBasis, Z48, 
avgoQty,AE48, 
avgoFMV,Reference!$B$18, 
cashReceived,W48, 
avgoTotalValue, avgoFMV*avgoQty, 
vmwTotalBasis, vmwBasis*numVmwShares,
alternateGainAmount,AF48, 
IF(cashReceived&lt;alternateGainAmount,
  avgoTotalValue,
  vmwTotalBasis
))</f>
        <v>0</v>
      </c>
      <c r="AQ48" s="338" t="str">
        <f t="shared" si="14"/>
        <v/>
      </c>
      <c r="AR48" s="338">
        <v>0.0</v>
      </c>
      <c r="AS48" s="339">
        <f t="shared" si="15"/>
        <v>0</v>
      </c>
      <c r="AT48" s="442" t="str">
        <f t="shared" si="16"/>
        <v>n/a</v>
      </c>
      <c r="AU48" s="328">
        <f>LET(saleFMV,Reference!$B$10, postMergerBasis,AT48, avgoQty,AE48, lotFractionAmount,AG48, iferror((saleFMV - postMergerBasis) * (avgoQty - lotFractionAmount), 0))</f>
        <v>0</v>
      </c>
      <c r="AV48" s="328">
        <f>LET(
avgoQty,AE49, 
purchaseDate,C49,
postMergerSaleDate,Reference!$B$29,
saleFMV,Reference!$B$10,
postMergerBasis,AT49, 
IFERROR(IF(DATEDIF(purchaseDate,postMergerSaleDate,"Y")&gt;=1,
  0,
  avgoQty * (saleFMV - postMergerBasis)
),0))</f>
        <v>0</v>
      </c>
      <c r="AW48" s="331">
        <f>LET(
avgoQty,AE48, 
purchaseDate,C48,
postMergerSaleDate,Reference!$B$29,
saleFMV,Reference!$B$10,
postMergerBasis,AT48, 
IFERROR(IF(DATEDIF(purchaseDate,postMergerSaleDate,"Y")&gt;=1,
  avgoQty * (saleFMV - postMergerBasis),
  0
),0))</f>
        <v>0</v>
      </c>
    </row>
    <row r="49">
      <c r="A49" s="431" t="s">
        <v>226</v>
      </c>
      <c r="B49" s="432">
        <v>43462.0</v>
      </c>
      <c r="C49" s="301">
        <v>44013.0</v>
      </c>
      <c r="D49" s="332"/>
      <c r="E49" s="433">
        <v>153.1</v>
      </c>
      <c r="F49" s="443"/>
      <c r="G49" s="305">
        <f t="shared" si="6"/>
        <v>0</v>
      </c>
      <c r="H49" s="317">
        <f t="shared" si="7"/>
        <v>0</v>
      </c>
      <c r="I49" s="444"/>
      <c r="J49" s="342" t="b">
        <v>0</v>
      </c>
      <c r="K49" s="436"/>
      <c r="L49" s="311">
        <v>0.0</v>
      </c>
      <c r="M49" s="311">
        <v>0.0</v>
      </c>
      <c r="N49" s="311">
        <v>0.0</v>
      </c>
      <c r="O49" s="311">
        <v>0.0</v>
      </c>
      <c r="P49" s="311">
        <v>0.0</v>
      </c>
      <c r="Q49" s="313">
        <f t="shared" si="8"/>
        <v>0</v>
      </c>
      <c r="R49" s="313" t="str">
        <f>SWITCH(S49,"cash",Reference!E$5,"shares",Reference!$E$6,"balance",Reference!$E$7,"pro-rata",Reference!$B$5)</f>
        <v>#DIV/0!</v>
      </c>
      <c r="S49" s="314" t="s">
        <v>205</v>
      </c>
      <c r="T49" s="315">
        <f>LET(numVmwShares,D49, cashRatio,Reference!$B$4, vmwFinalPrice,Reference!$B$3, numVmwShares * cashRatio * vmwFinalPrice)</f>
        <v>0</v>
      </c>
      <c r="U49" s="315">
        <f>iferror(LET(numVmwShares,$D49, stockRatio,Q49, vmwFinalPrice,Reference!$B$3, (1 - stockRatio) * vmwFinalPrice * numVmwShares),0)</f>
        <v>0</v>
      </c>
      <c r="V49" s="315">
        <f>iferror(LET(numVmwShares,$D49, stockRatio,R49, vmwFinalPrice,Reference!$B$3, (1 - stockRatio) * vmwFinalPrice * numVmwShares),0)</f>
        <v>0</v>
      </c>
      <c r="W49" s="315">
        <f>SWITCH(Reference!$E$4,"eTradeTransactionLog", T49, "eTradeHoldingRatio",T49, "eTradeLotQtyRatio",U49,"manualLotRatio",V49)</f>
        <v>0</v>
      </c>
      <c r="X49" s="305">
        <f>LET(purchaseDate,C49, dateOfRecord,Reference!$B$26, returnOfCapital,Reference!$C$26, IF(purchaseDate &lt; dateOfRecord, returnOfCapital,0))</f>
        <v>0</v>
      </c>
      <c r="Y49" s="305">
        <f>LET(purchaseDate,C49, dateOfRecord,Reference!$B$27, returnOfCapital,Reference!$C$27, IF(purchaseDate &lt; dateOfRecord, returnOfCapital,0))</f>
        <v>16.58</v>
      </c>
      <c r="Z49" s="305">
        <f t="shared" si="9"/>
        <v>136.52</v>
      </c>
      <c r="AA49" s="305">
        <f t="shared" si="10"/>
        <v>0</v>
      </c>
      <c r="AB49" s="316">
        <f>LET(numVmwShares,D49, stockRatio,Reference!$B$5, vmwToAvgoRatio,Reference!$B$6, numVmwShares * stockRatio * vmwToAvgoRatio)</f>
        <v>0</v>
      </c>
      <c r="AC49" s="316">
        <f>LET(numVmwShares,D49, stockRatio,Q49, vmwToAvgoRatio,Reference!$B$6, numVmwShares * stockRatio * vmwToAvgoRatio)</f>
        <v>0</v>
      </c>
      <c r="AD49" s="316" t="str">
        <f>LET(numVmwShares,D49, stockRatio,R49, vmwToAvgoRatio,Reference!$B$6, numVmwShares * stockRatio * vmwToAvgoRatio)</f>
        <v>#DIV/0!</v>
      </c>
      <c r="AE49" s="316">
        <f>SWITCH(Reference!$E$4, "eTradeTransactionLog", AB49, "eTradeHoldingRatio",AB49, "eTradeLotQtyRatio",AC49,"manualLotRatio",AD49)</f>
        <v>0</v>
      </c>
      <c r="AF49" s="317">
        <f>LET(numVmwShares,D49, vmwBasis,Z49, avgoQty,AE49, avgoFMV,Reference!$B$18, cashReceived,W49, gain,cashReceived+(avgoQty*avgoFMV)-(numVmwShares*vmwBasis),
MAX(gain,0))</f>
        <v>0</v>
      </c>
      <c r="AG49" s="318">
        <f>LET(useForFraction,J49, fractionAmount,Summary!$C$41, esppFractionLots,ESPP!$N$5, rsuFractionLots,RSU!J$5, IF(useForFraction, fractionAmount / (esppFractionLots+rsuFractionLots), 0))</f>
        <v>0</v>
      </c>
      <c r="AH49" s="438">
        <f>LET(useForFraction,J49, fractionSaleFMV,Reference!$B$23, postMergerBasis,AT49, lotFractionAmount,AG49, IF(useForFraction, (fractionSaleFMV - postMergerBasis)*lotFractionAmount, 0))</f>
        <v>0</v>
      </c>
      <c r="AI49" s="439">
        <f t="shared" si="11"/>
        <v>0</v>
      </c>
      <c r="AJ49" s="440">
        <f>LET(
purchaseDate,C49,
mergerDate,Reference!$B$28,
lotFractionGain,AH49,
mergerGain,AI49,
IF(DATEDIF(purchaseDate,mergerDate,"Y")&gt;=1,
  0,
  lotFractionGain + mergerGain
))</f>
        <v>0</v>
      </c>
      <c r="AK49" s="440">
        <f>LET(
purchaseDate,C49,
mergerDate,Reference!$B$28,
lotFractionGain,AH49,
mergerGain,AI49,
IF(DATEDIF(purchaseDate,mergerDate,"Y")&gt;=1,
  lotFractionGain+mergerGain,
  0
))</f>
        <v>0</v>
      </c>
      <c r="AL49" s="441" t="str">
        <f>IF(DATEDIF(C49,Reference!$B$28,"Y")&gt;=1,"Part II Box E","Part I Box B")</f>
        <v>Part II Box E</v>
      </c>
      <c r="AM49" s="336">
        <f t="shared" si="12"/>
        <v>44013</v>
      </c>
      <c r="AN49" s="337">
        <f t="shared" si="13"/>
        <v>0</v>
      </c>
      <c r="AO49" s="337">
        <f>LET(
cashReceived,W49, 
avgoQty,AE49, 
proceedsStyle,Reference!$E$9, 
avgoFMV,Reference!$B$18, 
SWITCH(proceedsStyle, "combined", cashReceived +(avgoQty*avgoFMV), "cashOnly", cashReceived))</f>
        <v>0</v>
      </c>
      <c r="AP49" s="338">
        <f>LET(
numVmwShares,D49, 
vmwBasis, Z49, 
avgoQty,AE49, 
avgoFMV,Reference!$B$18, 
cashReceived,W49, 
avgoTotalValue, avgoFMV*avgoQty, 
vmwTotalBasis, vmwBasis*numVmwShares,
alternateGainAmount,AF49, 
IF(cashReceived&lt;alternateGainAmount,
  avgoTotalValue,
  vmwTotalBasis
))</f>
        <v>0</v>
      </c>
      <c r="AQ49" s="338" t="str">
        <f t="shared" si="14"/>
        <v/>
      </c>
      <c r="AR49" s="338">
        <v>0.0</v>
      </c>
      <c r="AS49" s="339">
        <f t="shared" si="15"/>
        <v>0</v>
      </c>
      <c r="AT49" s="442" t="str">
        <f t="shared" si="16"/>
        <v>n/a</v>
      </c>
      <c r="AU49" s="328">
        <f>LET(saleFMV,Reference!$B$10, postMergerBasis,AT49, avgoQty,AE49, lotFractionAmount,AG49, iferror((saleFMV - postMergerBasis) * (avgoQty - lotFractionAmount), 0))</f>
        <v>0</v>
      </c>
      <c r="AV49" s="328">
        <f>LET(
avgoQty,AE50, 
purchaseDate,C50,
postMergerSaleDate,Reference!$B$29,
saleFMV,Reference!$B$10,
postMergerBasis,AT50, 
IFERROR(IF(DATEDIF(purchaseDate,postMergerSaleDate,"Y")&gt;=1,
  0,
  avgoQty * (saleFMV - postMergerBasis)
),0))</f>
        <v>0</v>
      </c>
      <c r="AW49" s="331">
        <f>LET(
avgoQty,AE49, 
purchaseDate,C49,
postMergerSaleDate,Reference!$B$29,
saleFMV,Reference!$B$10,
postMergerBasis,AT49, 
IFERROR(IF(DATEDIF(purchaseDate,postMergerSaleDate,"Y")&gt;=1,
  avgoQty * (saleFMV - postMergerBasis),
  0
),0))</f>
        <v>0</v>
      </c>
    </row>
    <row r="50">
      <c r="A50" s="431"/>
      <c r="B50" s="447"/>
      <c r="C50" s="448">
        <v>44075.0</v>
      </c>
      <c r="D50" s="332"/>
      <c r="E50" s="433">
        <v>141.28</v>
      </c>
      <c r="F50" s="443"/>
      <c r="G50" s="305">
        <f t="shared" si="6"/>
        <v>0</v>
      </c>
      <c r="H50" s="317">
        <f t="shared" si="7"/>
        <v>0</v>
      </c>
      <c r="I50" s="444"/>
      <c r="J50" s="342" t="b">
        <v>0</v>
      </c>
      <c r="K50" s="436"/>
      <c r="L50" s="311">
        <v>0.0</v>
      </c>
      <c r="M50" s="311">
        <v>0.0</v>
      </c>
      <c r="N50" s="311">
        <v>0.0</v>
      </c>
      <c r="O50" s="311">
        <v>0.0</v>
      </c>
      <c r="P50" s="311">
        <v>0.0</v>
      </c>
      <c r="Q50" s="313">
        <f t="shared" si="8"/>
        <v>0</v>
      </c>
      <c r="R50" s="313" t="str">
        <f>SWITCH(S50,"cash",Reference!E$5,"shares",Reference!$E$6,"balance",Reference!$E$7,"pro-rata",Reference!$B$5)</f>
        <v>#DIV/0!</v>
      </c>
      <c r="S50" s="314" t="s">
        <v>205</v>
      </c>
      <c r="T50" s="315">
        <f>LET(numVmwShares,D50, cashRatio,Reference!$B$4, vmwFinalPrice,Reference!$B$3, numVmwShares * cashRatio * vmwFinalPrice)</f>
        <v>0</v>
      </c>
      <c r="U50" s="315">
        <f>iferror(LET(numVmwShares,$D50, stockRatio,Q50, vmwFinalPrice,Reference!$B$3, (1 - stockRatio) * vmwFinalPrice * numVmwShares),0)</f>
        <v>0</v>
      </c>
      <c r="V50" s="315">
        <f>iferror(LET(numVmwShares,$D50, stockRatio,R50, vmwFinalPrice,Reference!$B$3, (1 - stockRatio) * vmwFinalPrice * numVmwShares),0)</f>
        <v>0</v>
      </c>
      <c r="W50" s="315">
        <f>SWITCH(Reference!$E$4,"eTradeTransactionLog", T50, "eTradeHoldingRatio",T50, "eTradeLotQtyRatio",U50,"manualLotRatio",V50)</f>
        <v>0</v>
      </c>
      <c r="X50" s="305">
        <f>LET(purchaseDate,C50, dateOfRecord,Reference!$B$26, returnOfCapital,Reference!$C$26, IF(purchaseDate &lt; dateOfRecord, returnOfCapital,0))</f>
        <v>0</v>
      </c>
      <c r="Y50" s="305">
        <f>LET(purchaseDate,C50, dateOfRecord,Reference!$B$27, returnOfCapital,Reference!$C$27, IF(purchaseDate &lt; dateOfRecord, returnOfCapital,0))</f>
        <v>16.58</v>
      </c>
      <c r="Z50" s="305">
        <f t="shared" si="9"/>
        <v>124.7</v>
      </c>
      <c r="AA50" s="305">
        <f t="shared" si="10"/>
        <v>0</v>
      </c>
      <c r="AB50" s="316">
        <f>LET(numVmwShares,D50, stockRatio,Reference!$B$5, vmwToAvgoRatio,Reference!$B$6, numVmwShares * stockRatio * vmwToAvgoRatio)</f>
        <v>0</v>
      </c>
      <c r="AC50" s="316">
        <f>LET(numVmwShares,D50, stockRatio,Q50, vmwToAvgoRatio,Reference!$B$6, numVmwShares * stockRatio * vmwToAvgoRatio)</f>
        <v>0</v>
      </c>
      <c r="AD50" s="316" t="str">
        <f>LET(numVmwShares,D50, stockRatio,R50, vmwToAvgoRatio,Reference!$B$6, numVmwShares * stockRatio * vmwToAvgoRatio)</f>
        <v>#DIV/0!</v>
      </c>
      <c r="AE50" s="316">
        <f>SWITCH(Reference!$E$4, "eTradeTransactionLog", AB50, "eTradeHoldingRatio",AB50, "eTradeLotQtyRatio",AC50,"manualLotRatio",AD50)</f>
        <v>0</v>
      </c>
      <c r="AF50" s="317">
        <f>LET(numVmwShares,D50, vmwBasis,Z50, avgoQty,AE50, avgoFMV,Reference!$B$18, cashReceived,W50, gain,cashReceived+(avgoQty*avgoFMV)-(numVmwShares*vmwBasis),
MAX(gain,0))</f>
        <v>0</v>
      </c>
      <c r="AG50" s="318">
        <f>LET(useForFraction,J50, fractionAmount,Summary!$C$41, esppFractionLots,ESPP!$N$5, rsuFractionLots,RSU!J$5, IF(useForFraction, fractionAmount / (esppFractionLots+rsuFractionLots), 0))</f>
        <v>0</v>
      </c>
      <c r="AH50" s="438">
        <f>LET(useForFraction,J50, fractionSaleFMV,Reference!$B$23, postMergerBasis,AT50, lotFractionAmount,AG50, IF(useForFraction, (fractionSaleFMV - postMergerBasis)*lotFractionAmount, 0))</f>
        <v>0</v>
      </c>
      <c r="AI50" s="439">
        <f t="shared" si="11"/>
        <v>0</v>
      </c>
      <c r="AJ50" s="440">
        <f>LET(
purchaseDate,C50,
mergerDate,Reference!$B$28,
lotFractionGain,AH50,
mergerGain,AI50,
IF(DATEDIF(purchaseDate,mergerDate,"Y")&gt;=1,
  0,
  lotFractionGain + mergerGain
))</f>
        <v>0</v>
      </c>
      <c r="AK50" s="440">
        <f>LET(
purchaseDate,C50,
mergerDate,Reference!$B$28,
lotFractionGain,AH50,
mergerGain,AI50,
IF(DATEDIF(purchaseDate,mergerDate,"Y")&gt;=1,
  lotFractionGain+mergerGain,
  0
))</f>
        <v>0</v>
      </c>
      <c r="AL50" s="441" t="str">
        <f>IF(DATEDIF(C50,Reference!$B$28,"Y")&gt;=1,"Part II Box E","Part I Box B")</f>
        <v>Part II Box E</v>
      </c>
      <c r="AM50" s="336">
        <f t="shared" si="12"/>
        <v>44075</v>
      </c>
      <c r="AN50" s="337">
        <f t="shared" si="13"/>
        <v>0</v>
      </c>
      <c r="AO50" s="337">
        <f>LET(
cashReceived,W50, 
avgoQty,AE50, 
proceedsStyle,Reference!$E$9, 
avgoFMV,Reference!$B$18, 
SWITCH(proceedsStyle, "combined", cashReceived +(avgoQty*avgoFMV), "cashOnly", cashReceived))</f>
        <v>0</v>
      </c>
      <c r="AP50" s="338">
        <f>LET(
numVmwShares,D50, 
vmwBasis, Z50, 
avgoQty,AE50, 
avgoFMV,Reference!$B$18, 
cashReceived,W50, 
avgoTotalValue, avgoFMV*avgoQty, 
vmwTotalBasis, vmwBasis*numVmwShares,
alternateGainAmount,AF50, 
IF(cashReceived&lt;alternateGainAmount,
  avgoTotalValue,
  vmwTotalBasis
))</f>
        <v>0</v>
      </c>
      <c r="AQ50" s="338" t="str">
        <f t="shared" si="14"/>
        <v/>
      </c>
      <c r="AR50" s="338">
        <v>0.0</v>
      </c>
      <c r="AS50" s="339">
        <f t="shared" si="15"/>
        <v>0</v>
      </c>
      <c r="AT50" s="442" t="str">
        <f t="shared" si="16"/>
        <v>n/a</v>
      </c>
      <c r="AU50" s="328">
        <f>LET(saleFMV,Reference!$B$10, postMergerBasis,AT50, avgoQty,AE50, lotFractionAmount,AG50, iferror((saleFMV - postMergerBasis) * (avgoQty - lotFractionAmount), 0))</f>
        <v>0</v>
      </c>
      <c r="AV50" s="328">
        <f>LET(
avgoQty,AE51, 
purchaseDate,C51,
postMergerSaleDate,Reference!$B$29,
saleFMV,Reference!$B$10,
postMergerBasis,AT51, 
IFERROR(IF(DATEDIF(purchaseDate,postMergerSaleDate,"Y")&gt;=1,
  0,
  avgoQty * (saleFMV - postMergerBasis)
),0))</f>
        <v>0</v>
      </c>
      <c r="AW50" s="331">
        <f>LET(
avgoQty,AE50, 
purchaseDate,C50,
postMergerSaleDate,Reference!$B$29,
saleFMV,Reference!$B$10,
postMergerBasis,AT50, 
IFERROR(IF(DATEDIF(purchaseDate,postMergerSaleDate,"Y")&gt;=1,
  avgoQty * (saleFMV - postMergerBasis),
  0
),0))</f>
        <v>0</v>
      </c>
    </row>
    <row r="51">
      <c r="A51" s="431" t="s">
        <v>230</v>
      </c>
      <c r="B51" s="432">
        <v>43630.0</v>
      </c>
      <c r="C51" s="301">
        <v>44166.0</v>
      </c>
      <c r="D51" s="332"/>
      <c r="E51" s="433">
        <v>140.75</v>
      </c>
      <c r="F51" s="443"/>
      <c r="G51" s="305">
        <f t="shared" si="6"/>
        <v>0</v>
      </c>
      <c r="H51" s="317">
        <f t="shared" si="7"/>
        <v>0</v>
      </c>
      <c r="I51" s="446"/>
      <c r="J51" s="342" t="b">
        <v>0</v>
      </c>
      <c r="K51" s="436"/>
      <c r="L51" s="311">
        <v>0.0</v>
      </c>
      <c r="M51" s="311">
        <v>0.0</v>
      </c>
      <c r="N51" s="311">
        <v>0.0</v>
      </c>
      <c r="O51" s="311">
        <v>0.0</v>
      </c>
      <c r="P51" s="311">
        <v>0.0</v>
      </c>
      <c r="Q51" s="313">
        <f t="shared" si="8"/>
        <v>0</v>
      </c>
      <c r="R51" s="313" t="str">
        <f>SWITCH(S51,"cash",Reference!E$5,"shares",Reference!$E$6,"balance",Reference!$E$7,"pro-rata",Reference!$B$5)</f>
        <v>#DIV/0!</v>
      </c>
      <c r="S51" s="314" t="s">
        <v>205</v>
      </c>
      <c r="T51" s="315">
        <f>LET(numVmwShares,D51, cashRatio,Reference!$B$4, vmwFinalPrice,Reference!$B$3, numVmwShares * cashRatio * vmwFinalPrice)</f>
        <v>0</v>
      </c>
      <c r="U51" s="315">
        <f>iferror(LET(numVmwShares,$D51, stockRatio,Q51, vmwFinalPrice,Reference!$B$3, (1 - stockRatio) * vmwFinalPrice * numVmwShares),0)</f>
        <v>0</v>
      </c>
      <c r="V51" s="315">
        <f>iferror(LET(numVmwShares,$D51, stockRatio,R51, vmwFinalPrice,Reference!$B$3, (1 - stockRatio) * vmwFinalPrice * numVmwShares),0)</f>
        <v>0</v>
      </c>
      <c r="W51" s="315">
        <f>SWITCH(Reference!$E$4,"eTradeTransactionLog", T51, "eTradeHoldingRatio",T51, "eTradeLotQtyRatio",U51,"manualLotRatio",V51)</f>
        <v>0</v>
      </c>
      <c r="X51" s="305">
        <f>LET(purchaseDate,C51, dateOfRecord,Reference!$B$26, returnOfCapital,Reference!$C$26, IF(purchaseDate &lt; dateOfRecord, returnOfCapital,0))</f>
        <v>0</v>
      </c>
      <c r="Y51" s="305">
        <f>LET(purchaseDate,C51, dateOfRecord,Reference!$B$27, returnOfCapital,Reference!$C$27, IF(purchaseDate &lt; dateOfRecord, returnOfCapital,0))</f>
        <v>16.58</v>
      </c>
      <c r="Z51" s="305">
        <f t="shared" si="9"/>
        <v>124.17</v>
      </c>
      <c r="AA51" s="305">
        <f t="shared" si="10"/>
        <v>0</v>
      </c>
      <c r="AB51" s="316">
        <f>LET(numVmwShares,D51, stockRatio,Reference!$B$5, vmwToAvgoRatio,Reference!$B$6, numVmwShares * stockRatio * vmwToAvgoRatio)</f>
        <v>0</v>
      </c>
      <c r="AC51" s="316">
        <f>LET(numVmwShares,D51, stockRatio,Q51, vmwToAvgoRatio,Reference!$B$6, numVmwShares * stockRatio * vmwToAvgoRatio)</f>
        <v>0</v>
      </c>
      <c r="AD51" s="316" t="str">
        <f>LET(numVmwShares,D51, stockRatio,R51, vmwToAvgoRatio,Reference!$B$6, numVmwShares * stockRatio * vmwToAvgoRatio)</f>
        <v>#DIV/0!</v>
      </c>
      <c r="AE51" s="316">
        <f>SWITCH(Reference!$E$4, "eTradeTransactionLog", AB51, "eTradeHoldingRatio",AB51, "eTradeLotQtyRatio",AC51,"manualLotRatio",AD51)</f>
        <v>0</v>
      </c>
      <c r="AF51" s="317">
        <f>LET(numVmwShares,D51, vmwBasis,Z51, avgoQty,AE51, avgoFMV,Reference!$B$18, cashReceived,W51, gain,cashReceived+(avgoQty*avgoFMV)-(numVmwShares*vmwBasis),
MAX(gain,0))</f>
        <v>0</v>
      </c>
      <c r="AG51" s="318">
        <f>LET(useForFraction,J51, fractionAmount,Summary!$C$41, esppFractionLots,ESPP!$N$5, rsuFractionLots,RSU!J$5, IF(useForFraction, fractionAmount / (esppFractionLots+rsuFractionLots), 0))</f>
        <v>0</v>
      </c>
      <c r="AH51" s="438">
        <f>LET(useForFraction,J51, fractionSaleFMV,Reference!$B$23, postMergerBasis,AT51, lotFractionAmount,AG51, IF(useForFraction, (fractionSaleFMV - postMergerBasis)*lotFractionAmount, 0))</f>
        <v>0</v>
      </c>
      <c r="AI51" s="439">
        <f t="shared" si="11"/>
        <v>0</v>
      </c>
      <c r="AJ51" s="440">
        <f>LET(
purchaseDate,C51,
mergerDate,Reference!$B$28,
lotFractionGain,AH51,
mergerGain,AI51,
IF(DATEDIF(purchaseDate,mergerDate,"Y")&gt;=1,
  0,
  lotFractionGain + mergerGain
))</f>
        <v>0</v>
      </c>
      <c r="AK51" s="440">
        <f>LET(
purchaseDate,C51,
mergerDate,Reference!$B$28,
lotFractionGain,AH51,
mergerGain,AI51,
IF(DATEDIF(purchaseDate,mergerDate,"Y")&gt;=1,
  lotFractionGain+mergerGain,
  0
))</f>
        <v>0</v>
      </c>
      <c r="AL51" s="441" t="str">
        <f>IF(DATEDIF(C51,Reference!$B$28,"Y")&gt;=1,"Part II Box E","Part I Box B")</f>
        <v>Part II Box E</v>
      </c>
      <c r="AM51" s="336">
        <f t="shared" si="12"/>
        <v>44166</v>
      </c>
      <c r="AN51" s="337">
        <f t="shared" si="13"/>
        <v>0</v>
      </c>
      <c r="AO51" s="337">
        <f>LET(
cashReceived,W51, 
avgoQty,AE51, 
proceedsStyle,Reference!$E$9, 
avgoFMV,Reference!$B$18, 
SWITCH(proceedsStyle, "combined", cashReceived +(avgoQty*avgoFMV), "cashOnly", cashReceived))</f>
        <v>0</v>
      </c>
      <c r="AP51" s="338">
        <f>LET(
numVmwShares,D51, 
vmwBasis, Z51, 
avgoQty,AE51, 
avgoFMV,Reference!$B$18, 
cashReceived,W51, 
avgoTotalValue, avgoFMV*avgoQty, 
vmwTotalBasis, vmwBasis*numVmwShares,
alternateGainAmount,AF51, 
IF(cashReceived&lt;alternateGainAmount,
  avgoTotalValue,
  vmwTotalBasis
))</f>
        <v>0</v>
      </c>
      <c r="AQ51" s="338" t="str">
        <f t="shared" si="14"/>
        <v/>
      </c>
      <c r="AR51" s="338">
        <v>0.0</v>
      </c>
      <c r="AS51" s="339">
        <f t="shared" si="15"/>
        <v>0</v>
      </c>
      <c r="AT51" s="442" t="str">
        <f t="shared" si="16"/>
        <v>n/a</v>
      </c>
      <c r="AU51" s="328">
        <f>LET(saleFMV,Reference!$B$10, postMergerBasis,AT51, avgoQty,AE51, lotFractionAmount,AG51, iferror((saleFMV - postMergerBasis) * (avgoQty - lotFractionAmount), 0))</f>
        <v>0</v>
      </c>
      <c r="AV51" s="328">
        <f>LET(
avgoQty,AE52, 
purchaseDate,C52,
postMergerSaleDate,Reference!$B$29,
saleFMV,Reference!$B$10,
postMergerBasis,AT52, 
IFERROR(IF(DATEDIF(purchaseDate,postMergerSaleDate,"Y")&gt;=1,
  0,
  avgoQty * (saleFMV - postMergerBasis)
),0))</f>
        <v>0</v>
      </c>
      <c r="AW51" s="331">
        <f>LET(
avgoQty,AE51, 
purchaseDate,C51,
postMergerSaleDate,Reference!$B$29,
saleFMV,Reference!$B$10,
postMergerBasis,AT51, 
IFERROR(IF(DATEDIF(purchaseDate,postMergerSaleDate,"Y")&gt;=1,
  avgoQty * (saleFMV - postMergerBasis),
  0
),0))</f>
        <v>0</v>
      </c>
    </row>
    <row r="52">
      <c r="A52" s="431" t="s">
        <v>229</v>
      </c>
      <c r="B52" s="432">
        <v>43462.0</v>
      </c>
      <c r="C52" s="301">
        <v>44166.0</v>
      </c>
      <c r="D52" s="332"/>
      <c r="E52" s="433">
        <v>140.75</v>
      </c>
      <c r="F52" s="443"/>
      <c r="G52" s="305">
        <f t="shared" si="6"/>
        <v>0</v>
      </c>
      <c r="H52" s="317">
        <f t="shared" si="7"/>
        <v>0</v>
      </c>
      <c r="I52" s="444"/>
      <c r="J52" s="342" t="b">
        <v>0</v>
      </c>
      <c r="K52" s="436"/>
      <c r="L52" s="311">
        <v>0.0</v>
      </c>
      <c r="M52" s="311">
        <v>0.0</v>
      </c>
      <c r="N52" s="311">
        <v>0.0</v>
      </c>
      <c r="O52" s="311">
        <v>0.0</v>
      </c>
      <c r="P52" s="311">
        <v>0.0</v>
      </c>
      <c r="Q52" s="313">
        <f t="shared" si="8"/>
        <v>0</v>
      </c>
      <c r="R52" s="313" t="str">
        <f>SWITCH(S52,"cash",Reference!E$5,"shares",Reference!$E$6,"balance",Reference!$E$7,"pro-rata",Reference!$B$5)</f>
        <v>#DIV/0!</v>
      </c>
      <c r="S52" s="314" t="s">
        <v>205</v>
      </c>
      <c r="T52" s="315">
        <f>LET(numVmwShares,D52, cashRatio,Reference!$B$4, vmwFinalPrice,Reference!$B$3, numVmwShares * cashRatio * vmwFinalPrice)</f>
        <v>0</v>
      </c>
      <c r="U52" s="315">
        <f>iferror(LET(numVmwShares,$D52, stockRatio,Q52, vmwFinalPrice,Reference!$B$3, (1 - stockRatio) * vmwFinalPrice * numVmwShares),0)</f>
        <v>0</v>
      </c>
      <c r="V52" s="315">
        <f>iferror(LET(numVmwShares,$D52, stockRatio,R52, vmwFinalPrice,Reference!$B$3, (1 - stockRatio) * vmwFinalPrice * numVmwShares),0)</f>
        <v>0</v>
      </c>
      <c r="W52" s="315">
        <f>SWITCH(Reference!$E$4,"eTradeTransactionLog", T52, "eTradeHoldingRatio",T52, "eTradeLotQtyRatio",U52,"manualLotRatio",V52)</f>
        <v>0</v>
      </c>
      <c r="X52" s="305">
        <f>LET(purchaseDate,C52, dateOfRecord,Reference!$B$26, returnOfCapital,Reference!$C$26, IF(purchaseDate &lt; dateOfRecord, returnOfCapital,0))</f>
        <v>0</v>
      </c>
      <c r="Y52" s="305">
        <f>LET(purchaseDate,C52, dateOfRecord,Reference!$B$27, returnOfCapital,Reference!$C$27, IF(purchaseDate &lt; dateOfRecord, returnOfCapital,0))</f>
        <v>16.58</v>
      </c>
      <c r="Z52" s="305">
        <f t="shared" si="9"/>
        <v>124.17</v>
      </c>
      <c r="AA52" s="305">
        <f t="shared" si="10"/>
        <v>0</v>
      </c>
      <c r="AB52" s="316">
        <f>LET(numVmwShares,D52, stockRatio,Reference!$B$5, vmwToAvgoRatio,Reference!$B$6, numVmwShares * stockRatio * vmwToAvgoRatio)</f>
        <v>0</v>
      </c>
      <c r="AC52" s="316">
        <f>LET(numVmwShares,D52, stockRatio,Q52, vmwToAvgoRatio,Reference!$B$6, numVmwShares * stockRatio * vmwToAvgoRatio)</f>
        <v>0</v>
      </c>
      <c r="AD52" s="316" t="str">
        <f>LET(numVmwShares,D52, stockRatio,R52, vmwToAvgoRatio,Reference!$B$6, numVmwShares * stockRatio * vmwToAvgoRatio)</f>
        <v>#DIV/0!</v>
      </c>
      <c r="AE52" s="316">
        <f>SWITCH(Reference!$E$4, "eTradeTransactionLog", AB52, "eTradeHoldingRatio",AB52, "eTradeLotQtyRatio",AC52,"manualLotRatio",AD52)</f>
        <v>0</v>
      </c>
      <c r="AF52" s="317">
        <f>LET(numVmwShares,D52, vmwBasis,Z52, avgoQty,AE52, avgoFMV,Reference!$B$18, cashReceived,W52, gain,cashReceived+(avgoQty*avgoFMV)-(numVmwShares*vmwBasis),
MAX(gain,0))</f>
        <v>0</v>
      </c>
      <c r="AG52" s="318">
        <f>LET(useForFraction,J52, fractionAmount,Summary!$C$41, esppFractionLots,ESPP!$N$5, rsuFractionLots,RSU!J$5, IF(useForFraction, fractionAmount / (esppFractionLots+rsuFractionLots), 0))</f>
        <v>0</v>
      </c>
      <c r="AH52" s="438">
        <f>LET(useForFraction,J52, fractionSaleFMV,Reference!$B$23, postMergerBasis,AT52, lotFractionAmount,AG52, IF(useForFraction, (fractionSaleFMV - postMergerBasis)*lotFractionAmount, 0))</f>
        <v>0</v>
      </c>
      <c r="AI52" s="439">
        <f t="shared" si="11"/>
        <v>0</v>
      </c>
      <c r="AJ52" s="440">
        <f>LET(
purchaseDate,C52,
mergerDate,Reference!$B$28,
lotFractionGain,AH52,
mergerGain,AI52,
IF(DATEDIF(purchaseDate,mergerDate,"Y")&gt;=1,
  0,
  lotFractionGain + mergerGain
))</f>
        <v>0</v>
      </c>
      <c r="AK52" s="440">
        <f>LET(
purchaseDate,C52,
mergerDate,Reference!$B$28,
lotFractionGain,AH52,
mergerGain,AI52,
IF(DATEDIF(purchaseDate,mergerDate,"Y")&gt;=1,
  lotFractionGain+mergerGain,
  0
))</f>
        <v>0</v>
      </c>
      <c r="AL52" s="441" t="str">
        <f>IF(DATEDIF(C52,Reference!$B$28,"Y")&gt;=1,"Part II Box E","Part I Box B")</f>
        <v>Part II Box E</v>
      </c>
      <c r="AM52" s="336">
        <f t="shared" si="12"/>
        <v>44166</v>
      </c>
      <c r="AN52" s="337">
        <f t="shared" si="13"/>
        <v>0</v>
      </c>
      <c r="AO52" s="337">
        <f>LET(
cashReceived,W52, 
avgoQty,AE52, 
proceedsStyle,Reference!$E$9, 
avgoFMV,Reference!$B$18, 
SWITCH(proceedsStyle, "combined", cashReceived +(avgoQty*avgoFMV), "cashOnly", cashReceived))</f>
        <v>0</v>
      </c>
      <c r="AP52" s="338">
        <f>LET(
numVmwShares,D52, 
vmwBasis, Z52, 
avgoQty,AE52, 
avgoFMV,Reference!$B$18, 
cashReceived,W52, 
avgoTotalValue, avgoFMV*avgoQty, 
vmwTotalBasis, vmwBasis*numVmwShares,
alternateGainAmount,AF52, 
IF(cashReceived&lt;alternateGainAmount,
  avgoTotalValue,
  vmwTotalBasis
))</f>
        <v>0</v>
      </c>
      <c r="AQ52" s="338" t="str">
        <f t="shared" si="14"/>
        <v/>
      </c>
      <c r="AR52" s="338">
        <v>0.0</v>
      </c>
      <c r="AS52" s="339">
        <f t="shared" si="15"/>
        <v>0</v>
      </c>
      <c r="AT52" s="442" t="str">
        <f t="shared" si="16"/>
        <v>n/a</v>
      </c>
      <c r="AU52" s="328">
        <f>LET(saleFMV,Reference!$B$10, postMergerBasis,AT52, avgoQty,AE52, lotFractionAmount,AG52, iferror((saleFMV - postMergerBasis) * (avgoQty - lotFractionAmount), 0))</f>
        <v>0</v>
      </c>
      <c r="AV52" s="328">
        <f>LET(
avgoQty,AE53, 
purchaseDate,C53,
postMergerSaleDate,Reference!$B$29,
saleFMV,Reference!$B$10,
postMergerBasis,AT53, 
IFERROR(IF(DATEDIF(purchaseDate,postMergerSaleDate,"Y")&gt;=1,
  0,
  avgoQty * (saleFMV - postMergerBasis)
),0))</f>
        <v>0</v>
      </c>
      <c r="AW52" s="331">
        <f>LET(
avgoQty,AE52, 
purchaseDate,C52,
postMergerSaleDate,Reference!$B$29,
saleFMV,Reference!$B$10,
postMergerBasis,AT52, 
IFERROR(IF(DATEDIF(purchaseDate,postMergerSaleDate,"Y")&gt;=1,
  avgoQty * (saleFMV - postMergerBasis),
  0
),0))</f>
        <v>0</v>
      </c>
    </row>
    <row r="53">
      <c r="A53" s="431" t="s">
        <v>226</v>
      </c>
      <c r="B53" s="432">
        <v>43462.0</v>
      </c>
      <c r="C53" s="301">
        <v>44197.0</v>
      </c>
      <c r="D53" s="332"/>
      <c r="E53" s="433">
        <v>140.26</v>
      </c>
      <c r="F53" s="443"/>
      <c r="G53" s="305">
        <f t="shared" si="6"/>
        <v>0</v>
      </c>
      <c r="H53" s="317">
        <f t="shared" si="7"/>
        <v>0</v>
      </c>
      <c r="I53" s="446"/>
      <c r="J53" s="342" t="b">
        <v>0</v>
      </c>
      <c r="K53" s="436"/>
      <c r="L53" s="311">
        <v>0.0</v>
      </c>
      <c r="M53" s="311">
        <v>0.0</v>
      </c>
      <c r="N53" s="311">
        <v>0.0</v>
      </c>
      <c r="O53" s="311">
        <v>0.0</v>
      </c>
      <c r="P53" s="311">
        <v>0.0</v>
      </c>
      <c r="Q53" s="313">
        <f t="shared" si="8"/>
        <v>0</v>
      </c>
      <c r="R53" s="313" t="str">
        <f>SWITCH(S53,"cash",Reference!E$5,"shares",Reference!$E$6,"balance",Reference!$E$7,"pro-rata",Reference!$B$5)</f>
        <v>#DIV/0!</v>
      </c>
      <c r="S53" s="314" t="s">
        <v>205</v>
      </c>
      <c r="T53" s="315">
        <f>LET(numVmwShares,D53, cashRatio,Reference!$B$4, vmwFinalPrice,Reference!$B$3, numVmwShares * cashRatio * vmwFinalPrice)</f>
        <v>0</v>
      </c>
      <c r="U53" s="315">
        <f>iferror(LET(numVmwShares,$D53, stockRatio,Q53, vmwFinalPrice,Reference!$B$3, (1 - stockRatio) * vmwFinalPrice * numVmwShares),0)</f>
        <v>0</v>
      </c>
      <c r="V53" s="315">
        <f>iferror(LET(numVmwShares,$D53, stockRatio,R53, vmwFinalPrice,Reference!$B$3, (1 - stockRatio) * vmwFinalPrice * numVmwShares),0)</f>
        <v>0</v>
      </c>
      <c r="W53" s="315">
        <f>SWITCH(Reference!$E$4,"eTradeTransactionLog", T53, "eTradeHoldingRatio",T53, "eTradeLotQtyRatio",U53,"manualLotRatio",V53)</f>
        <v>0</v>
      </c>
      <c r="X53" s="305">
        <f>LET(purchaseDate,C53, dateOfRecord,Reference!$B$26, returnOfCapital,Reference!$C$26, IF(purchaseDate &lt; dateOfRecord, returnOfCapital,0))</f>
        <v>0</v>
      </c>
      <c r="Y53" s="305">
        <f>LET(purchaseDate,C53, dateOfRecord,Reference!$B$27, returnOfCapital,Reference!$C$27, IF(purchaseDate &lt; dateOfRecord, returnOfCapital,0))</f>
        <v>16.58</v>
      </c>
      <c r="Z53" s="305">
        <f t="shared" si="9"/>
        <v>123.68</v>
      </c>
      <c r="AA53" s="305">
        <f t="shared" si="10"/>
        <v>0</v>
      </c>
      <c r="AB53" s="316">
        <f>LET(numVmwShares,D53, stockRatio,Reference!$B$5, vmwToAvgoRatio,Reference!$B$6, numVmwShares * stockRatio * vmwToAvgoRatio)</f>
        <v>0</v>
      </c>
      <c r="AC53" s="316">
        <f>LET(numVmwShares,D53, stockRatio,Q53, vmwToAvgoRatio,Reference!$B$6, numVmwShares * stockRatio * vmwToAvgoRatio)</f>
        <v>0</v>
      </c>
      <c r="AD53" s="316" t="str">
        <f>LET(numVmwShares,D53, stockRatio,R53, vmwToAvgoRatio,Reference!$B$6, numVmwShares * stockRatio * vmwToAvgoRatio)</f>
        <v>#DIV/0!</v>
      </c>
      <c r="AE53" s="316">
        <f>SWITCH(Reference!$E$4, "eTradeTransactionLog", AB53, "eTradeHoldingRatio",AB53, "eTradeLotQtyRatio",AC53,"manualLotRatio",AD53)</f>
        <v>0</v>
      </c>
      <c r="AF53" s="317">
        <f>LET(numVmwShares,D53, vmwBasis,Z53, avgoQty,AE53, avgoFMV,Reference!$B$18, cashReceived,W53, gain,cashReceived+(avgoQty*avgoFMV)-(numVmwShares*vmwBasis),
MAX(gain,0))</f>
        <v>0</v>
      </c>
      <c r="AG53" s="318">
        <f>LET(useForFraction,J53, fractionAmount,Summary!$C$41, esppFractionLots,ESPP!$N$5, rsuFractionLots,RSU!J$5, IF(useForFraction, fractionAmount / (esppFractionLots+rsuFractionLots), 0))</f>
        <v>0</v>
      </c>
      <c r="AH53" s="438">
        <f>LET(useForFraction,J53, fractionSaleFMV,Reference!$B$23, postMergerBasis,AT53, lotFractionAmount,AG53, IF(useForFraction, (fractionSaleFMV - postMergerBasis)*lotFractionAmount, 0))</f>
        <v>0</v>
      </c>
      <c r="AI53" s="439">
        <f t="shared" si="11"/>
        <v>0</v>
      </c>
      <c r="AJ53" s="440">
        <f>LET(
purchaseDate,C53,
mergerDate,Reference!$B$28,
lotFractionGain,AH53,
mergerGain,AI53,
IF(DATEDIF(purchaseDate,mergerDate,"Y")&gt;=1,
  0,
  lotFractionGain + mergerGain
))</f>
        <v>0</v>
      </c>
      <c r="AK53" s="440">
        <f>LET(
purchaseDate,C53,
mergerDate,Reference!$B$28,
lotFractionGain,AH53,
mergerGain,AI53,
IF(DATEDIF(purchaseDate,mergerDate,"Y")&gt;=1,
  lotFractionGain+mergerGain,
  0
))</f>
        <v>0</v>
      </c>
      <c r="AL53" s="441" t="str">
        <f>IF(DATEDIF(C53,Reference!$B$28,"Y")&gt;=1,"Part II Box E","Part I Box B")</f>
        <v>Part II Box E</v>
      </c>
      <c r="AM53" s="336">
        <f t="shared" si="12"/>
        <v>44197</v>
      </c>
      <c r="AN53" s="337">
        <f t="shared" si="13"/>
        <v>0</v>
      </c>
      <c r="AO53" s="337">
        <f>LET(
cashReceived,W53, 
avgoQty,AE53, 
proceedsStyle,Reference!$E$9, 
avgoFMV,Reference!$B$18, 
SWITCH(proceedsStyle, "combined", cashReceived +(avgoQty*avgoFMV), "cashOnly", cashReceived))</f>
        <v>0</v>
      </c>
      <c r="AP53" s="338">
        <f>LET(
numVmwShares,D53, 
vmwBasis, Z53, 
avgoQty,AE53, 
avgoFMV,Reference!$B$18, 
cashReceived,W53, 
avgoTotalValue, avgoFMV*avgoQty, 
vmwTotalBasis, vmwBasis*numVmwShares,
alternateGainAmount,AF53, 
IF(cashReceived&lt;alternateGainAmount,
  avgoTotalValue,
  vmwTotalBasis
))</f>
        <v>0</v>
      </c>
      <c r="AQ53" s="338" t="str">
        <f t="shared" si="14"/>
        <v/>
      </c>
      <c r="AR53" s="338">
        <v>0.0</v>
      </c>
      <c r="AS53" s="339">
        <f t="shared" si="15"/>
        <v>0</v>
      </c>
      <c r="AT53" s="442" t="str">
        <f t="shared" si="16"/>
        <v>n/a</v>
      </c>
      <c r="AU53" s="328">
        <f>LET(saleFMV,Reference!$B$10, postMergerBasis,AT53, avgoQty,AE53, lotFractionAmount,AG53, iferror((saleFMV - postMergerBasis) * (avgoQty - lotFractionAmount), 0))</f>
        <v>0</v>
      </c>
      <c r="AV53" s="328">
        <f>LET(
avgoQty,AE54, 
purchaseDate,C54,
postMergerSaleDate,Reference!$B$29,
saleFMV,Reference!$B$10,
postMergerBasis,AT54, 
IFERROR(IF(DATEDIF(purchaseDate,postMergerSaleDate,"Y")&gt;=1,
  0,
  avgoQty * (saleFMV - postMergerBasis)
),0))</f>
        <v>0</v>
      </c>
      <c r="AW53" s="331">
        <f>LET(
avgoQty,AE53, 
purchaseDate,C53,
postMergerSaleDate,Reference!$B$29,
saleFMV,Reference!$B$10,
postMergerBasis,AT53, 
IFERROR(IF(DATEDIF(purchaseDate,postMergerSaleDate,"Y")&gt;=1,
  avgoQty * (saleFMV - postMergerBasis),
  0
),0))</f>
        <v>0</v>
      </c>
    </row>
    <row r="54">
      <c r="A54" s="431"/>
      <c r="B54" s="447"/>
      <c r="C54" s="448">
        <v>44256.0</v>
      </c>
      <c r="D54" s="332"/>
      <c r="E54" s="433">
        <v>140.41</v>
      </c>
      <c r="F54" s="443"/>
      <c r="G54" s="305">
        <f t="shared" si="6"/>
        <v>0</v>
      </c>
      <c r="H54" s="317">
        <f t="shared" si="7"/>
        <v>0</v>
      </c>
      <c r="I54" s="444"/>
      <c r="J54" s="342" t="b">
        <v>0</v>
      </c>
      <c r="K54" s="436"/>
      <c r="L54" s="311">
        <v>0.0</v>
      </c>
      <c r="M54" s="311">
        <v>0.0</v>
      </c>
      <c r="N54" s="311">
        <v>0.0</v>
      </c>
      <c r="O54" s="311">
        <v>0.0</v>
      </c>
      <c r="P54" s="311">
        <v>0.0</v>
      </c>
      <c r="Q54" s="313">
        <f t="shared" si="8"/>
        <v>0</v>
      </c>
      <c r="R54" s="313" t="str">
        <f>SWITCH(S54,"cash",Reference!E$5,"shares",Reference!$E$6,"balance",Reference!$E$7,"pro-rata",Reference!$B$5)</f>
        <v>#DIV/0!</v>
      </c>
      <c r="S54" s="314" t="s">
        <v>205</v>
      </c>
      <c r="T54" s="315">
        <f>LET(numVmwShares,D54, cashRatio,Reference!$B$4, vmwFinalPrice,Reference!$B$3, numVmwShares * cashRatio * vmwFinalPrice)</f>
        <v>0</v>
      </c>
      <c r="U54" s="315">
        <f>iferror(LET(numVmwShares,$D54, stockRatio,Q54, vmwFinalPrice,Reference!$B$3, (1 - stockRatio) * vmwFinalPrice * numVmwShares),0)</f>
        <v>0</v>
      </c>
      <c r="V54" s="315">
        <f>iferror(LET(numVmwShares,$D54, stockRatio,R54, vmwFinalPrice,Reference!$B$3, (1 - stockRatio) * vmwFinalPrice * numVmwShares),0)</f>
        <v>0</v>
      </c>
      <c r="W54" s="315">
        <f>SWITCH(Reference!$E$4,"eTradeTransactionLog", T54, "eTradeHoldingRatio",T54, "eTradeLotQtyRatio",U54,"manualLotRatio",V54)</f>
        <v>0</v>
      </c>
      <c r="X54" s="305">
        <f>LET(purchaseDate,C54, dateOfRecord,Reference!$B$26, returnOfCapital,Reference!$C$26, IF(purchaseDate &lt; dateOfRecord, returnOfCapital,0))</f>
        <v>0</v>
      </c>
      <c r="Y54" s="305">
        <f>LET(purchaseDate,C54, dateOfRecord,Reference!$B$27, returnOfCapital,Reference!$C$27, IF(purchaseDate &lt; dateOfRecord, returnOfCapital,0))</f>
        <v>16.58</v>
      </c>
      <c r="Z54" s="305">
        <f t="shared" si="9"/>
        <v>123.83</v>
      </c>
      <c r="AA54" s="305">
        <f t="shared" si="10"/>
        <v>0</v>
      </c>
      <c r="AB54" s="316">
        <f>LET(numVmwShares,D54, stockRatio,Reference!$B$5, vmwToAvgoRatio,Reference!$B$6, numVmwShares * stockRatio * vmwToAvgoRatio)</f>
        <v>0</v>
      </c>
      <c r="AC54" s="316">
        <f>LET(numVmwShares,D54, stockRatio,Q54, vmwToAvgoRatio,Reference!$B$6, numVmwShares * stockRatio * vmwToAvgoRatio)</f>
        <v>0</v>
      </c>
      <c r="AD54" s="316" t="str">
        <f>LET(numVmwShares,D54, stockRatio,R54, vmwToAvgoRatio,Reference!$B$6, numVmwShares * stockRatio * vmwToAvgoRatio)</f>
        <v>#DIV/0!</v>
      </c>
      <c r="AE54" s="316">
        <f>SWITCH(Reference!$E$4, "eTradeTransactionLog", AB54, "eTradeHoldingRatio",AB54, "eTradeLotQtyRatio",AC54,"manualLotRatio",AD54)</f>
        <v>0</v>
      </c>
      <c r="AF54" s="317">
        <f>LET(numVmwShares,D54, vmwBasis,Z54, avgoQty,AE54, avgoFMV,Reference!$B$18, cashReceived,W54, gain,cashReceived+(avgoQty*avgoFMV)-(numVmwShares*vmwBasis),
MAX(gain,0))</f>
        <v>0</v>
      </c>
      <c r="AG54" s="318">
        <f>LET(useForFraction,J54, fractionAmount,Summary!$C$41, esppFractionLots,ESPP!$N$5, rsuFractionLots,RSU!J$5, IF(useForFraction, fractionAmount / (esppFractionLots+rsuFractionLots), 0))</f>
        <v>0</v>
      </c>
      <c r="AH54" s="438">
        <f>LET(useForFraction,J54, fractionSaleFMV,Reference!$B$23, postMergerBasis,AT54, lotFractionAmount,AG54, IF(useForFraction, (fractionSaleFMV - postMergerBasis)*lotFractionAmount, 0))</f>
        <v>0</v>
      </c>
      <c r="AI54" s="439">
        <f t="shared" si="11"/>
        <v>0</v>
      </c>
      <c r="AJ54" s="440">
        <f>LET(
purchaseDate,C54,
mergerDate,Reference!$B$28,
lotFractionGain,AH54,
mergerGain,AI54,
IF(DATEDIF(purchaseDate,mergerDate,"Y")&gt;=1,
  0,
  lotFractionGain + mergerGain
))</f>
        <v>0</v>
      </c>
      <c r="AK54" s="440">
        <f>LET(
purchaseDate,C54,
mergerDate,Reference!$B$28,
lotFractionGain,AH54,
mergerGain,AI54,
IF(DATEDIF(purchaseDate,mergerDate,"Y")&gt;=1,
  lotFractionGain+mergerGain,
  0
))</f>
        <v>0</v>
      </c>
      <c r="AL54" s="441" t="str">
        <f>IF(DATEDIF(C54,Reference!$B$28,"Y")&gt;=1,"Part II Box E","Part I Box B")</f>
        <v>Part II Box E</v>
      </c>
      <c r="AM54" s="336">
        <f t="shared" si="12"/>
        <v>44256</v>
      </c>
      <c r="AN54" s="337">
        <f t="shared" si="13"/>
        <v>0</v>
      </c>
      <c r="AO54" s="337">
        <f>LET(
cashReceived,W54, 
avgoQty,AE54, 
proceedsStyle,Reference!$E$9, 
avgoFMV,Reference!$B$18, 
SWITCH(proceedsStyle, "combined", cashReceived +(avgoQty*avgoFMV), "cashOnly", cashReceived))</f>
        <v>0</v>
      </c>
      <c r="AP54" s="338">
        <f>LET(
numVmwShares,D54, 
vmwBasis, Z54, 
avgoQty,AE54, 
avgoFMV,Reference!$B$18, 
cashReceived,W54, 
avgoTotalValue, avgoFMV*avgoQty, 
vmwTotalBasis, vmwBasis*numVmwShares,
alternateGainAmount,AF54, 
IF(cashReceived&lt;alternateGainAmount,
  avgoTotalValue,
  vmwTotalBasis
))</f>
        <v>0</v>
      </c>
      <c r="AQ54" s="338" t="str">
        <f t="shared" si="14"/>
        <v/>
      </c>
      <c r="AR54" s="338">
        <v>0.0</v>
      </c>
      <c r="AS54" s="339">
        <f t="shared" si="15"/>
        <v>0</v>
      </c>
      <c r="AT54" s="442" t="str">
        <f t="shared" si="16"/>
        <v>n/a</v>
      </c>
      <c r="AU54" s="328">
        <f>LET(saleFMV,Reference!$B$10, postMergerBasis,AT54, avgoQty,AE54, lotFractionAmount,AG54, iferror((saleFMV - postMergerBasis) * (avgoQty - lotFractionAmount), 0))</f>
        <v>0</v>
      </c>
      <c r="AV54" s="328">
        <f>LET(
avgoQty,AE55, 
purchaseDate,C55,
postMergerSaleDate,Reference!$B$29,
saleFMV,Reference!$B$10,
postMergerBasis,AT55, 
IFERROR(IF(DATEDIF(purchaseDate,postMergerSaleDate,"Y")&gt;=1,
  0,
  avgoQty * (saleFMV - postMergerBasis)
),0))</f>
        <v>0</v>
      </c>
      <c r="AW54" s="331">
        <f>LET(
avgoQty,AE54, 
purchaseDate,C54,
postMergerSaleDate,Reference!$B$29,
saleFMV,Reference!$B$10,
postMergerBasis,AT54, 
IFERROR(IF(DATEDIF(purchaseDate,postMergerSaleDate,"Y")&gt;=1,
  avgoQty * (saleFMV - postMergerBasis),
  0
),0))</f>
        <v>0</v>
      </c>
    </row>
    <row r="55">
      <c r="A55" s="431" t="s">
        <v>231</v>
      </c>
      <c r="B55" s="432">
        <v>43980.0</v>
      </c>
      <c r="C55" s="301">
        <v>44317.0</v>
      </c>
      <c r="D55" s="332"/>
      <c r="E55" s="433">
        <v>160.83</v>
      </c>
      <c r="F55" s="443"/>
      <c r="G55" s="305">
        <f t="shared" si="6"/>
        <v>0</v>
      </c>
      <c r="H55" s="317">
        <f t="shared" si="7"/>
        <v>0</v>
      </c>
      <c r="I55" s="444"/>
      <c r="J55" s="342" t="b">
        <v>0</v>
      </c>
      <c r="K55" s="436"/>
      <c r="L55" s="311">
        <v>0.0</v>
      </c>
      <c r="M55" s="311">
        <v>0.0</v>
      </c>
      <c r="N55" s="311">
        <v>0.0</v>
      </c>
      <c r="O55" s="311">
        <v>0.0</v>
      </c>
      <c r="P55" s="311">
        <v>0.0</v>
      </c>
      <c r="Q55" s="313">
        <f t="shared" si="8"/>
        <v>0</v>
      </c>
      <c r="R55" s="313" t="str">
        <f>SWITCH(S55,"cash",Reference!E$5,"shares",Reference!$E$6,"balance",Reference!$E$7,"pro-rata",Reference!$B$5)</f>
        <v>#DIV/0!</v>
      </c>
      <c r="S55" s="314" t="s">
        <v>205</v>
      </c>
      <c r="T55" s="315">
        <f>LET(numVmwShares,D55, cashRatio,Reference!$B$4, vmwFinalPrice,Reference!$B$3, numVmwShares * cashRatio * vmwFinalPrice)</f>
        <v>0</v>
      </c>
      <c r="U55" s="315">
        <f>iferror(LET(numVmwShares,$D55, stockRatio,Q55, vmwFinalPrice,Reference!$B$3, (1 - stockRatio) * vmwFinalPrice * numVmwShares),0)</f>
        <v>0</v>
      </c>
      <c r="V55" s="315">
        <f>iferror(LET(numVmwShares,$D55, stockRatio,R55, vmwFinalPrice,Reference!$B$3, (1 - stockRatio) * vmwFinalPrice * numVmwShares),0)</f>
        <v>0</v>
      </c>
      <c r="W55" s="315">
        <f>SWITCH(Reference!$E$4,"eTradeTransactionLog", T55, "eTradeHoldingRatio",T55, "eTradeLotQtyRatio",U55,"manualLotRatio",V55)</f>
        <v>0</v>
      </c>
      <c r="X55" s="305">
        <f>LET(purchaseDate,C55, dateOfRecord,Reference!$B$26, returnOfCapital,Reference!$C$26, IF(purchaseDate &lt; dateOfRecord, returnOfCapital,0))</f>
        <v>0</v>
      </c>
      <c r="Y55" s="305">
        <f>LET(purchaseDate,C55, dateOfRecord,Reference!$B$27, returnOfCapital,Reference!$C$27, IF(purchaseDate &lt; dateOfRecord, returnOfCapital,0))</f>
        <v>16.58</v>
      </c>
      <c r="Z55" s="305">
        <f t="shared" si="9"/>
        <v>144.25</v>
      </c>
      <c r="AA55" s="305">
        <f t="shared" si="10"/>
        <v>0</v>
      </c>
      <c r="AB55" s="316">
        <f>LET(numVmwShares,D55, stockRatio,Reference!$B$5, vmwToAvgoRatio,Reference!$B$6, numVmwShares * stockRatio * vmwToAvgoRatio)</f>
        <v>0</v>
      </c>
      <c r="AC55" s="316">
        <f>LET(numVmwShares,D55, stockRatio,Q55, vmwToAvgoRatio,Reference!$B$6, numVmwShares * stockRatio * vmwToAvgoRatio)</f>
        <v>0</v>
      </c>
      <c r="AD55" s="316" t="str">
        <f>LET(numVmwShares,D55, stockRatio,R55, vmwToAvgoRatio,Reference!$B$6, numVmwShares * stockRatio * vmwToAvgoRatio)</f>
        <v>#DIV/0!</v>
      </c>
      <c r="AE55" s="316">
        <f>SWITCH(Reference!$E$4, "eTradeTransactionLog", AB55, "eTradeHoldingRatio",AB55, "eTradeLotQtyRatio",AC55,"manualLotRatio",AD55)</f>
        <v>0</v>
      </c>
      <c r="AF55" s="317">
        <f>LET(numVmwShares,D55, vmwBasis,Z55, avgoQty,AE55, avgoFMV,Reference!$B$18, cashReceived,W55, gain,cashReceived+(avgoQty*avgoFMV)-(numVmwShares*vmwBasis),
MAX(gain,0))</f>
        <v>0</v>
      </c>
      <c r="AG55" s="318">
        <f>LET(useForFraction,J55, fractionAmount,Summary!$C$41, esppFractionLots,ESPP!$N$5, rsuFractionLots,RSU!J$5, IF(useForFraction, fractionAmount / (esppFractionLots+rsuFractionLots), 0))</f>
        <v>0</v>
      </c>
      <c r="AH55" s="438">
        <f>LET(useForFraction,J55, fractionSaleFMV,Reference!$B$23, postMergerBasis,AT55, lotFractionAmount,AG55, IF(useForFraction, (fractionSaleFMV - postMergerBasis)*lotFractionAmount, 0))</f>
        <v>0</v>
      </c>
      <c r="AI55" s="439">
        <f t="shared" si="11"/>
        <v>0</v>
      </c>
      <c r="AJ55" s="440">
        <f>LET(
purchaseDate,C55,
mergerDate,Reference!$B$28,
lotFractionGain,AH55,
mergerGain,AI55,
IF(DATEDIF(purchaseDate,mergerDate,"Y")&gt;=1,
  0,
  lotFractionGain + mergerGain
))</f>
        <v>0</v>
      </c>
      <c r="AK55" s="440">
        <f>LET(
purchaseDate,C55,
mergerDate,Reference!$B$28,
lotFractionGain,AH55,
mergerGain,AI55,
IF(DATEDIF(purchaseDate,mergerDate,"Y")&gt;=1,
  lotFractionGain+mergerGain,
  0
))</f>
        <v>0</v>
      </c>
      <c r="AL55" s="441" t="str">
        <f>IF(DATEDIF(C55,Reference!$B$28,"Y")&gt;=1,"Part II Box E","Part I Box B")</f>
        <v>Part II Box E</v>
      </c>
      <c r="AM55" s="336">
        <f t="shared" si="12"/>
        <v>44317</v>
      </c>
      <c r="AN55" s="337">
        <f t="shared" si="13"/>
        <v>0</v>
      </c>
      <c r="AO55" s="337">
        <f>LET(
cashReceived,W55, 
avgoQty,AE55, 
proceedsStyle,Reference!$E$9, 
avgoFMV,Reference!$B$18, 
SWITCH(proceedsStyle, "combined", cashReceived +(avgoQty*avgoFMV), "cashOnly", cashReceived))</f>
        <v>0</v>
      </c>
      <c r="AP55" s="338">
        <f>LET(
numVmwShares,D55, 
vmwBasis, Z55, 
avgoQty,AE55, 
avgoFMV,Reference!$B$18, 
cashReceived,W55, 
avgoTotalValue, avgoFMV*avgoQty, 
vmwTotalBasis, vmwBasis*numVmwShares,
alternateGainAmount,AF55, 
IF(cashReceived&lt;alternateGainAmount,
  avgoTotalValue,
  vmwTotalBasis
))</f>
        <v>0</v>
      </c>
      <c r="AQ55" s="338" t="str">
        <f t="shared" si="14"/>
        <v/>
      </c>
      <c r="AR55" s="338">
        <v>0.0</v>
      </c>
      <c r="AS55" s="339">
        <f t="shared" si="15"/>
        <v>0</v>
      </c>
      <c r="AT55" s="442" t="str">
        <f t="shared" si="16"/>
        <v>n/a</v>
      </c>
      <c r="AU55" s="328">
        <f>LET(saleFMV,Reference!$B$10, postMergerBasis,AT55, avgoQty,AE55, lotFractionAmount,AG55, iferror((saleFMV - postMergerBasis) * (avgoQty - lotFractionAmount), 0))</f>
        <v>0</v>
      </c>
      <c r="AV55" s="328">
        <f>LET(
avgoQty,AE56, 
purchaseDate,C56,
postMergerSaleDate,Reference!$B$29,
saleFMV,Reference!$B$10,
postMergerBasis,AT56, 
IFERROR(IF(DATEDIF(purchaseDate,postMergerSaleDate,"Y")&gt;=1,
  0,
  avgoQty * (saleFMV - postMergerBasis)
),0))</f>
        <v>0</v>
      </c>
      <c r="AW55" s="331">
        <f>LET(
avgoQty,AE55, 
purchaseDate,C55,
postMergerSaleDate,Reference!$B$29,
saleFMV,Reference!$B$10,
postMergerBasis,AT55, 
IFERROR(IF(DATEDIF(purchaseDate,postMergerSaleDate,"Y")&gt;=1,
  avgoQty * (saleFMV - postMergerBasis),
  0
),0))</f>
        <v>0</v>
      </c>
    </row>
    <row r="56">
      <c r="A56" s="431" t="s">
        <v>230</v>
      </c>
      <c r="B56" s="432">
        <v>43630.0</v>
      </c>
      <c r="C56" s="301">
        <v>44348.0</v>
      </c>
      <c r="D56" s="332"/>
      <c r="E56" s="433">
        <v>161.26</v>
      </c>
      <c r="F56" s="443"/>
      <c r="G56" s="305">
        <f t="shared" si="6"/>
        <v>0</v>
      </c>
      <c r="H56" s="317">
        <f t="shared" si="7"/>
        <v>0</v>
      </c>
      <c r="I56" s="444"/>
      <c r="J56" s="342" t="b">
        <v>0</v>
      </c>
      <c r="K56" s="436"/>
      <c r="L56" s="311">
        <v>0.0</v>
      </c>
      <c r="M56" s="311">
        <v>0.0</v>
      </c>
      <c r="N56" s="311">
        <v>0.0</v>
      </c>
      <c r="O56" s="311">
        <v>0.0</v>
      </c>
      <c r="P56" s="311">
        <v>0.0</v>
      </c>
      <c r="Q56" s="313">
        <f t="shared" si="8"/>
        <v>0</v>
      </c>
      <c r="R56" s="313" t="str">
        <f>SWITCH(S56,"cash",Reference!E$5,"shares",Reference!$E$6,"balance",Reference!$E$7,"pro-rata",Reference!$B$5)</f>
        <v>#DIV/0!</v>
      </c>
      <c r="S56" s="314" t="s">
        <v>205</v>
      </c>
      <c r="T56" s="315">
        <f>LET(numVmwShares,D56, cashRatio,Reference!$B$4, vmwFinalPrice,Reference!$B$3, numVmwShares * cashRatio * vmwFinalPrice)</f>
        <v>0</v>
      </c>
      <c r="U56" s="315">
        <f>iferror(LET(numVmwShares,$D56, stockRatio,Q56, vmwFinalPrice,Reference!$B$3, (1 - stockRatio) * vmwFinalPrice * numVmwShares),0)</f>
        <v>0</v>
      </c>
      <c r="V56" s="315">
        <f>iferror(LET(numVmwShares,$D56, stockRatio,R56, vmwFinalPrice,Reference!$B$3, (1 - stockRatio) * vmwFinalPrice * numVmwShares),0)</f>
        <v>0</v>
      </c>
      <c r="W56" s="315">
        <f>SWITCH(Reference!$E$4,"eTradeTransactionLog", T56, "eTradeHoldingRatio",T56, "eTradeLotQtyRatio",U56,"manualLotRatio",V56)</f>
        <v>0</v>
      </c>
      <c r="X56" s="305">
        <f>LET(purchaseDate,C56, dateOfRecord,Reference!$B$26, returnOfCapital,Reference!$C$26, IF(purchaseDate &lt; dateOfRecord, returnOfCapital,0))</f>
        <v>0</v>
      </c>
      <c r="Y56" s="305">
        <f>LET(purchaseDate,C56, dateOfRecord,Reference!$B$27, returnOfCapital,Reference!$C$27, IF(purchaseDate &lt; dateOfRecord, returnOfCapital,0))</f>
        <v>16.58</v>
      </c>
      <c r="Z56" s="305">
        <f t="shared" si="9"/>
        <v>144.68</v>
      </c>
      <c r="AA56" s="305">
        <f t="shared" si="10"/>
        <v>0</v>
      </c>
      <c r="AB56" s="316">
        <f>LET(numVmwShares,D56, stockRatio,Reference!$B$5, vmwToAvgoRatio,Reference!$B$6, numVmwShares * stockRatio * vmwToAvgoRatio)</f>
        <v>0</v>
      </c>
      <c r="AC56" s="316">
        <f>LET(numVmwShares,D56, stockRatio,Q56, vmwToAvgoRatio,Reference!$B$6, numVmwShares * stockRatio * vmwToAvgoRatio)</f>
        <v>0</v>
      </c>
      <c r="AD56" s="316" t="str">
        <f>LET(numVmwShares,D56, stockRatio,R56, vmwToAvgoRatio,Reference!$B$6, numVmwShares * stockRatio * vmwToAvgoRatio)</f>
        <v>#DIV/0!</v>
      </c>
      <c r="AE56" s="316">
        <f>SWITCH(Reference!$E$4, "eTradeTransactionLog", AB56, "eTradeHoldingRatio",AB56, "eTradeLotQtyRatio",AC56,"manualLotRatio",AD56)</f>
        <v>0</v>
      </c>
      <c r="AF56" s="317">
        <f>LET(numVmwShares,D56, vmwBasis,Z56, avgoQty,AE56, avgoFMV,Reference!$B$18, cashReceived,W56, gain,cashReceived+(avgoQty*avgoFMV)-(numVmwShares*vmwBasis),
MAX(gain,0))</f>
        <v>0</v>
      </c>
      <c r="AG56" s="318">
        <f>LET(useForFraction,J56, fractionAmount,Summary!$C$41, esppFractionLots,ESPP!$N$5, rsuFractionLots,RSU!J$5, IF(useForFraction, fractionAmount / (esppFractionLots+rsuFractionLots), 0))</f>
        <v>0</v>
      </c>
      <c r="AH56" s="438">
        <f>LET(useForFraction,J56, fractionSaleFMV,Reference!$B$23, postMergerBasis,AT56, lotFractionAmount,AG56, IF(useForFraction, (fractionSaleFMV - postMergerBasis)*lotFractionAmount, 0))</f>
        <v>0</v>
      </c>
      <c r="AI56" s="439">
        <f t="shared" si="11"/>
        <v>0</v>
      </c>
      <c r="AJ56" s="440">
        <f>LET(
purchaseDate,C56,
mergerDate,Reference!$B$28,
lotFractionGain,AH56,
mergerGain,AI56,
IF(DATEDIF(purchaseDate,mergerDate,"Y")&gt;=1,
  0,
  lotFractionGain + mergerGain
))</f>
        <v>0</v>
      </c>
      <c r="AK56" s="440">
        <f>LET(
purchaseDate,C56,
mergerDate,Reference!$B$28,
lotFractionGain,AH56,
mergerGain,AI56,
IF(DATEDIF(purchaseDate,mergerDate,"Y")&gt;=1,
  lotFractionGain+mergerGain,
  0
))</f>
        <v>0</v>
      </c>
      <c r="AL56" s="441" t="str">
        <f>IF(DATEDIF(C56,Reference!$B$28,"Y")&gt;=1,"Part II Box E","Part I Box B")</f>
        <v>Part II Box E</v>
      </c>
      <c r="AM56" s="336">
        <f t="shared" si="12"/>
        <v>44348</v>
      </c>
      <c r="AN56" s="337">
        <f t="shared" si="13"/>
        <v>0</v>
      </c>
      <c r="AO56" s="337">
        <f>LET(
cashReceived,W56, 
avgoQty,AE56, 
proceedsStyle,Reference!$E$9, 
avgoFMV,Reference!$B$18, 
SWITCH(proceedsStyle, "combined", cashReceived +(avgoQty*avgoFMV), "cashOnly", cashReceived))</f>
        <v>0</v>
      </c>
      <c r="AP56" s="338">
        <f>LET(
numVmwShares,D56, 
vmwBasis, Z56, 
avgoQty,AE56, 
avgoFMV,Reference!$B$18, 
cashReceived,W56, 
avgoTotalValue, avgoFMV*avgoQty, 
vmwTotalBasis, vmwBasis*numVmwShares,
alternateGainAmount,AF56, 
IF(cashReceived&lt;alternateGainAmount,
  avgoTotalValue,
  vmwTotalBasis
))</f>
        <v>0</v>
      </c>
      <c r="AQ56" s="338" t="str">
        <f t="shared" si="14"/>
        <v/>
      </c>
      <c r="AR56" s="338">
        <v>0.0</v>
      </c>
      <c r="AS56" s="339">
        <f t="shared" si="15"/>
        <v>0</v>
      </c>
      <c r="AT56" s="442" t="str">
        <f t="shared" si="16"/>
        <v>n/a</v>
      </c>
      <c r="AU56" s="328">
        <f>LET(saleFMV,Reference!$B$10, postMergerBasis,AT56, avgoQty,AE56, lotFractionAmount,AG56, iferror((saleFMV - postMergerBasis) * (avgoQty - lotFractionAmount), 0))</f>
        <v>0</v>
      </c>
      <c r="AV56" s="328">
        <f>LET(
avgoQty,AE57, 
purchaseDate,C57,
postMergerSaleDate,Reference!$B$29,
saleFMV,Reference!$B$10,
postMergerBasis,AT57, 
IFERROR(IF(DATEDIF(purchaseDate,postMergerSaleDate,"Y")&gt;=1,
  0,
  avgoQty * (saleFMV - postMergerBasis)
),0))</f>
        <v>0</v>
      </c>
      <c r="AW56" s="331">
        <f>LET(
avgoQty,AE56, 
purchaseDate,C56,
postMergerSaleDate,Reference!$B$29,
saleFMV,Reference!$B$10,
postMergerBasis,AT56, 
IFERROR(IF(DATEDIF(purchaseDate,postMergerSaleDate,"Y")&gt;=1,
  avgoQty * (saleFMV - postMergerBasis),
  0
),0))</f>
        <v>0</v>
      </c>
    </row>
    <row r="57">
      <c r="A57" s="431" t="s">
        <v>229</v>
      </c>
      <c r="B57" s="432">
        <v>43462.0</v>
      </c>
      <c r="C57" s="301">
        <v>44348.0</v>
      </c>
      <c r="D57" s="332"/>
      <c r="E57" s="433">
        <v>161.26</v>
      </c>
      <c r="F57" s="443"/>
      <c r="G57" s="305">
        <f t="shared" si="6"/>
        <v>0</v>
      </c>
      <c r="H57" s="317">
        <f t="shared" si="7"/>
        <v>0</v>
      </c>
      <c r="I57" s="444"/>
      <c r="J57" s="342" t="b">
        <v>0</v>
      </c>
      <c r="K57" s="436"/>
      <c r="L57" s="311">
        <v>0.0</v>
      </c>
      <c r="M57" s="311">
        <v>0.0</v>
      </c>
      <c r="N57" s="311">
        <v>0.0</v>
      </c>
      <c r="O57" s="311">
        <v>0.0</v>
      </c>
      <c r="P57" s="311">
        <v>0.0</v>
      </c>
      <c r="Q57" s="313">
        <f t="shared" si="8"/>
        <v>0</v>
      </c>
      <c r="R57" s="313" t="str">
        <f>SWITCH(S57,"cash",Reference!E$5,"shares",Reference!$E$6,"balance",Reference!$E$7,"pro-rata",Reference!$B$5)</f>
        <v>#DIV/0!</v>
      </c>
      <c r="S57" s="314" t="s">
        <v>205</v>
      </c>
      <c r="T57" s="315">
        <f>LET(numVmwShares,D57, cashRatio,Reference!$B$4, vmwFinalPrice,Reference!$B$3, numVmwShares * cashRatio * vmwFinalPrice)</f>
        <v>0</v>
      </c>
      <c r="U57" s="315">
        <f>iferror(LET(numVmwShares,$D57, stockRatio,Q57, vmwFinalPrice,Reference!$B$3, (1 - stockRatio) * vmwFinalPrice * numVmwShares),0)</f>
        <v>0</v>
      </c>
      <c r="V57" s="315">
        <f>iferror(LET(numVmwShares,$D57, stockRatio,R57, vmwFinalPrice,Reference!$B$3, (1 - stockRatio) * vmwFinalPrice * numVmwShares),0)</f>
        <v>0</v>
      </c>
      <c r="W57" s="315">
        <f>SWITCH(Reference!$E$4,"eTradeTransactionLog", T57, "eTradeHoldingRatio",T57, "eTradeLotQtyRatio",U57,"manualLotRatio",V57)</f>
        <v>0</v>
      </c>
      <c r="X57" s="305">
        <f>LET(purchaseDate,C57, dateOfRecord,Reference!$B$26, returnOfCapital,Reference!$C$26, IF(purchaseDate &lt; dateOfRecord, returnOfCapital,0))</f>
        <v>0</v>
      </c>
      <c r="Y57" s="305">
        <f>LET(purchaseDate,C57, dateOfRecord,Reference!$B$27, returnOfCapital,Reference!$C$27, IF(purchaseDate &lt; dateOfRecord, returnOfCapital,0))</f>
        <v>16.58</v>
      </c>
      <c r="Z57" s="305">
        <f t="shared" si="9"/>
        <v>144.68</v>
      </c>
      <c r="AA57" s="305">
        <f t="shared" si="10"/>
        <v>0</v>
      </c>
      <c r="AB57" s="316">
        <f>LET(numVmwShares,D57, stockRatio,Reference!$B$5, vmwToAvgoRatio,Reference!$B$6, numVmwShares * stockRatio * vmwToAvgoRatio)</f>
        <v>0</v>
      </c>
      <c r="AC57" s="316">
        <f>LET(numVmwShares,D57, stockRatio,Q57, vmwToAvgoRatio,Reference!$B$6, numVmwShares * stockRatio * vmwToAvgoRatio)</f>
        <v>0</v>
      </c>
      <c r="AD57" s="316" t="str">
        <f>LET(numVmwShares,D57, stockRatio,R57, vmwToAvgoRatio,Reference!$B$6, numVmwShares * stockRatio * vmwToAvgoRatio)</f>
        <v>#DIV/0!</v>
      </c>
      <c r="AE57" s="316">
        <f>SWITCH(Reference!$E$4, "eTradeTransactionLog", AB57, "eTradeHoldingRatio",AB57, "eTradeLotQtyRatio",AC57,"manualLotRatio",AD57)</f>
        <v>0</v>
      </c>
      <c r="AF57" s="317">
        <f>LET(numVmwShares,D57, vmwBasis,Z57, avgoQty,AE57, avgoFMV,Reference!$B$18, cashReceived,W57, gain,cashReceived+(avgoQty*avgoFMV)-(numVmwShares*vmwBasis),
MAX(gain,0))</f>
        <v>0</v>
      </c>
      <c r="AG57" s="318">
        <f>LET(useForFraction,J57, fractionAmount,Summary!$C$41, esppFractionLots,ESPP!$N$5, rsuFractionLots,RSU!J$5, IF(useForFraction, fractionAmount / (esppFractionLots+rsuFractionLots), 0))</f>
        <v>0</v>
      </c>
      <c r="AH57" s="438">
        <f>LET(useForFraction,J57, fractionSaleFMV,Reference!$B$23, postMergerBasis,AT57, lotFractionAmount,AG57, IF(useForFraction, (fractionSaleFMV - postMergerBasis)*lotFractionAmount, 0))</f>
        <v>0</v>
      </c>
      <c r="AI57" s="439">
        <f t="shared" si="11"/>
        <v>0</v>
      </c>
      <c r="AJ57" s="440">
        <f>LET(
purchaseDate,C57,
mergerDate,Reference!$B$28,
lotFractionGain,AH57,
mergerGain,AI57,
IF(DATEDIF(purchaseDate,mergerDate,"Y")&gt;=1,
  0,
  lotFractionGain + mergerGain
))</f>
        <v>0</v>
      </c>
      <c r="AK57" s="440">
        <f>LET(
purchaseDate,C57,
mergerDate,Reference!$B$28,
lotFractionGain,AH57,
mergerGain,AI57,
IF(DATEDIF(purchaseDate,mergerDate,"Y")&gt;=1,
  lotFractionGain+mergerGain,
  0
))</f>
        <v>0</v>
      </c>
      <c r="AL57" s="441" t="str">
        <f>IF(DATEDIF(C57,Reference!$B$28,"Y")&gt;=1,"Part II Box E","Part I Box B")</f>
        <v>Part II Box E</v>
      </c>
      <c r="AM57" s="336">
        <f t="shared" si="12"/>
        <v>44348</v>
      </c>
      <c r="AN57" s="337">
        <f t="shared" si="13"/>
        <v>0</v>
      </c>
      <c r="AO57" s="337">
        <f>LET(
cashReceived,W57, 
avgoQty,AE57, 
proceedsStyle,Reference!$E$9, 
avgoFMV,Reference!$B$18, 
SWITCH(proceedsStyle, "combined", cashReceived +(avgoQty*avgoFMV), "cashOnly", cashReceived))</f>
        <v>0</v>
      </c>
      <c r="AP57" s="338">
        <f>LET(
numVmwShares,D57, 
vmwBasis, Z57, 
avgoQty,AE57, 
avgoFMV,Reference!$B$18, 
cashReceived,W57, 
avgoTotalValue, avgoFMV*avgoQty, 
vmwTotalBasis, vmwBasis*numVmwShares,
alternateGainAmount,AF57, 
IF(cashReceived&lt;alternateGainAmount,
  avgoTotalValue,
  vmwTotalBasis
))</f>
        <v>0</v>
      </c>
      <c r="AQ57" s="338" t="str">
        <f t="shared" si="14"/>
        <v/>
      </c>
      <c r="AR57" s="338">
        <v>0.0</v>
      </c>
      <c r="AS57" s="339">
        <f t="shared" si="15"/>
        <v>0</v>
      </c>
      <c r="AT57" s="442" t="str">
        <f t="shared" si="16"/>
        <v>n/a</v>
      </c>
      <c r="AU57" s="328">
        <f>LET(saleFMV,Reference!$B$10, postMergerBasis,AT57, avgoQty,AE57, lotFractionAmount,AG57, iferror((saleFMV - postMergerBasis) * (avgoQty - lotFractionAmount), 0))</f>
        <v>0</v>
      </c>
      <c r="AV57" s="328">
        <f>LET(
avgoQty,AE58, 
purchaseDate,C58,
postMergerSaleDate,Reference!$B$29,
saleFMV,Reference!$B$10,
postMergerBasis,AT58, 
IFERROR(IF(DATEDIF(purchaseDate,postMergerSaleDate,"Y")&gt;=1,
  0,
  avgoQty * (saleFMV - postMergerBasis)
),0))</f>
        <v>0</v>
      </c>
      <c r="AW57" s="331">
        <f>LET(
avgoQty,AE57, 
purchaseDate,C57,
postMergerSaleDate,Reference!$B$29,
saleFMV,Reference!$B$10,
postMergerBasis,AT57, 
IFERROR(IF(DATEDIF(purchaseDate,postMergerSaleDate,"Y")&gt;=1,
  avgoQty * (saleFMV - postMergerBasis),
  0
),0))</f>
        <v>0</v>
      </c>
    </row>
    <row r="58">
      <c r="A58" s="431" t="s">
        <v>226</v>
      </c>
      <c r="B58" s="432">
        <v>43462.0</v>
      </c>
      <c r="C58" s="301">
        <v>44378.0</v>
      </c>
      <c r="D58" s="332"/>
      <c r="E58" s="433">
        <v>156.13</v>
      </c>
      <c r="F58" s="443"/>
      <c r="G58" s="305">
        <f t="shared" si="6"/>
        <v>0</v>
      </c>
      <c r="H58" s="317">
        <f t="shared" si="7"/>
        <v>0</v>
      </c>
      <c r="I58" s="444"/>
      <c r="J58" s="342" t="b">
        <v>0</v>
      </c>
      <c r="K58" s="436"/>
      <c r="L58" s="311">
        <v>0.0</v>
      </c>
      <c r="M58" s="311">
        <v>0.0</v>
      </c>
      <c r="N58" s="311">
        <v>0.0</v>
      </c>
      <c r="O58" s="311">
        <v>0.0</v>
      </c>
      <c r="P58" s="311">
        <v>0.0</v>
      </c>
      <c r="Q58" s="313">
        <f t="shared" si="8"/>
        <v>0</v>
      </c>
      <c r="R58" s="313" t="str">
        <f>SWITCH(S58,"cash",Reference!E$5,"shares",Reference!$E$6,"balance",Reference!$E$7,"pro-rata",Reference!$B$5)</f>
        <v>#DIV/0!</v>
      </c>
      <c r="S58" s="314" t="s">
        <v>205</v>
      </c>
      <c r="T58" s="315">
        <f>LET(numVmwShares,D58, cashRatio,Reference!$B$4, vmwFinalPrice,Reference!$B$3, numVmwShares * cashRatio * vmwFinalPrice)</f>
        <v>0</v>
      </c>
      <c r="U58" s="315">
        <f>iferror(LET(numVmwShares,$D58, stockRatio,Q58, vmwFinalPrice,Reference!$B$3, (1 - stockRatio) * vmwFinalPrice * numVmwShares),0)</f>
        <v>0</v>
      </c>
      <c r="V58" s="315">
        <f>iferror(LET(numVmwShares,$D58, stockRatio,R58, vmwFinalPrice,Reference!$B$3, (1 - stockRatio) * vmwFinalPrice * numVmwShares),0)</f>
        <v>0</v>
      </c>
      <c r="W58" s="315">
        <f>SWITCH(Reference!$E$4,"eTradeTransactionLog", T58, "eTradeHoldingRatio",T58, "eTradeLotQtyRatio",U58,"manualLotRatio",V58)</f>
        <v>0</v>
      </c>
      <c r="X58" s="305">
        <f>LET(purchaseDate,C58, dateOfRecord,Reference!$B$26, returnOfCapital,Reference!$C$26, IF(purchaseDate &lt; dateOfRecord, returnOfCapital,0))</f>
        <v>0</v>
      </c>
      <c r="Y58" s="305">
        <f>LET(purchaseDate,C58, dateOfRecord,Reference!$B$27, returnOfCapital,Reference!$C$27, IF(purchaseDate &lt; dateOfRecord, returnOfCapital,0))</f>
        <v>16.58</v>
      </c>
      <c r="Z58" s="305">
        <f t="shared" si="9"/>
        <v>139.55</v>
      </c>
      <c r="AA58" s="305">
        <f t="shared" si="10"/>
        <v>0</v>
      </c>
      <c r="AB58" s="316">
        <f>LET(numVmwShares,D58, stockRatio,Reference!$B$5, vmwToAvgoRatio,Reference!$B$6, numVmwShares * stockRatio * vmwToAvgoRatio)</f>
        <v>0</v>
      </c>
      <c r="AC58" s="316">
        <f>LET(numVmwShares,D58, stockRatio,Q58, vmwToAvgoRatio,Reference!$B$6, numVmwShares * stockRatio * vmwToAvgoRatio)</f>
        <v>0</v>
      </c>
      <c r="AD58" s="316" t="str">
        <f>LET(numVmwShares,D58, stockRatio,R58, vmwToAvgoRatio,Reference!$B$6, numVmwShares * stockRatio * vmwToAvgoRatio)</f>
        <v>#DIV/0!</v>
      </c>
      <c r="AE58" s="316">
        <f>SWITCH(Reference!$E$4, "eTradeTransactionLog", AB58, "eTradeHoldingRatio",AB58, "eTradeLotQtyRatio",AC58,"manualLotRatio",AD58)</f>
        <v>0</v>
      </c>
      <c r="AF58" s="317">
        <f>LET(numVmwShares,D58, vmwBasis,Z58, avgoQty,AE58, avgoFMV,Reference!$B$18, cashReceived,W58, gain,cashReceived+(avgoQty*avgoFMV)-(numVmwShares*vmwBasis),
MAX(gain,0))</f>
        <v>0</v>
      </c>
      <c r="AG58" s="318">
        <f>LET(useForFraction,J58, fractionAmount,Summary!$C$41, esppFractionLots,ESPP!$N$5, rsuFractionLots,RSU!J$5, IF(useForFraction, fractionAmount / (esppFractionLots+rsuFractionLots), 0))</f>
        <v>0</v>
      </c>
      <c r="AH58" s="438">
        <f>LET(useForFraction,J58, fractionSaleFMV,Reference!$B$23, postMergerBasis,AT58, lotFractionAmount,AG58, IF(useForFraction, (fractionSaleFMV - postMergerBasis)*lotFractionAmount, 0))</f>
        <v>0</v>
      </c>
      <c r="AI58" s="439">
        <f t="shared" si="11"/>
        <v>0</v>
      </c>
      <c r="AJ58" s="440">
        <f>LET(
purchaseDate,C58,
mergerDate,Reference!$B$28,
lotFractionGain,AH58,
mergerGain,AI58,
IF(DATEDIF(purchaseDate,mergerDate,"Y")&gt;=1,
  0,
  lotFractionGain + mergerGain
))</f>
        <v>0</v>
      </c>
      <c r="AK58" s="440">
        <f>LET(
purchaseDate,C58,
mergerDate,Reference!$B$28,
lotFractionGain,AH58,
mergerGain,AI58,
IF(DATEDIF(purchaseDate,mergerDate,"Y")&gt;=1,
  lotFractionGain+mergerGain,
  0
))</f>
        <v>0</v>
      </c>
      <c r="AL58" s="441" t="str">
        <f>IF(DATEDIF(C58,Reference!$B$28,"Y")&gt;=1,"Part II Box E","Part I Box B")</f>
        <v>Part II Box E</v>
      </c>
      <c r="AM58" s="336">
        <f t="shared" si="12"/>
        <v>44378</v>
      </c>
      <c r="AN58" s="337">
        <f t="shared" si="13"/>
        <v>0</v>
      </c>
      <c r="AO58" s="337">
        <f>LET(
cashReceived,W58, 
avgoQty,AE58, 
proceedsStyle,Reference!$E$9, 
avgoFMV,Reference!$B$18, 
SWITCH(proceedsStyle, "combined", cashReceived +(avgoQty*avgoFMV), "cashOnly", cashReceived))</f>
        <v>0</v>
      </c>
      <c r="AP58" s="338">
        <f>LET(
numVmwShares,D58, 
vmwBasis, Z58, 
avgoQty,AE58, 
avgoFMV,Reference!$B$18, 
cashReceived,W58, 
avgoTotalValue, avgoFMV*avgoQty, 
vmwTotalBasis, vmwBasis*numVmwShares,
alternateGainAmount,AF58, 
IF(cashReceived&lt;alternateGainAmount,
  avgoTotalValue,
  vmwTotalBasis
))</f>
        <v>0</v>
      </c>
      <c r="AQ58" s="338" t="str">
        <f t="shared" si="14"/>
        <v/>
      </c>
      <c r="AR58" s="338">
        <v>0.0</v>
      </c>
      <c r="AS58" s="339">
        <f t="shared" si="15"/>
        <v>0</v>
      </c>
      <c r="AT58" s="442" t="str">
        <f t="shared" si="16"/>
        <v>n/a</v>
      </c>
      <c r="AU58" s="328">
        <f>LET(saleFMV,Reference!$B$10, postMergerBasis,AT58, avgoQty,AE58, lotFractionAmount,AG58, iferror((saleFMV - postMergerBasis) * (avgoQty - lotFractionAmount), 0))</f>
        <v>0</v>
      </c>
      <c r="AV58" s="328">
        <f>LET(
avgoQty,AE59, 
purchaseDate,C59,
postMergerSaleDate,Reference!$B$29,
saleFMV,Reference!$B$10,
postMergerBasis,AT59, 
IFERROR(IF(DATEDIF(purchaseDate,postMergerSaleDate,"Y")&gt;=1,
  0,
  avgoQty * (saleFMV - postMergerBasis)
),0))</f>
        <v>0</v>
      </c>
      <c r="AW58" s="331">
        <f>LET(
avgoQty,AE58, 
purchaseDate,C58,
postMergerSaleDate,Reference!$B$29,
saleFMV,Reference!$B$10,
postMergerBasis,AT58, 
IFERROR(IF(DATEDIF(purchaseDate,postMergerSaleDate,"Y")&gt;=1,
  avgoQty * (saleFMV - postMergerBasis),
  0
),0))</f>
        <v>0</v>
      </c>
    </row>
    <row r="59">
      <c r="A59" s="431"/>
      <c r="B59" s="447"/>
      <c r="C59" s="448">
        <v>44440.0</v>
      </c>
      <c r="D59" s="332"/>
      <c r="E59" s="433">
        <v>146.86</v>
      </c>
      <c r="F59" s="443"/>
      <c r="G59" s="305">
        <f t="shared" si="6"/>
        <v>0</v>
      </c>
      <c r="H59" s="317">
        <f t="shared" si="7"/>
        <v>0</v>
      </c>
      <c r="I59" s="444"/>
      <c r="J59" s="342" t="b">
        <v>0</v>
      </c>
      <c r="K59" s="436"/>
      <c r="L59" s="311">
        <v>0.0</v>
      </c>
      <c r="M59" s="311">
        <v>0.0</v>
      </c>
      <c r="N59" s="311">
        <v>0.0</v>
      </c>
      <c r="O59" s="311">
        <v>0.0</v>
      </c>
      <c r="P59" s="311">
        <v>0.0</v>
      </c>
      <c r="Q59" s="313">
        <f t="shared" si="8"/>
        <v>0</v>
      </c>
      <c r="R59" s="313" t="str">
        <f>SWITCH(S59,"cash",Reference!E$5,"shares",Reference!$E$6,"balance",Reference!$E$7,"pro-rata",Reference!$B$5)</f>
        <v>#DIV/0!</v>
      </c>
      <c r="S59" s="314" t="s">
        <v>205</v>
      </c>
      <c r="T59" s="315">
        <f>LET(numVmwShares,D59, cashRatio,Reference!$B$4, vmwFinalPrice,Reference!$B$3, numVmwShares * cashRatio * vmwFinalPrice)</f>
        <v>0</v>
      </c>
      <c r="U59" s="315">
        <f>iferror(LET(numVmwShares,$D59, stockRatio,Q59, vmwFinalPrice,Reference!$B$3, (1 - stockRatio) * vmwFinalPrice * numVmwShares),0)</f>
        <v>0</v>
      </c>
      <c r="V59" s="315">
        <f>iferror(LET(numVmwShares,$D59, stockRatio,R59, vmwFinalPrice,Reference!$B$3, (1 - stockRatio) * vmwFinalPrice * numVmwShares),0)</f>
        <v>0</v>
      </c>
      <c r="W59" s="315">
        <f>SWITCH(Reference!$E$4,"eTradeTransactionLog", T59, "eTradeHoldingRatio",T59, "eTradeLotQtyRatio",U59,"manualLotRatio",V59)</f>
        <v>0</v>
      </c>
      <c r="X59" s="305">
        <f>LET(purchaseDate,C59, dateOfRecord,Reference!$B$26, returnOfCapital,Reference!$C$26, IF(purchaseDate &lt; dateOfRecord, returnOfCapital,0))</f>
        <v>0</v>
      </c>
      <c r="Y59" s="305">
        <f>LET(purchaseDate,C59, dateOfRecord,Reference!$B$27, returnOfCapital,Reference!$C$27, IF(purchaseDate &lt; dateOfRecord, returnOfCapital,0))</f>
        <v>16.58</v>
      </c>
      <c r="Z59" s="305">
        <f t="shared" si="9"/>
        <v>130.28</v>
      </c>
      <c r="AA59" s="305">
        <f t="shared" si="10"/>
        <v>0</v>
      </c>
      <c r="AB59" s="316">
        <f>LET(numVmwShares,D59, stockRatio,Reference!$B$5, vmwToAvgoRatio,Reference!$B$6, numVmwShares * stockRatio * vmwToAvgoRatio)</f>
        <v>0</v>
      </c>
      <c r="AC59" s="316">
        <f>LET(numVmwShares,D59, stockRatio,Q59, vmwToAvgoRatio,Reference!$B$6, numVmwShares * stockRatio * vmwToAvgoRatio)</f>
        <v>0</v>
      </c>
      <c r="AD59" s="316" t="str">
        <f>LET(numVmwShares,D59, stockRatio,R59, vmwToAvgoRatio,Reference!$B$6, numVmwShares * stockRatio * vmwToAvgoRatio)</f>
        <v>#DIV/0!</v>
      </c>
      <c r="AE59" s="316">
        <f>SWITCH(Reference!$E$4, "eTradeTransactionLog", AB59, "eTradeHoldingRatio",AB59, "eTradeLotQtyRatio",AC59,"manualLotRatio",AD59)</f>
        <v>0</v>
      </c>
      <c r="AF59" s="317">
        <f>LET(numVmwShares,D59, vmwBasis,Z59, avgoQty,AE59, avgoFMV,Reference!$B$18, cashReceived,W59, gain,cashReceived+(avgoQty*avgoFMV)-(numVmwShares*vmwBasis),
MAX(gain,0))</f>
        <v>0</v>
      </c>
      <c r="AG59" s="318">
        <f>LET(useForFraction,J59, fractionAmount,Summary!$C$41, esppFractionLots,ESPP!$N$5, rsuFractionLots,RSU!J$5, IF(useForFraction, fractionAmount / (esppFractionLots+rsuFractionLots), 0))</f>
        <v>0</v>
      </c>
      <c r="AH59" s="438">
        <f>LET(useForFraction,J59, fractionSaleFMV,Reference!$B$23, postMergerBasis,AT59, lotFractionAmount,AG59, IF(useForFraction, (fractionSaleFMV - postMergerBasis)*lotFractionAmount, 0))</f>
        <v>0</v>
      </c>
      <c r="AI59" s="439">
        <f t="shared" si="11"/>
        <v>0</v>
      </c>
      <c r="AJ59" s="440">
        <f>LET(
purchaseDate,C59,
mergerDate,Reference!$B$28,
lotFractionGain,AH59,
mergerGain,AI59,
IF(DATEDIF(purchaseDate,mergerDate,"Y")&gt;=1,
  0,
  lotFractionGain + mergerGain
))</f>
        <v>0</v>
      </c>
      <c r="AK59" s="440">
        <f>LET(
purchaseDate,C59,
mergerDate,Reference!$B$28,
lotFractionGain,AH59,
mergerGain,AI59,
IF(DATEDIF(purchaseDate,mergerDate,"Y")&gt;=1,
  lotFractionGain+mergerGain,
  0
))</f>
        <v>0</v>
      </c>
      <c r="AL59" s="441" t="str">
        <f>IF(DATEDIF(C59,Reference!$B$28,"Y")&gt;=1,"Part II Box E","Part I Box B")</f>
        <v>Part II Box E</v>
      </c>
      <c r="AM59" s="336">
        <f t="shared" si="12"/>
        <v>44440</v>
      </c>
      <c r="AN59" s="337">
        <f t="shared" si="13"/>
        <v>0</v>
      </c>
      <c r="AO59" s="337">
        <f>LET(
cashReceived,W59, 
avgoQty,AE59, 
proceedsStyle,Reference!$E$9, 
avgoFMV,Reference!$B$18, 
SWITCH(proceedsStyle, "combined", cashReceived +(avgoQty*avgoFMV), "cashOnly", cashReceived))</f>
        <v>0</v>
      </c>
      <c r="AP59" s="338">
        <f>LET(
numVmwShares,D59, 
vmwBasis, Z59, 
avgoQty,AE59, 
avgoFMV,Reference!$B$18, 
cashReceived,W59, 
avgoTotalValue, avgoFMV*avgoQty, 
vmwTotalBasis, vmwBasis*numVmwShares,
alternateGainAmount,AF59, 
IF(cashReceived&lt;alternateGainAmount,
  avgoTotalValue,
  vmwTotalBasis
))</f>
        <v>0</v>
      </c>
      <c r="AQ59" s="338" t="str">
        <f t="shared" si="14"/>
        <v/>
      </c>
      <c r="AR59" s="338">
        <v>0.0</v>
      </c>
      <c r="AS59" s="339">
        <f t="shared" si="15"/>
        <v>0</v>
      </c>
      <c r="AT59" s="442" t="str">
        <f t="shared" si="16"/>
        <v>n/a</v>
      </c>
      <c r="AU59" s="328">
        <f>LET(saleFMV,Reference!$B$10, postMergerBasis,AT59, avgoQty,AE59, lotFractionAmount,AG59, iferror((saleFMV - postMergerBasis) * (avgoQty - lotFractionAmount), 0))</f>
        <v>0</v>
      </c>
      <c r="AV59" s="328">
        <f>LET(
avgoQty,AE60, 
purchaseDate,C60,
postMergerSaleDate,Reference!$B$29,
saleFMV,Reference!$B$10,
postMergerBasis,AT60, 
IFERROR(IF(DATEDIF(purchaseDate,postMergerSaleDate,"Y")&gt;=1,
  0,
  avgoQty * (saleFMV - postMergerBasis)
),0))</f>
        <v>0</v>
      </c>
      <c r="AW59" s="331">
        <f>LET(
avgoQty,AE59, 
purchaseDate,C59,
postMergerSaleDate,Reference!$B$29,
saleFMV,Reference!$B$10,
postMergerBasis,AT59, 
IFERROR(IF(DATEDIF(purchaseDate,postMergerSaleDate,"Y")&gt;=1,
  avgoQty * (saleFMV - postMergerBasis),
  0
),0))</f>
        <v>0</v>
      </c>
    </row>
    <row r="60">
      <c r="A60" s="431" t="s">
        <v>232</v>
      </c>
      <c r="B60" s="432">
        <v>44501.0</v>
      </c>
      <c r="C60" s="301">
        <v>44511.0</v>
      </c>
      <c r="D60" s="332"/>
      <c r="E60" s="433">
        <v>124.18</v>
      </c>
      <c r="F60" s="443"/>
      <c r="G60" s="305">
        <f t="shared" si="6"/>
        <v>0</v>
      </c>
      <c r="H60" s="317">
        <f t="shared" si="7"/>
        <v>0</v>
      </c>
      <c r="I60" s="444"/>
      <c r="J60" s="342" t="b">
        <v>0</v>
      </c>
      <c r="K60" s="436"/>
      <c r="L60" s="311">
        <v>0.0</v>
      </c>
      <c r="M60" s="311">
        <v>0.0</v>
      </c>
      <c r="N60" s="311">
        <v>0.0</v>
      </c>
      <c r="O60" s="311">
        <v>0.0</v>
      </c>
      <c r="P60" s="311">
        <v>0.0</v>
      </c>
      <c r="Q60" s="313">
        <f t="shared" si="8"/>
        <v>0</v>
      </c>
      <c r="R60" s="313" t="str">
        <f>SWITCH(S60,"cash",Reference!E$5,"shares",Reference!$E$6,"balance",Reference!$E$7,"pro-rata",Reference!$B$5)</f>
        <v>#DIV/0!</v>
      </c>
      <c r="S60" s="314" t="s">
        <v>205</v>
      </c>
      <c r="T60" s="315">
        <f>LET(numVmwShares,D60, cashRatio,Reference!$B$4, vmwFinalPrice,Reference!$B$3, numVmwShares * cashRatio * vmwFinalPrice)</f>
        <v>0</v>
      </c>
      <c r="U60" s="315">
        <f>iferror(LET(numVmwShares,$D60, stockRatio,Q60, vmwFinalPrice,Reference!$B$3, (1 - stockRatio) * vmwFinalPrice * numVmwShares),0)</f>
        <v>0</v>
      </c>
      <c r="V60" s="315">
        <f>iferror(LET(numVmwShares,$D60, stockRatio,R60, vmwFinalPrice,Reference!$B$3, (1 - stockRatio) * vmwFinalPrice * numVmwShares),0)</f>
        <v>0</v>
      </c>
      <c r="W60" s="315">
        <f>SWITCH(Reference!$E$4,"eTradeTransactionLog", T60, "eTradeHoldingRatio",T60, "eTradeLotQtyRatio",U60,"manualLotRatio",V60)</f>
        <v>0</v>
      </c>
      <c r="X60" s="305">
        <f>LET(purchaseDate,C60, dateOfRecord,Reference!$B$26, returnOfCapital,Reference!$C$26, IF(purchaseDate &lt; dateOfRecord, returnOfCapital,0))</f>
        <v>0</v>
      </c>
      <c r="Y60" s="305">
        <f>LET(purchaseDate,C60, dateOfRecord,Reference!$B$27, returnOfCapital,Reference!$C$27, IF(purchaseDate &lt; dateOfRecord, returnOfCapital,0))</f>
        <v>0</v>
      </c>
      <c r="Z60" s="305">
        <f t="shared" si="9"/>
        <v>124.18</v>
      </c>
      <c r="AA60" s="305">
        <f t="shared" si="10"/>
        <v>0</v>
      </c>
      <c r="AB60" s="316">
        <f>LET(numVmwShares,D60, stockRatio,Reference!$B$5, vmwToAvgoRatio,Reference!$B$6, numVmwShares * stockRatio * vmwToAvgoRatio)</f>
        <v>0</v>
      </c>
      <c r="AC60" s="316">
        <f>LET(numVmwShares,D60, stockRatio,Q60, vmwToAvgoRatio,Reference!$B$6, numVmwShares * stockRatio * vmwToAvgoRatio)</f>
        <v>0</v>
      </c>
      <c r="AD60" s="316" t="str">
        <f>LET(numVmwShares,D60, stockRatio,R60, vmwToAvgoRatio,Reference!$B$6, numVmwShares * stockRatio * vmwToAvgoRatio)</f>
        <v>#DIV/0!</v>
      </c>
      <c r="AE60" s="316">
        <f>SWITCH(Reference!$E$4, "eTradeTransactionLog", AB60, "eTradeHoldingRatio",AB60, "eTradeLotQtyRatio",AC60,"manualLotRatio",AD60)</f>
        <v>0</v>
      </c>
      <c r="AF60" s="317">
        <f>LET(numVmwShares,D60, vmwBasis,Z60, avgoQty,AE60, avgoFMV,Reference!$B$18, cashReceived,W60, gain,cashReceived+(avgoQty*avgoFMV)-(numVmwShares*vmwBasis),
MAX(gain,0))</f>
        <v>0</v>
      </c>
      <c r="AG60" s="318">
        <f>LET(useForFraction,J60, fractionAmount,Summary!$C$41, esppFractionLots,ESPP!$N$5, rsuFractionLots,RSU!J$5, IF(useForFraction, fractionAmount / (esppFractionLots+rsuFractionLots), 0))</f>
        <v>0</v>
      </c>
      <c r="AH60" s="438">
        <f>LET(useForFraction,J60, fractionSaleFMV,Reference!$B$23, postMergerBasis,AT60, lotFractionAmount,AG60, IF(useForFraction, (fractionSaleFMV - postMergerBasis)*lotFractionAmount, 0))</f>
        <v>0</v>
      </c>
      <c r="AI60" s="439">
        <f t="shared" si="11"/>
        <v>0</v>
      </c>
      <c r="AJ60" s="440">
        <f>LET(
purchaseDate,C60,
mergerDate,Reference!$B$28,
lotFractionGain,AH60,
mergerGain,AI60,
IF(DATEDIF(purchaseDate,mergerDate,"Y")&gt;=1,
  0,
  lotFractionGain + mergerGain
))</f>
        <v>0</v>
      </c>
      <c r="AK60" s="440">
        <f>LET(
purchaseDate,C60,
mergerDate,Reference!$B$28,
lotFractionGain,AH60,
mergerGain,AI60,
IF(DATEDIF(purchaseDate,mergerDate,"Y")&gt;=1,
  lotFractionGain+mergerGain,
  0
))</f>
        <v>0</v>
      </c>
      <c r="AL60" s="441" t="str">
        <f>IF(DATEDIF(C60,Reference!$B$28,"Y")&gt;=1,"Part II Box E","Part I Box B")</f>
        <v>Part II Box E</v>
      </c>
      <c r="AM60" s="336">
        <f t="shared" si="12"/>
        <v>44511</v>
      </c>
      <c r="AN60" s="337">
        <f t="shared" si="13"/>
        <v>0</v>
      </c>
      <c r="AO60" s="337">
        <f>LET(
cashReceived,W60, 
avgoQty,AE60, 
proceedsStyle,Reference!$E$9, 
avgoFMV,Reference!$B$18, 
SWITCH(proceedsStyle, "combined", cashReceived +(avgoQty*avgoFMV), "cashOnly", cashReceived))</f>
        <v>0</v>
      </c>
      <c r="AP60" s="338">
        <f>LET(
numVmwShares,D60, 
vmwBasis, Z60, 
avgoQty,AE60, 
avgoFMV,Reference!$B$18, 
cashReceived,W60, 
avgoTotalValue, avgoFMV*avgoQty, 
vmwTotalBasis, vmwBasis*numVmwShares,
alternateGainAmount,AF60, 
IF(cashReceived&lt;alternateGainAmount,
  avgoTotalValue,
  vmwTotalBasis
))</f>
        <v>0</v>
      </c>
      <c r="AQ60" s="338" t="str">
        <f t="shared" si="14"/>
        <v/>
      </c>
      <c r="AR60" s="338">
        <v>0.0</v>
      </c>
      <c r="AS60" s="339">
        <f t="shared" si="15"/>
        <v>0</v>
      </c>
      <c r="AT60" s="442" t="str">
        <f t="shared" si="16"/>
        <v>n/a</v>
      </c>
      <c r="AU60" s="328">
        <f>LET(saleFMV,Reference!$B$10, postMergerBasis,AT60, avgoQty,AE60, lotFractionAmount,AG60, iferror((saleFMV - postMergerBasis) * (avgoQty - lotFractionAmount), 0))</f>
        <v>0</v>
      </c>
      <c r="AV60" s="328">
        <f>LET(
avgoQty,AE61, 
purchaseDate,C61,
postMergerSaleDate,Reference!$B$29,
saleFMV,Reference!$B$10,
postMergerBasis,AT61, 
IFERROR(IF(DATEDIF(purchaseDate,postMergerSaleDate,"Y")&gt;=1,
  0,
  avgoQty * (saleFMV - postMergerBasis)
),0))</f>
        <v>0</v>
      </c>
      <c r="AW60" s="331">
        <f>LET(
avgoQty,AE60, 
purchaseDate,C60,
postMergerSaleDate,Reference!$B$29,
saleFMV,Reference!$B$10,
postMergerBasis,AT60, 
IFERROR(IF(DATEDIF(purchaseDate,postMergerSaleDate,"Y")&gt;=1,
  avgoQty * (saleFMV - postMergerBasis),
  0
),0))</f>
        <v>0</v>
      </c>
    </row>
    <row r="61">
      <c r="A61" s="431" t="s">
        <v>233</v>
      </c>
      <c r="B61" s="432">
        <v>44501.0</v>
      </c>
      <c r="C61" s="301">
        <v>44531.0</v>
      </c>
      <c r="D61" s="332"/>
      <c r="E61" s="433">
        <v>114.0</v>
      </c>
      <c r="F61" s="443"/>
      <c r="G61" s="305">
        <f t="shared" si="6"/>
        <v>0</v>
      </c>
      <c r="H61" s="317">
        <f t="shared" si="7"/>
        <v>0</v>
      </c>
      <c r="I61" s="444"/>
      <c r="J61" s="342" t="b">
        <v>0</v>
      </c>
      <c r="K61" s="436"/>
      <c r="L61" s="311">
        <v>0.0</v>
      </c>
      <c r="M61" s="311">
        <v>0.0</v>
      </c>
      <c r="N61" s="311">
        <v>0.0</v>
      </c>
      <c r="O61" s="311">
        <v>0.0</v>
      </c>
      <c r="P61" s="311">
        <v>0.0</v>
      </c>
      <c r="Q61" s="313">
        <f t="shared" si="8"/>
        <v>0</v>
      </c>
      <c r="R61" s="313" t="str">
        <f>SWITCH(S61,"cash",Reference!E$5,"shares",Reference!$E$6,"balance",Reference!$E$7,"pro-rata",Reference!$B$5)</f>
        <v>#DIV/0!</v>
      </c>
      <c r="S61" s="314" t="s">
        <v>205</v>
      </c>
      <c r="T61" s="315">
        <f>LET(numVmwShares,D61, cashRatio,Reference!$B$4, vmwFinalPrice,Reference!$B$3, numVmwShares * cashRatio * vmwFinalPrice)</f>
        <v>0</v>
      </c>
      <c r="U61" s="315">
        <f>iferror(LET(numVmwShares,$D61, stockRatio,Q61, vmwFinalPrice,Reference!$B$3, (1 - stockRatio) * vmwFinalPrice * numVmwShares),0)</f>
        <v>0</v>
      </c>
      <c r="V61" s="315">
        <f>iferror(LET(numVmwShares,$D61, stockRatio,R61, vmwFinalPrice,Reference!$B$3, (1 - stockRatio) * vmwFinalPrice * numVmwShares),0)</f>
        <v>0</v>
      </c>
      <c r="W61" s="315">
        <f>SWITCH(Reference!$E$4,"eTradeTransactionLog", T61, "eTradeHoldingRatio",T61, "eTradeLotQtyRatio",U61,"manualLotRatio",V61)</f>
        <v>0</v>
      </c>
      <c r="X61" s="305">
        <f>LET(purchaseDate,C61, dateOfRecord,Reference!$B$26, returnOfCapital,Reference!$C$26, IF(purchaseDate &lt; dateOfRecord, returnOfCapital,0))</f>
        <v>0</v>
      </c>
      <c r="Y61" s="305">
        <f>LET(purchaseDate,C61, dateOfRecord,Reference!$B$27, returnOfCapital,Reference!$C$27, IF(purchaseDate &lt; dateOfRecord, returnOfCapital,0))</f>
        <v>0</v>
      </c>
      <c r="Z61" s="305">
        <f t="shared" si="9"/>
        <v>114</v>
      </c>
      <c r="AA61" s="305">
        <f t="shared" si="10"/>
        <v>0</v>
      </c>
      <c r="AB61" s="316">
        <f>LET(numVmwShares,D61, stockRatio,Reference!$B$5, vmwToAvgoRatio,Reference!$B$6, numVmwShares * stockRatio * vmwToAvgoRatio)</f>
        <v>0</v>
      </c>
      <c r="AC61" s="316">
        <f>LET(numVmwShares,D61, stockRatio,Q61, vmwToAvgoRatio,Reference!$B$6, numVmwShares * stockRatio * vmwToAvgoRatio)</f>
        <v>0</v>
      </c>
      <c r="AD61" s="316" t="str">
        <f>LET(numVmwShares,D61, stockRatio,R61, vmwToAvgoRatio,Reference!$B$6, numVmwShares * stockRatio * vmwToAvgoRatio)</f>
        <v>#DIV/0!</v>
      </c>
      <c r="AE61" s="316">
        <f>SWITCH(Reference!$E$4, "eTradeTransactionLog", AB61, "eTradeHoldingRatio",AB61, "eTradeLotQtyRatio",AC61,"manualLotRatio",AD61)</f>
        <v>0</v>
      </c>
      <c r="AF61" s="317">
        <f>LET(numVmwShares,D61, vmwBasis,Z61, avgoQty,AE61, avgoFMV,Reference!$B$18, cashReceived,W61, gain,cashReceived+(avgoQty*avgoFMV)-(numVmwShares*vmwBasis),
MAX(gain,0))</f>
        <v>0</v>
      </c>
      <c r="AG61" s="318">
        <f>LET(useForFraction,J61, fractionAmount,Summary!$C$41, esppFractionLots,ESPP!$N$5, rsuFractionLots,RSU!J$5, IF(useForFraction, fractionAmount / (esppFractionLots+rsuFractionLots), 0))</f>
        <v>0</v>
      </c>
      <c r="AH61" s="438">
        <f>LET(useForFraction,J61, fractionSaleFMV,Reference!$B$23, postMergerBasis,AT61, lotFractionAmount,AG61, IF(useForFraction, (fractionSaleFMV - postMergerBasis)*lotFractionAmount, 0))</f>
        <v>0</v>
      </c>
      <c r="AI61" s="439">
        <f t="shared" si="11"/>
        <v>0</v>
      </c>
      <c r="AJ61" s="440">
        <f>LET(
purchaseDate,C61,
mergerDate,Reference!$B$28,
lotFractionGain,AH61,
mergerGain,AI61,
IF(DATEDIF(purchaseDate,mergerDate,"Y")&gt;=1,
  0,
  lotFractionGain + mergerGain
))</f>
        <v>0</v>
      </c>
      <c r="AK61" s="440">
        <f>LET(
purchaseDate,C61,
mergerDate,Reference!$B$28,
lotFractionGain,AH61,
mergerGain,AI61,
IF(DATEDIF(purchaseDate,mergerDate,"Y")&gt;=1,
  lotFractionGain+mergerGain,
  0
))</f>
        <v>0</v>
      </c>
      <c r="AL61" s="441" t="str">
        <f>IF(DATEDIF(C61,Reference!$B$28,"Y")&gt;=1,"Part II Box E","Part I Box B")</f>
        <v>Part II Box E</v>
      </c>
      <c r="AM61" s="336">
        <f t="shared" si="12"/>
        <v>44531</v>
      </c>
      <c r="AN61" s="337">
        <f t="shared" si="13"/>
        <v>0</v>
      </c>
      <c r="AO61" s="337">
        <f>LET(
cashReceived,W61, 
avgoQty,AE61, 
proceedsStyle,Reference!$E$9, 
avgoFMV,Reference!$B$18, 
SWITCH(proceedsStyle, "combined", cashReceived +(avgoQty*avgoFMV), "cashOnly", cashReceived))</f>
        <v>0</v>
      </c>
      <c r="AP61" s="338">
        <f>LET(
numVmwShares,D61, 
vmwBasis, Z61, 
avgoQty,AE61, 
avgoFMV,Reference!$B$18, 
cashReceived,W61, 
avgoTotalValue, avgoFMV*avgoQty, 
vmwTotalBasis, vmwBasis*numVmwShares,
alternateGainAmount,AF61, 
IF(cashReceived&lt;alternateGainAmount,
  avgoTotalValue,
  vmwTotalBasis
))</f>
        <v>0</v>
      </c>
      <c r="AQ61" s="338" t="str">
        <f t="shared" si="14"/>
        <v/>
      </c>
      <c r="AR61" s="338">
        <v>0.0</v>
      </c>
      <c r="AS61" s="339">
        <f t="shared" si="15"/>
        <v>0</v>
      </c>
      <c r="AT61" s="442" t="str">
        <f t="shared" si="16"/>
        <v>n/a</v>
      </c>
      <c r="AU61" s="328">
        <f>LET(saleFMV,Reference!$B$10, postMergerBasis,AT61, avgoQty,AE61, lotFractionAmount,AG61, iferror((saleFMV - postMergerBasis) * (avgoQty - lotFractionAmount), 0))</f>
        <v>0</v>
      </c>
      <c r="AV61" s="328">
        <f>LET(
avgoQty,AE62, 
purchaseDate,C62,
postMergerSaleDate,Reference!$B$29,
saleFMV,Reference!$B$10,
postMergerBasis,AT62, 
IFERROR(IF(DATEDIF(purchaseDate,postMergerSaleDate,"Y")&gt;=1,
  0,
  avgoQty * (saleFMV - postMergerBasis)
),0))</f>
        <v>0</v>
      </c>
      <c r="AW61" s="331">
        <f>LET(
avgoQty,AE61, 
purchaseDate,C61,
postMergerSaleDate,Reference!$B$29,
saleFMV,Reference!$B$10,
postMergerBasis,AT61, 
IFERROR(IF(DATEDIF(purchaseDate,postMergerSaleDate,"Y")&gt;=1,
  avgoQty * (saleFMV - postMergerBasis),
  0
),0))</f>
        <v>0</v>
      </c>
    </row>
    <row r="62">
      <c r="A62" s="431" t="s">
        <v>234</v>
      </c>
      <c r="B62" s="432">
        <v>44501.0</v>
      </c>
      <c r="C62" s="301">
        <v>44531.0</v>
      </c>
      <c r="D62" s="332"/>
      <c r="E62" s="433">
        <v>114.0</v>
      </c>
      <c r="F62" s="443"/>
      <c r="G62" s="305">
        <f t="shared" si="6"/>
        <v>0</v>
      </c>
      <c r="H62" s="317">
        <f t="shared" si="7"/>
        <v>0</v>
      </c>
      <c r="I62" s="444"/>
      <c r="J62" s="342" t="b">
        <v>0</v>
      </c>
      <c r="K62" s="436"/>
      <c r="L62" s="311">
        <v>0.0</v>
      </c>
      <c r="M62" s="311">
        <v>0.0</v>
      </c>
      <c r="N62" s="311">
        <v>0.0</v>
      </c>
      <c r="O62" s="311">
        <v>0.0</v>
      </c>
      <c r="P62" s="311">
        <v>0.0</v>
      </c>
      <c r="Q62" s="313">
        <f t="shared" si="8"/>
        <v>0</v>
      </c>
      <c r="R62" s="313" t="str">
        <f>SWITCH(S62,"cash",Reference!E$5,"shares",Reference!$E$6,"balance",Reference!$E$7,"pro-rata",Reference!$B$5)</f>
        <v>#DIV/0!</v>
      </c>
      <c r="S62" s="314" t="s">
        <v>205</v>
      </c>
      <c r="T62" s="315">
        <f>LET(numVmwShares,D62, cashRatio,Reference!$B$4, vmwFinalPrice,Reference!$B$3, numVmwShares * cashRatio * vmwFinalPrice)</f>
        <v>0</v>
      </c>
      <c r="U62" s="315">
        <f>iferror(LET(numVmwShares,$D62, stockRatio,Q62, vmwFinalPrice,Reference!$B$3, (1 - stockRatio) * vmwFinalPrice * numVmwShares),0)</f>
        <v>0</v>
      </c>
      <c r="V62" s="315">
        <f>iferror(LET(numVmwShares,$D62, stockRatio,R62, vmwFinalPrice,Reference!$B$3, (1 - stockRatio) * vmwFinalPrice * numVmwShares),0)</f>
        <v>0</v>
      </c>
      <c r="W62" s="315">
        <f>SWITCH(Reference!$E$4,"eTradeTransactionLog", T62, "eTradeHoldingRatio",T62, "eTradeLotQtyRatio",U62,"manualLotRatio",V62)</f>
        <v>0</v>
      </c>
      <c r="X62" s="305">
        <f>LET(purchaseDate,C62, dateOfRecord,Reference!$B$26, returnOfCapital,Reference!$C$26, IF(purchaseDate &lt; dateOfRecord, returnOfCapital,0))</f>
        <v>0</v>
      </c>
      <c r="Y62" s="305">
        <f>LET(purchaseDate,C62, dateOfRecord,Reference!$B$27, returnOfCapital,Reference!$C$27, IF(purchaseDate &lt; dateOfRecord, returnOfCapital,0))</f>
        <v>0</v>
      </c>
      <c r="Z62" s="305">
        <f t="shared" si="9"/>
        <v>114</v>
      </c>
      <c r="AA62" s="305">
        <f t="shared" si="10"/>
        <v>0</v>
      </c>
      <c r="AB62" s="316">
        <f>LET(numVmwShares,D62, stockRatio,Reference!$B$5, vmwToAvgoRatio,Reference!$B$6, numVmwShares * stockRatio * vmwToAvgoRatio)</f>
        <v>0</v>
      </c>
      <c r="AC62" s="316">
        <f>LET(numVmwShares,D62, stockRatio,Q62, vmwToAvgoRatio,Reference!$B$6, numVmwShares * stockRatio * vmwToAvgoRatio)</f>
        <v>0</v>
      </c>
      <c r="AD62" s="316" t="str">
        <f>LET(numVmwShares,D62, stockRatio,R62, vmwToAvgoRatio,Reference!$B$6, numVmwShares * stockRatio * vmwToAvgoRatio)</f>
        <v>#DIV/0!</v>
      </c>
      <c r="AE62" s="316">
        <f>SWITCH(Reference!$E$4, "eTradeTransactionLog", AB62, "eTradeHoldingRatio",AB62, "eTradeLotQtyRatio",AC62,"manualLotRatio",AD62)</f>
        <v>0</v>
      </c>
      <c r="AF62" s="317">
        <f>LET(numVmwShares,D62, vmwBasis,Z62, avgoQty,AE62, avgoFMV,Reference!$B$18, cashReceived,W62, gain,cashReceived+(avgoQty*avgoFMV)-(numVmwShares*vmwBasis),
MAX(gain,0))</f>
        <v>0</v>
      </c>
      <c r="AG62" s="318">
        <f>LET(useForFraction,J62, fractionAmount,Summary!$C$41, esppFractionLots,ESPP!$N$5, rsuFractionLots,RSU!J$5, IF(useForFraction, fractionAmount / (esppFractionLots+rsuFractionLots), 0))</f>
        <v>0</v>
      </c>
      <c r="AH62" s="438">
        <f>LET(useForFraction,J62, fractionSaleFMV,Reference!$B$23, postMergerBasis,AT62, lotFractionAmount,AG62, IF(useForFraction, (fractionSaleFMV - postMergerBasis)*lotFractionAmount, 0))</f>
        <v>0</v>
      </c>
      <c r="AI62" s="439">
        <f t="shared" si="11"/>
        <v>0</v>
      </c>
      <c r="AJ62" s="440">
        <f>LET(
purchaseDate,C62,
mergerDate,Reference!$B$28,
lotFractionGain,AH62,
mergerGain,AI62,
IF(DATEDIF(purchaseDate,mergerDate,"Y")&gt;=1,
  0,
  lotFractionGain + mergerGain
))</f>
        <v>0</v>
      </c>
      <c r="AK62" s="440">
        <f>LET(
purchaseDate,C62,
mergerDate,Reference!$B$28,
lotFractionGain,AH62,
mergerGain,AI62,
IF(DATEDIF(purchaseDate,mergerDate,"Y")&gt;=1,
  lotFractionGain+mergerGain,
  0
))</f>
        <v>0</v>
      </c>
      <c r="AL62" s="441" t="str">
        <f>IF(DATEDIF(C62,Reference!$B$28,"Y")&gt;=1,"Part II Box E","Part I Box B")</f>
        <v>Part II Box E</v>
      </c>
      <c r="AM62" s="336">
        <f t="shared" si="12"/>
        <v>44531</v>
      </c>
      <c r="AN62" s="337">
        <f t="shared" si="13"/>
        <v>0</v>
      </c>
      <c r="AO62" s="337">
        <f>LET(
cashReceived,W62, 
avgoQty,AE62, 
proceedsStyle,Reference!$E$9, 
avgoFMV,Reference!$B$18, 
SWITCH(proceedsStyle, "combined", cashReceived +(avgoQty*avgoFMV), "cashOnly", cashReceived))</f>
        <v>0</v>
      </c>
      <c r="AP62" s="338">
        <f>LET(
numVmwShares,D62, 
vmwBasis, Z62, 
avgoQty,AE62, 
avgoFMV,Reference!$B$18, 
cashReceived,W62, 
avgoTotalValue, avgoFMV*avgoQty, 
vmwTotalBasis, vmwBasis*numVmwShares,
alternateGainAmount,AF62, 
IF(cashReceived&lt;alternateGainAmount,
  avgoTotalValue,
  vmwTotalBasis
))</f>
        <v>0</v>
      </c>
      <c r="AQ62" s="338" t="str">
        <f t="shared" si="14"/>
        <v/>
      </c>
      <c r="AR62" s="338">
        <v>0.0</v>
      </c>
      <c r="AS62" s="339">
        <f t="shared" si="15"/>
        <v>0</v>
      </c>
      <c r="AT62" s="442" t="str">
        <f t="shared" si="16"/>
        <v>n/a</v>
      </c>
      <c r="AU62" s="328">
        <f>LET(saleFMV,Reference!$B$10, postMergerBasis,AT62, avgoQty,AE62, lotFractionAmount,AG62, iferror((saleFMV - postMergerBasis) * (avgoQty - lotFractionAmount), 0))</f>
        <v>0</v>
      </c>
      <c r="AV62" s="328">
        <f>LET(
avgoQty,AE63, 
purchaseDate,C63,
postMergerSaleDate,Reference!$B$29,
saleFMV,Reference!$B$10,
postMergerBasis,AT63, 
IFERROR(IF(DATEDIF(purchaseDate,postMergerSaleDate,"Y")&gt;=1,
  0,
  avgoQty * (saleFMV - postMergerBasis)
),0))</f>
        <v>0</v>
      </c>
      <c r="AW62" s="331">
        <f>LET(
avgoQty,AE62, 
purchaseDate,C62,
postMergerSaleDate,Reference!$B$29,
saleFMV,Reference!$B$10,
postMergerBasis,AT62, 
IFERROR(IF(DATEDIF(purchaseDate,postMergerSaleDate,"Y")&gt;=1,
  avgoQty * (saleFMV - postMergerBasis),
  0
),0))</f>
        <v>0</v>
      </c>
    </row>
    <row r="63">
      <c r="A63" s="431"/>
      <c r="B63" s="447"/>
      <c r="C63" s="448">
        <v>44562.0</v>
      </c>
      <c r="D63" s="332"/>
      <c r="E63" s="433">
        <v>115.88</v>
      </c>
      <c r="F63" s="443"/>
      <c r="G63" s="305">
        <f t="shared" si="6"/>
        <v>0</v>
      </c>
      <c r="H63" s="317">
        <f t="shared" si="7"/>
        <v>0</v>
      </c>
      <c r="I63" s="444"/>
      <c r="J63" s="342" t="b">
        <v>0</v>
      </c>
      <c r="K63" s="436"/>
      <c r="L63" s="311">
        <v>0.0</v>
      </c>
      <c r="M63" s="311">
        <v>0.0</v>
      </c>
      <c r="N63" s="311">
        <v>0.0</v>
      </c>
      <c r="O63" s="311">
        <v>0.0</v>
      </c>
      <c r="P63" s="311">
        <v>0.0</v>
      </c>
      <c r="Q63" s="313">
        <f t="shared" si="8"/>
        <v>0</v>
      </c>
      <c r="R63" s="313" t="str">
        <f>SWITCH(S63,"cash",Reference!E$5,"shares",Reference!$E$6,"balance",Reference!$E$7,"pro-rata",Reference!$B$5)</f>
        <v>#DIV/0!</v>
      </c>
      <c r="S63" s="314" t="s">
        <v>205</v>
      </c>
      <c r="T63" s="315">
        <f>LET(numVmwShares,D63, cashRatio,Reference!$B$4, vmwFinalPrice,Reference!$B$3, numVmwShares * cashRatio * vmwFinalPrice)</f>
        <v>0</v>
      </c>
      <c r="U63" s="315">
        <f>iferror(LET(numVmwShares,$D63, stockRatio,Q63, vmwFinalPrice,Reference!$B$3, (1 - stockRatio) * vmwFinalPrice * numVmwShares),0)</f>
        <v>0</v>
      </c>
      <c r="V63" s="315">
        <f>iferror(LET(numVmwShares,$D63, stockRatio,R63, vmwFinalPrice,Reference!$B$3, (1 - stockRatio) * vmwFinalPrice * numVmwShares),0)</f>
        <v>0</v>
      </c>
      <c r="W63" s="315">
        <f>SWITCH(Reference!$E$4,"eTradeTransactionLog", T63, "eTradeHoldingRatio",T63, "eTradeLotQtyRatio",U63,"manualLotRatio",V63)</f>
        <v>0</v>
      </c>
      <c r="X63" s="305">
        <f>LET(purchaseDate,C63, dateOfRecord,Reference!$B$26, returnOfCapital,Reference!$C$26, IF(purchaseDate &lt; dateOfRecord, returnOfCapital,0))</f>
        <v>0</v>
      </c>
      <c r="Y63" s="305">
        <f>LET(purchaseDate,C63, dateOfRecord,Reference!$B$27, returnOfCapital,Reference!$C$27, IF(purchaseDate &lt; dateOfRecord, returnOfCapital,0))</f>
        <v>0</v>
      </c>
      <c r="Z63" s="305">
        <f t="shared" si="9"/>
        <v>115.88</v>
      </c>
      <c r="AA63" s="305">
        <f t="shared" si="10"/>
        <v>0</v>
      </c>
      <c r="AB63" s="316">
        <f>LET(numVmwShares,D63, stockRatio,Reference!$B$5, vmwToAvgoRatio,Reference!$B$6, numVmwShares * stockRatio * vmwToAvgoRatio)</f>
        <v>0</v>
      </c>
      <c r="AC63" s="316">
        <f>LET(numVmwShares,D63, stockRatio,Q63, vmwToAvgoRatio,Reference!$B$6, numVmwShares * stockRatio * vmwToAvgoRatio)</f>
        <v>0</v>
      </c>
      <c r="AD63" s="316" t="str">
        <f>LET(numVmwShares,D63, stockRatio,R63, vmwToAvgoRatio,Reference!$B$6, numVmwShares * stockRatio * vmwToAvgoRatio)</f>
        <v>#DIV/0!</v>
      </c>
      <c r="AE63" s="316">
        <f>SWITCH(Reference!$E$4, "eTradeTransactionLog", AB63, "eTradeHoldingRatio",AB63, "eTradeLotQtyRatio",AC63,"manualLotRatio",AD63)</f>
        <v>0</v>
      </c>
      <c r="AF63" s="317">
        <f>LET(numVmwShares,D63, vmwBasis,Z63, avgoQty,AE63, avgoFMV,Reference!$B$18, cashReceived,W63, gain,cashReceived+(avgoQty*avgoFMV)-(numVmwShares*vmwBasis),
MAX(gain,0))</f>
        <v>0</v>
      </c>
      <c r="AG63" s="318">
        <f>LET(useForFraction,J63, fractionAmount,Summary!$C$41, esppFractionLots,ESPP!$N$5, rsuFractionLots,RSU!J$5, IF(useForFraction, fractionAmount / (esppFractionLots+rsuFractionLots), 0))</f>
        <v>0</v>
      </c>
      <c r="AH63" s="438">
        <f>LET(useForFraction,J63, fractionSaleFMV,Reference!$B$23, postMergerBasis,AT63, lotFractionAmount,AG63, IF(useForFraction, (fractionSaleFMV - postMergerBasis)*lotFractionAmount, 0))</f>
        <v>0</v>
      </c>
      <c r="AI63" s="439">
        <f t="shared" si="11"/>
        <v>0</v>
      </c>
      <c r="AJ63" s="440">
        <f>LET(
purchaseDate,C63,
mergerDate,Reference!$B$28,
lotFractionGain,AH63,
mergerGain,AI63,
IF(DATEDIF(purchaseDate,mergerDate,"Y")&gt;=1,
  0,
  lotFractionGain + mergerGain
))</f>
        <v>0</v>
      </c>
      <c r="AK63" s="440">
        <f>LET(
purchaseDate,C63,
mergerDate,Reference!$B$28,
lotFractionGain,AH63,
mergerGain,AI63,
IF(DATEDIF(purchaseDate,mergerDate,"Y")&gt;=1,
  lotFractionGain+mergerGain,
  0
))</f>
        <v>0</v>
      </c>
      <c r="AL63" s="441" t="str">
        <f>IF(DATEDIF(C63,Reference!$B$28,"Y")&gt;=1,"Part II Box E","Part I Box B")</f>
        <v>Part II Box E</v>
      </c>
      <c r="AM63" s="336">
        <f t="shared" si="12"/>
        <v>44562</v>
      </c>
      <c r="AN63" s="337">
        <f t="shared" si="13"/>
        <v>0</v>
      </c>
      <c r="AO63" s="337">
        <f>LET(
cashReceived,W63, 
avgoQty,AE63, 
proceedsStyle,Reference!$E$9, 
avgoFMV,Reference!$B$18, 
SWITCH(proceedsStyle, "combined", cashReceived +(avgoQty*avgoFMV), "cashOnly", cashReceived))</f>
        <v>0</v>
      </c>
      <c r="AP63" s="338">
        <f>LET(
numVmwShares,D63, 
vmwBasis, Z63, 
avgoQty,AE63, 
avgoFMV,Reference!$B$18, 
cashReceived,W63, 
avgoTotalValue, avgoFMV*avgoQty, 
vmwTotalBasis, vmwBasis*numVmwShares,
alternateGainAmount,AF63, 
IF(cashReceived&lt;alternateGainAmount,
  avgoTotalValue,
  vmwTotalBasis
))</f>
        <v>0</v>
      </c>
      <c r="AQ63" s="338" t="str">
        <f t="shared" si="14"/>
        <v/>
      </c>
      <c r="AR63" s="338">
        <v>0.0</v>
      </c>
      <c r="AS63" s="339">
        <f t="shared" si="15"/>
        <v>0</v>
      </c>
      <c r="AT63" s="442" t="str">
        <f t="shared" si="16"/>
        <v>n/a</v>
      </c>
      <c r="AU63" s="328">
        <f>LET(saleFMV,Reference!$B$10, postMergerBasis,AT63, avgoQty,AE63, lotFractionAmount,AG63, iferror((saleFMV - postMergerBasis) * (avgoQty - lotFractionAmount), 0))</f>
        <v>0</v>
      </c>
      <c r="AV63" s="328">
        <f>LET(
avgoQty,AE64, 
purchaseDate,C64,
postMergerSaleDate,Reference!$B$29,
saleFMV,Reference!$B$10,
postMergerBasis,AT64, 
IFERROR(IF(DATEDIF(purchaseDate,postMergerSaleDate,"Y")&gt;=1,
  0,
  avgoQty * (saleFMV - postMergerBasis)
),0))</f>
        <v>0</v>
      </c>
      <c r="AW63" s="331">
        <f>LET(
avgoQty,AE63, 
purchaseDate,C63,
postMergerSaleDate,Reference!$B$29,
saleFMV,Reference!$B$10,
postMergerBasis,AT63, 
IFERROR(IF(DATEDIF(purchaseDate,postMergerSaleDate,"Y")&gt;=1,
  avgoQty * (saleFMV - postMergerBasis),
  0
),0))</f>
        <v>0</v>
      </c>
    </row>
    <row r="64">
      <c r="A64" s="431" t="s">
        <v>235</v>
      </c>
      <c r="B64" s="432">
        <v>44501.0</v>
      </c>
      <c r="C64" s="301">
        <v>44593.0</v>
      </c>
      <c r="D64" s="332"/>
      <c r="E64" s="433">
        <v>128.47</v>
      </c>
      <c r="F64" s="443"/>
      <c r="G64" s="305">
        <f t="shared" si="6"/>
        <v>0</v>
      </c>
      <c r="H64" s="317">
        <f t="shared" si="7"/>
        <v>0</v>
      </c>
      <c r="I64" s="444"/>
      <c r="J64" s="342" t="b">
        <v>0</v>
      </c>
      <c r="K64" s="436"/>
      <c r="L64" s="311">
        <v>0.0</v>
      </c>
      <c r="M64" s="311">
        <v>0.0</v>
      </c>
      <c r="N64" s="311">
        <v>0.0</v>
      </c>
      <c r="O64" s="311">
        <v>0.0</v>
      </c>
      <c r="P64" s="311">
        <v>0.0</v>
      </c>
      <c r="Q64" s="313">
        <f t="shared" si="8"/>
        <v>0</v>
      </c>
      <c r="R64" s="313" t="str">
        <f>SWITCH(S64,"cash",Reference!E$5,"shares",Reference!$E$6,"balance",Reference!$E$7,"pro-rata",Reference!$B$5)</f>
        <v>#DIV/0!</v>
      </c>
      <c r="S64" s="314" t="s">
        <v>205</v>
      </c>
      <c r="T64" s="315">
        <f>LET(numVmwShares,D64, cashRatio,Reference!$B$4, vmwFinalPrice,Reference!$B$3, numVmwShares * cashRatio * vmwFinalPrice)</f>
        <v>0</v>
      </c>
      <c r="U64" s="315">
        <f>iferror(LET(numVmwShares,$D64, stockRatio,Q64, vmwFinalPrice,Reference!$B$3, (1 - stockRatio) * vmwFinalPrice * numVmwShares),0)</f>
        <v>0</v>
      </c>
      <c r="V64" s="315">
        <f>iferror(LET(numVmwShares,$D64, stockRatio,R64, vmwFinalPrice,Reference!$B$3, (1 - stockRatio) * vmwFinalPrice * numVmwShares),0)</f>
        <v>0</v>
      </c>
      <c r="W64" s="315">
        <f>SWITCH(Reference!$E$4,"eTradeTransactionLog", T64, "eTradeHoldingRatio",T64, "eTradeLotQtyRatio",U64,"manualLotRatio",V64)</f>
        <v>0</v>
      </c>
      <c r="X64" s="305">
        <f>LET(purchaseDate,C64, dateOfRecord,Reference!$B$26, returnOfCapital,Reference!$C$26, IF(purchaseDate &lt; dateOfRecord, returnOfCapital,0))</f>
        <v>0</v>
      </c>
      <c r="Y64" s="305">
        <f>LET(purchaseDate,C64, dateOfRecord,Reference!$B$27, returnOfCapital,Reference!$C$27, IF(purchaseDate &lt; dateOfRecord, returnOfCapital,0))</f>
        <v>0</v>
      </c>
      <c r="Z64" s="305">
        <f t="shared" si="9"/>
        <v>128.47</v>
      </c>
      <c r="AA64" s="305">
        <f t="shared" si="10"/>
        <v>0</v>
      </c>
      <c r="AB64" s="316">
        <f>LET(numVmwShares,D64, stockRatio,Reference!$B$5, vmwToAvgoRatio,Reference!$B$6, numVmwShares * stockRatio * vmwToAvgoRatio)</f>
        <v>0</v>
      </c>
      <c r="AC64" s="316">
        <f>LET(numVmwShares,D64, stockRatio,Q64, vmwToAvgoRatio,Reference!$B$6, numVmwShares * stockRatio * vmwToAvgoRatio)</f>
        <v>0</v>
      </c>
      <c r="AD64" s="316" t="str">
        <f>LET(numVmwShares,D64, stockRatio,R64, vmwToAvgoRatio,Reference!$B$6, numVmwShares * stockRatio * vmwToAvgoRatio)</f>
        <v>#DIV/0!</v>
      </c>
      <c r="AE64" s="316">
        <f>SWITCH(Reference!$E$4, "eTradeTransactionLog", AB64, "eTradeHoldingRatio",AB64, "eTradeLotQtyRatio",AC64,"manualLotRatio",AD64)</f>
        <v>0</v>
      </c>
      <c r="AF64" s="317">
        <f>LET(numVmwShares,D64, vmwBasis,Z64, avgoQty,AE64, avgoFMV,Reference!$B$18, cashReceived,W64, gain,cashReceived+(avgoQty*avgoFMV)-(numVmwShares*vmwBasis),
MAX(gain,0))</f>
        <v>0</v>
      </c>
      <c r="AG64" s="318">
        <f>LET(useForFraction,J64, fractionAmount,Summary!$C$41, esppFractionLots,ESPP!$N$5, rsuFractionLots,RSU!J$5, IF(useForFraction, fractionAmount / (esppFractionLots+rsuFractionLots), 0))</f>
        <v>0</v>
      </c>
      <c r="AH64" s="438">
        <f>LET(useForFraction,J64, fractionSaleFMV,Reference!$B$23, postMergerBasis,AT64, lotFractionAmount,AG64, IF(useForFraction, (fractionSaleFMV - postMergerBasis)*lotFractionAmount, 0))</f>
        <v>0</v>
      </c>
      <c r="AI64" s="439">
        <f t="shared" si="11"/>
        <v>0</v>
      </c>
      <c r="AJ64" s="440">
        <f>LET(
purchaseDate,C64,
mergerDate,Reference!$B$28,
lotFractionGain,AH64,
mergerGain,AI64,
IF(DATEDIF(purchaseDate,mergerDate,"Y")&gt;=1,
  0,
  lotFractionGain + mergerGain
))</f>
        <v>0</v>
      </c>
      <c r="AK64" s="440">
        <f>LET(
purchaseDate,C64,
mergerDate,Reference!$B$28,
lotFractionGain,AH64,
mergerGain,AI64,
IF(DATEDIF(purchaseDate,mergerDate,"Y")&gt;=1,
  lotFractionGain+mergerGain,
  0
))</f>
        <v>0</v>
      </c>
      <c r="AL64" s="441" t="str">
        <f>IF(DATEDIF(C64,Reference!$B$28,"Y")&gt;=1,"Part II Box E","Part I Box B")</f>
        <v>Part II Box E</v>
      </c>
      <c r="AM64" s="336">
        <f t="shared" si="12"/>
        <v>44593</v>
      </c>
      <c r="AN64" s="337">
        <f t="shared" si="13"/>
        <v>0</v>
      </c>
      <c r="AO64" s="337">
        <f>LET(
cashReceived,W64, 
avgoQty,AE64, 
proceedsStyle,Reference!$E$9, 
avgoFMV,Reference!$B$18, 
SWITCH(proceedsStyle, "combined", cashReceived +(avgoQty*avgoFMV), "cashOnly", cashReceived))</f>
        <v>0</v>
      </c>
      <c r="AP64" s="338">
        <f>LET(
numVmwShares,D64, 
vmwBasis, Z64, 
avgoQty,AE64, 
avgoFMV,Reference!$B$18, 
cashReceived,W64, 
avgoTotalValue, avgoFMV*avgoQty, 
vmwTotalBasis, vmwBasis*numVmwShares,
alternateGainAmount,AF64, 
IF(cashReceived&lt;alternateGainAmount,
  avgoTotalValue,
  vmwTotalBasis
))</f>
        <v>0</v>
      </c>
      <c r="AQ64" s="338" t="str">
        <f t="shared" si="14"/>
        <v/>
      </c>
      <c r="AR64" s="338">
        <v>0.0</v>
      </c>
      <c r="AS64" s="339">
        <f t="shared" si="15"/>
        <v>0</v>
      </c>
      <c r="AT64" s="442" t="str">
        <f t="shared" si="16"/>
        <v>n/a</v>
      </c>
      <c r="AU64" s="328">
        <f>LET(saleFMV,Reference!$B$10, postMergerBasis,AT64, avgoQty,AE64, lotFractionAmount,AG64, iferror((saleFMV - postMergerBasis) * (avgoQty - lotFractionAmount), 0))</f>
        <v>0</v>
      </c>
      <c r="AV64" s="328">
        <f>LET(
avgoQty,AE65, 
purchaseDate,C65,
postMergerSaleDate,Reference!$B$29,
saleFMV,Reference!$B$10,
postMergerBasis,AT65, 
IFERROR(IF(DATEDIF(purchaseDate,postMergerSaleDate,"Y")&gt;=1,
  0,
  avgoQty * (saleFMV - postMergerBasis)
),0))</f>
        <v>0</v>
      </c>
      <c r="AW64" s="331">
        <f>LET(
avgoQty,AE64, 
purchaseDate,C64,
postMergerSaleDate,Reference!$B$29,
saleFMV,Reference!$B$10,
postMergerBasis,AT64, 
IFERROR(IF(DATEDIF(purchaseDate,postMergerSaleDate,"Y")&gt;=1,
  avgoQty * (saleFMV - postMergerBasis),
  0
),0))</f>
        <v>0</v>
      </c>
    </row>
    <row r="65">
      <c r="A65" s="431"/>
      <c r="B65" s="447"/>
      <c r="C65" s="448">
        <v>44621.0</v>
      </c>
      <c r="D65" s="332"/>
      <c r="E65" s="433">
        <v>115.91</v>
      </c>
      <c r="F65" s="443"/>
      <c r="G65" s="305">
        <f t="shared" si="6"/>
        <v>0</v>
      </c>
      <c r="H65" s="317">
        <f t="shared" si="7"/>
        <v>0</v>
      </c>
      <c r="I65" s="444"/>
      <c r="J65" s="342" t="b">
        <v>0</v>
      </c>
      <c r="K65" s="436"/>
      <c r="L65" s="311">
        <v>0.0</v>
      </c>
      <c r="M65" s="311">
        <v>0.0</v>
      </c>
      <c r="N65" s="311">
        <v>0.0</v>
      </c>
      <c r="O65" s="311">
        <v>0.0</v>
      </c>
      <c r="P65" s="311">
        <v>0.0</v>
      </c>
      <c r="Q65" s="313">
        <f t="shared" si="8"/>
        <v>0</v>
      </c>
      <c r="R65" s="313" t="str">
        <f>SWITCH(S65,"cash",Reference!E$5,"shares",Reference!$E$6,"balance",Reference!$E$7,"pro-rata",Reference!$B$5)</f>
        <v>#DIV/0!</v>
      </c>
      <c r="S65" s="314" t="s">
        <v>205</v>
      </c>
      <c r="T65" s="315">
        <f>LET(numVmwShares,D65, cashRatio,Reference!$B$4, vmwFinalPrice,Reference!$B$3, numVmwShares * cashRatio * vmwFinalPrice)</f>
        <v>0</v>
      </c>
      <c r="U65" s="315">
        <f>iferror(LET(numVmwShares,$D65, stockRatio,Q65, vmwFinalPrice,Reference!$B$3, (1 - stockRatio) * vmwFinalPrice * numVmwShares),0)</f>
        <v>0</v>
      </c>
      <c r="V65" s="315">
        <f>iferror(LET(numVmwShares,$D65, stockRatio,R65, vmwFinalPrice,Reference!$B$3, (1 - stockRatio) * vmwFinalPrice * numVmwShares),0)</f>
        <v>0</v>
      </c>
      <c r="W65" s="315">
        <f>SWITCH(Reference!$E$4,"eTradeTransactionLog", T65, "eTradeHoldingRatio",T65, "eTradeLotQtyRatio",U65,"manualLotRatio",V65)</f>
        <v>0</v>
      </c>
      <c r="X65" s="305">
        <f>LET(purchaseDate,C65, dateOfRecord,Reference!$B$26, returnOfCapital,Reference!$C$26, IF(purchaseDate &lt; dateOfRecord, returnOfCapital,0))</f>
        <v>0</v>
      </c>
      <c r="Y65" s="305">
        <f>LET(purchaseDate,C65, dateOfRecord,Reference!$B$27, returnOfCapital,Reference!$C$27, IF(purchaseDate &lt; dateOfRecord, returnOfCapital,0))</f>
        <v>0</v>
      </c>
      <c r="Z65" s="305">
        <f t="shared" si="9"/>
        <v>115.91</v>
      </c>
      <c r="AA65" s="305">
        <f t="shared" si="10"/>
        <v>0</v>
      </c>
      <c r="AB65" s="316">
        <f>LET(numVmwShares,D65, stockRatio,Reference!$B$5, vmwToAvgoRatio,Reference!$B$6, numVmwShares * stockRatio * vmwToAvgoRatio)</f>
        <v>0</v>
      </c>
      <c r="AC65" s="316">
        <f>LET(numVmwShares,D65, stockRatio,Q65, vmwToAvgoRatio,Reference!$B$6, numVmwShares * stockRatio * vmwToAvgoRatio)</f>
        <v>0</v>
      </c>
      <c r="AD65" s="316" t="str">
        <f>LET(numVmwShares,D65, stockRatio,R65, vmwToAvgoRatio,Reference!$B$6, numVmwShares * stockRatio * vmwToAvgoRatio)</f>
        <v>#DIV/0!</v>
      </c>
      <c r="AE65" s="316">
        <f>SWITCH(Reference!$E$4, "eTradeTransactionLog", AB65, "eTradeHoldingRatio",AB65, "eTradeLotQtyRatio",AC65,"manualLotRatio",AD65)</f>
        <v>0</v>
      </c>
      <c r="AF65" s="317">
        <f>LET(numVmwShares,D65, vmwBasis,Z65, avgoQty,AE65, avgoFMV,Reference!$B$18, cashReceived,W65, gain,cashReceived+(avgoQty*avgoFMV)-(numVmwShares*vmwBasis),
MAX(gain,0))</f>
        <v>0</v>
      </c>
      <c r="AG65" s="318">
        <f>LET(useForFraction,J65, fractionAmount,Summary!$C$41, esppFractionLots,ESPP!$N$5, rsuFractionLots,RSU!J$5, IF(useForFraction, fractionAmount / (esppFractionLots+rsuFractionLots), 0))</f>
        <v>0</v>
      </c>
      <c r="AH65" s="438">
        <f>LET(useForFraction,J65, fractionSaleFMV,Reference!$B$23, postMergerBasis,AT65, lotFractionAmount,AG65, IF(useForFraction, (fractionSaleFMV - postMergerBasis)*lotFractionAmount, 0))</f>
        <v>0</v>
      </c>
      <c r="AI65" s="439">
        <f t="shared" si="11"/>
        <v>0</v>
      </c>
      <c r="AJ65" s="440">
        <f>LET(
purchaseDate,C65,
mergerDate,Reference!$B$28,
lotFractionGain,AH65,
mergerGain,AI65,
IF(DATEDIF(purchaseDate,mergerDate,"Y")&gt;=1,
  0,
  lotFractionGain + mergerGain
))</f>
        <v>0</v>
      </c>
      <c r="AK65" s="440">
        <f>LET(
purchaseDate,C65,
mergerDate,Reference!$B$28,
lotFractionGain,AH65,
mergerGain,AI65,
IF(DATEDIF(purchaseDate,mergerDate,"Y")&gt;=1,
  lotFractionGain+mergerGain,
  0
))</f>
        <v>0</v>
      </c>
      <c r="AL65" s="441" t="str">
        <f>IF(DATEDIF(C65,Reference!$B$28,"Y")&gt;=1,"Part II Box E","Part I Box B")</f>
        <v>Part II Box E</v>
      </c>
      <c r="AM65" s="336">
        <f t="shared" si="12"/>
        <v>44621</v>
      </c>
      <c r="AN65" s="337">
        <f t="shared" si="13"/>
        <v>0</v>
      </c>
      <c r="AO65" s="337">
        <f>LET(
cashReceived,W65, 
avgoQty,AE65, 
proceedsStyle,Reference!$E$9, 
avgoFMV,Reference!$B$18, 
SWITCH(proceedsStyle, "combined", cashReceived +(avgoQty*avgoFMV), "cashOnly", cashReceived))</f>
        <v>0</v>
      </c>
      <c r="AP65" s="338">
        <f>LET(
numVmwShares,D65, 
vmwBasis, Z65, 
avgoQty,AE65, 
avgoFMV,Reference!$B$18, 
cashReceived,W65, 
avgoTotalValue, avgoFMV*avgoQty, 
vmwTotalBasis, vmwBasis*numVmwShares,
alternateGainAmount,AF65, 
IF(cashReceived&lt;alternateGainAmount,
  avgoTotalValue,
  vmwTotalBasis
))</f>
        <v>0</v>
      </c>
      <c r="AQ65" s="338" t="str">
        <f t="shared" si="14"/>
        <v/>
      </c>
      <c r="AR65" s="338">
        <v>0.0</v>
      </c>
      <c r="AS65" s="339">
        <f t="shared" si="15"/>
        <v>0</v>
      </c>
      <c r="AT65" s="442" t="str">
        <f t="shared" si="16"/>
        <v>n/a</v>
      </c>
      <c r="AU65" s="328">
        <f>LET(saleFMV,Reference!$B$10, postMergerBasis,AT65, avgoQty,AE65, lotFractionAmount,AG65, iferror((saleFMV - postMergerBasis) * (avgoQty - lotFractionAmount), 0))</f>
        <v>0</v>
      </c>
      <c r="AV65" s="328">
        <f>LET(
avgoQty,AE66, 
purchaseDate,C66,
postMergerSaleDate,Reference!$B$29,
saleFMV,Reference!$B$10,
postMergerBasis,AT66, 
IFERROR(IF(DATEDIF(purchaseDate,postMergerSaleDate,"Y")&gt;=1,
  0,
  avgoQty * (saleFMV - postMergerBasis)
),0))</f>
        <v>0</v>
      </c>
      <c r="AW65" s="331">
        <f>LET(
avgoQty,AE65, 
purchaseDate,C65,
postMergerSaleDate,Reference!$B$29,
saleFMV,Reference!$B$10,
postMergerBasis,AT65, 
IFERROR(IF(DATEDIF(purchaseDate,postMergerSaleDate,"Y")&gt;=1,
  avgoQty * (saleFMV - postMergerBasis),
  0
),0))</f>
        <v>0</v>
      </c>
    </row>
    <row r="66">
      <c r="A66" s="431" t="s">
        <v>232</v>
      </c>
      <c r="B66" s="432">
        <v>44501.0</v>
      </c>
      <c r="C66" s="301">
        <v>44682.0</v>
      </c>
      <c r="D66" s="332"/>
      <c r="E66" s="433">
        <v>108.04</v>
      </c>
      <c r="F66" s="443"/>
      <c r="G66" s="305">
        <f t="shared" si="6"/>
        <v>0</v>
      </c>
      <c r="H66" s="317">
        <f t="shared" si="7"/>
        <v>0</v>
      </c>
      <c r="I66" s="444"/>
      <c r="J66" s="342" t="b">
        <v>0</v>
      </c>
      <c r="K66" s="436"/>
      <c r="L66" s="311">
        <v>0.0</v>
      </c>
      <c r="M66" s="311">
        <v>0.0</v>
      </c>
      <c r="N66" s="311">
        <v>0.0</v>
      </c>
      <c r="O66" s="311">
        <v>0.0</v>
      </c>
      <c r="P66" s="311">
        <v>0.0</v>
      </c>
      <c r="Q66" s="313">
        <f t="shared" si="8"/>
        <v>0</v>
      </c>
      <c r="R66" s="313" t="str">
        <f>SWITCH(S66,"cash",Reference!E$5,"shares",Reference!$E$6,"balance",Reference!$E$7,"pro-rata",Reference!$B$5)</f>
        <v>#DIV/0!</v>
      </c>
      <c r="S66" s="314" t="s">
        <v>205</v>
      </c>
      <c r="T66" s="315">
        <f>LET(numVmwShares,D66, cashRatio,Reference!$B$4, vmwFinalPrice,Reference!$B$3, numVmwShares * cashRatio * vmwFinalPrice)</f>
        <v>0</v>
      </c>
      <c r="U66" s="315">
        <f>iferror(LET(numVmwShares,$D66, stockRatio,Q66, vmwFinalPrice,Reference!$B$3, (1 - stockRatio) * vmwFinalPrice * numVmwShares),0)</f>
        <v>0</v>
      </c>
      <c r="V66" s="315">
        <f>iferror(LET(numVmwShares,$D66, stockRatio,R66, vmwFinalPrice,Reference!$B$3, (1 - stockRatio) * vmwFinalPrice * numVmwShares),0)</f>
        <v>0</v>
      </c>
      <c r="W66" s="315">
        <f>SWITCH(Reference!$E$4,"eTradeTransactionLog", T66, "eTradeHoldingRatio",T66, "eTradeLotQtyRatio",U66,"manualLotRatio",V66)</f>
        <v>0</v>
      </c>
      <c r="X66" s="305">
        <f>LET(purchaseDate,C66, dateOfRecord,Reference!$B$26, returnOfCapital,Reference!$C$26, IF(purchaseDate &lt; dateOfRecord, returnOfCapital,0))</f>
        <v>0</v>
      </c>
      <c r="Y66" s="305">
        <f>LET(purchaseDate,C66, dateOfRecord,Reference!$B$27, returnOfCapital,Reference!$C$27, IF(purchaseDate &lt; dateOfRecord, returnOfCapital,0))</f>
        <v>0</v>
      </c>
      <c r="Z66" s="305">
        <f t="shared" si="9"/>
        <v>108.04</v>
      </c>
      <c r="AA66" s="305">
        <f t="shared" si="10"/>
        <v>0</v>
      </c>
      <c r="AB66" s="316">
        <f>LET(numVmwShares,D66, stockRatio,Reference!$B$5, vmwToAvgoRatio,Reference!$B$6, numVmwShares * stockRatio * vmwToAvgoRatio)</f>
        <v>0</v>
      </c>
      <c r="AC66" s="316">
        <f>LET(numVmwShares,D66, stockRatio,Q66, vmwToAvgoRatio,Reference!$B$6, numVmwShares * stockRatio * vmwToAvgoRatio)</f>
        <v>0</v>
      </c>
      <c r="AD66" s="316" t="str">
        <f>LET(numVmwShares,D66, stockRatio,R66, vmwToAvgoRatio,Reference!$B$6, numVmwShares * stockRatio * vmwToAvgoRatio)</f>
        <v>#DIV/0!</v>
      </c>
      <c r="AE66" s="316">
        <f>SWITCH(Reference!$E$4, "eTradeTransactionLog", AB66, "eTradeHoldingRatio",AB66, "eTradeLotQtyRatio",AC66,"manualLotRatio",AD66)</f>
        <v>0</v>
      </c>
      <c r="AF66" s="317">
        <f>LET(numVmwShares,D66, vmwBasis,Z66, avgoQty,AE66, avgoFMV,Reference!$B$18, cashReceived,W66, gain,cashReceived+(avgoQty*avgoFMV)-(numVmwShares*vmwBasis),
MAX(gain,0))</f>
        <v>0</v>
      </c>
      <c r="AG66" s="318">
        <f>LET(useForFraction,J66, fractionAmount,Summary!$C$41, esppFractionLots,ESPP!$N$5, rsuFractionLots,RSU!J$5, IF(useForFraction, fractionAmount / (esppFractionLots+rsuFractionLots), 0))</f>
        <v>0</v>
      </c>
      <c r="AH66" s="438">
        <f>LET(useForFraction,J66, fractionSaleFMV,Reference!$B$23, postMergerBasis,AT66, lotFractionAmount,AG66, IF(useForFraction, (fractionSaleFMV - postMergerBasis)*lotFractionAmount, 0))</f>
        <v>0</v>
      </c>
      <c r="AI66" s="439">
        <f t="shared" si="11"/>
        <v>0</v>
      </c>
      <c r="AJ66" s="440">
        <f>LET(
purchaseDate,C66,
mergerDate,Reference!$B$28,
lotFractionGain,AH66,
mergerGain,AI66,
IF(DATEDIF(purchaseDate,mergerDate,"Y")&gt;=1,
  0,
  lotFractionGain + mergerGain
))</f>
        <v>0</v>
      </c>
      <c r="AK66" s="440">
        <f>LET(
purchaseDate,C66,
mergerDate,Reference!$B$28,
lotFractionGain,AH66,
mergerGain,AI66,
IF(DATEDIF(purchaseDate,mergerDate,"Y")&gt;=1,
  lotFractionGain+mergerGain,
  0
))</f>
        <v>0</v>
      </c>
      <c r="AL66" s="441" t="str">
        <f>IF(DATEDIF(C66,Reference!$B$28,"Y")&gt;=1,"Part II Box E","Part I Box B")</f>
        <v>Part II Box E</v>
      </c>
      <c r="AM66" s="336">
        <f t="shared" si="12"/>
        <v>44682</v>
      </c>
      <c r="AN66" s="337">
        <f t="shared" si="13"/>
        <v>0</v>
      </c>
      <c r="AO66" s="337">
        <f>LET(
cashReceived,W66, 
avgoQty,AE66, 
proceedsStyle,Reference!$E$9, 
avgoFMV,Reference!$B$18, 
SWITCH(proceedsStyle, "combined", cashReceived +(avgoQty*avgoFMV), "cashOnly", cashReceived))</f>
        <v>0</v>
      </c>
      <c r="AP66" s="338">
        <f>LET(
numVmwShares,D66, 
vmwBasis, Z66, 
avgoQty,AE66, 
avgoFMV,Reference!$B$18, 
cashReceived,W66, 
avgoTotalValue, avgoFMV*avgoQty, 
vmwTotalBasis, vmwBasis*numVmwShares,
alternateGainAmount,AF66, 
IF(cashReceived&lt;alternateGainAmount,
  avgoTotalValue,
  vmwTotalBasis
))</f>
        <v>0</v>
      </c>
      <c r="AQ66" s="338" t="str">
        <f t="shared" si="14"/>
        <v/>
      </c>
      <c r="AR66" s="338">
        <v>0.0</v>
      </c>
      <c r="AS66" s="339">
        <f t="shared" si="15"/>
        <v>0</v>
      </c>
      <c r="AT66" s="442" t="str">
        <f t="shared" si="16"/>
        <v>n/a</v>
      </c>
      <c r="AU66" s="328">
        <f>LET(saleFMV,Reference!$B$10, postMergerBasis,AT66, avgoQty,AE66, lotFractionAmount,AG66, iferror((saleFMV - postMergerBasis) * (avgoQty - lotFractionAmount), 0))</f>
        <v>0</v>
      </c>
      <c r="AV66" s="328">
        <f>LET(
avgoQty,AE67, 
purchaseDate,C67,
postMergerSaleDate,Reference!$B$29,
saleFMV,Reference!$B$10,
postMergerBasis,AT67, 
IFERROR(IF(DATEDIF(purchaseDate,postMergerSaleDate,"Y")&gt;=1,
  0,
  avgoQty * (saleFMV - postMergerBasis)
),0))</f>
        <v>0</v>
      </c>
      <c r="AW66" s="331">
        <f>LET(
avgoQty,AE66, 
purchaseDate,C66,
postMergerSaleDate,Reference!$B$29,
saleFMV,Reference!$B$10,
postMergerBasis,AT66, 
IFERROR(IF(DATEDIF(purchaseDate,postMergerSaleDate,"Y")&gt;=1,
  avgoQty * (saleFMV - postMergerBasis),
  0
),0))</f>
        <v>0</v>
      </c>
    </row>
    <row r="67">
      <c r="A67" s="431" t="s">
        <v>235</v>
      </c>
      <c r="B67" s="432">
        <v>44501.0</v>
      </c>
      <c r="C67" s="301">
        <v>44682.0</v>
      </c>
      <c r="D67" s="332"/>
      <c r="E67" s="433">
        <v>108.04</v>
      </c>
      <c r="F67" s="443"/>
      <c r="G67" s="305">
        <f t="shared" si="6"/>
        <v>0</v>
      </c>
      <c r="H67" s="317">
        <f t="shared" si="7"/>
        <v>0</v>
      </c>
      <c r="I67" s="444"/>
      <c r="J67" s="342" t="b">
        <v>0</v>
      </c>
      <c r="K67" s="436"/>
      <c r="L67" s="311">
        <v>0.0</v>
      </c>
      <c r="M67" s="311">
        <v>0.0</v>
      </c>
      <c r="N67" s="311">
        <v>0.0</v>
      </c>
      <c r="O67" s="311">
        <v>0.0</v>
      </c>
      <c r="P67" s="311">
        <v>0.0</v>
      </c>
      <c r="Q67" s="313">
        <f t="shared" si="8"/>
        <v>0</v>
      </c>
      <c r="R67" s="313" t="str">
        <f>SWITCH(S67,"cash",Reference!E$5,"shares",Reference!$E$6,"balance",Reference!$E$7,"pro-rata",Reference!$B$5)</f>
        <v>#DIV/0!</v>
      </c>
      <c r="S67" s="314" t="s">
        <v>205</v>
      </c>
      <c r="T67" s="315">
        <f>LET(numVmwShares,D67, cashRatio,Reference!$B$4, vmwFinalPrice,Reference!$B$3, numVmwShares * cashRatio * vmwFinalPrice)</f>
        <v>0</v>
      </c>
      <c r="U67" s="315">
        <f>iferror(LET(numVmwShares,$D67, stockRatio,Q67, vmwFinalPrice,Reference!$B$3, (1 - stockRatio) * vmwFinalPrice * numVmwShares),0)</f>
        <v>0</v>
      </c>
      <c r="V67" s="315">
        <f>iferror(LET(numVmwShares,$D67, stockRatio,R67, vmwFinalPrice,Reference!$B$3, (1 - stockRatio) * vmwFinalPrice * numVmwShares),0)</f>
        <v>0</v>
      </c>
      <c r="W67" s="315">
        <f>SWITCH(Reference!$E$4,"eTradeTransactionLog", T67, "eTradeHoldingRatio",T67, "eTradeLotQtyRatio",U67,"manualLotRatio",V67)</f>
        <v>0</v>
      </c>
      <c r="X67" s="305">
        <f>LET(purchaseDate,C67, dateOfRecord,Reference!$B$26, returnOfCapital,Reference!$C$26, IF(purchaseDate &lt; dateOfRecord, returnOfCapital,0))</f>
        <v>0</v>
      </c>
      <c r="Y67" s="305">
        <f>LET(purchaseDate,C67, dateOfRecord,Reference!$B$27, returnOfCapital,Reference!$C$27, IF(purchaseDate &lt; dateOfRecord, returnOfCapital,0))</f>
        <v>0</v>
      </c>
      <c r="Z67" s="305">
        <f t="shared" si="9"/>
        <v>108.04</v>
      </c>
      <c r="AA67" s="305">
        <f t="shared" si="10"/>
        <v>0</v>
      </c>
      <c r="AB67" s="316">
        <f>LET(numVmwShares,D67, stockRatio,Reference!$B$5, vmwToAvgoRatio,Reference!$B$6, numVmwShares * stockRatio * vmwToAvgoRatio)</f>
        <v>0</v>
      </c>
      <c r="AC67" s="316">
        <f>LET(numVmwShares,D67, stockRatio,Q67, vmwToAvgoRatio,Reference!$B$6, numVmwShares * stockRatio * vmwToAvgoRatio)</f>
        <v>0</v>
      </c>
      <c r="AD67" s="316" t="str">
        <f>LET(numVmwShares,D67, stockRatio,R67, vmwToAvgoRatio,Reference!$B$6, numVmwShares * stockRatio * vmwToAvgoRatio)</f>
        <v>#DIV/0!</v>
      </c>
      <c r="AE67" s="316">
        <f>SWITCH(Reference!$E$4, "eTradeTransactionLog", AB67, "eTradeHoldingRatio",AB67, "eTradeLotQtyRatio",AC67,"manualLotRatio",AD67)</f>
        <v>0</v>
      </c>
      <c r="AF67" s="317">
        <f>LET(numVmwShares,D67, vmwBasis,Z67, avgoQty,AE67, avgoFMV,Reference!$B$18, cashReceived,W67, gain,cashReceived+(avgoQty*avgoFMV)-(numVmwShares*vmwBasis),
MAX(gain,0))</f>
        <v>0</v>
      </c>
      <c r="AG67" s="318">
        <f>LET(useForFraction,J67, fractionAmount,Summary!$C$41, esppFractionLots,ESPP!$N$5, rsuFractionLots,RSU!J$5, IF(useForFraction, fractionAmount / (esppFractionLots+rsuFractionLots), 0))</f>
        <v>0</v>
      </c>
      <c r="AH67" s="438">
        <f>LET(useForFraction,J67, fractionSaleFMV,Reference!$B$23, postMergerBasis,AT67, lotFractionAmount,AG67, IF(useForFraction, (fractionSaleFMV - postMergerBasis)*lotFractionAmount, 0))</f>
        <v>0</v>
      </c>
      <c r="AI67" s="439">
        <f t="shared" si="11"/>
        <v>0</v>
      </c>
      <c r="AJ67" s="440">
        <f>LET(
purchaseDate,C67,
mergerDate,Reference!$B$28,
lotFractionGain,AH67,
mergerGain,AI67,
IF(DATEDIF(purchaseDate,mergerDate,"Y")&gt;=1,
  0,
  lotFractionGain + mergerGain
))</f>
        <v>0</v>
      </c>
      <c r="AK67" s="440">
        <f>LET(
purchaseDate,C67,
mergerDate,Reference!$B$28,
lotFractionGain,AH67,
mergerGain,AI67,
IF(DATEDIF(purchaseDate,mergerDate,"Y")&gt;=1,
  lotFractionGain+mergerGain,
  0
))</f>
        <v>0</v>
      </c>
      <c r="AL67" s="441" t="str">
        <f>IF(DATEDIF(C67,Reference!$B$28,"Y")&gt;=1,"Part II Box E","Part I Box B")</f>
        <v>Part II Box E</v>
      </c>
      <c r="AM67" s="336">
        <f t="shared" si="12"/>
        <v>44682</v>
      </c>
      <c r="AN67" s="337">
        <f t="shared" si="13"/>
        <v>0</v>
      </c>
      <c r="AO67" s="337">
        <f>LET(
cashReceived,W67, 
avgoQty,AE67, 
proceedsStyle,Reference!$E$9, 
avgoFMV,Reference!$B$18, 
SWITCH(proceedsStyle, "combined", cashReceived +(avgoQty*avgoFMV), "cashOnly", cashReceived))</f>
        <v>0</v>
      </c>
      <c r="AP67" s="338">
        <f>LET(
numVmwShares,D67, 
vmwBasis, Z67, 
avgoQty,AE67, 
avgoFMV,Reference!$B$18, 
cashReceived,W67, 
avgoTotalValue, avgoFMV*avgoQty, 
vmwTotalBasis, vmwBasis*numVmwShares,
alternateGainAmount,AF67, 
IF(cashReceived&lt;alternateGainAmount,
  avgoTotalValue,
  vmwTotalBasis
))</f>
        <v>0</v>
      </c>
      <c r="AQ67" s="338" t="str">
        <f t="shared" si="14"/>
        <v/>
      </c>
      <c r="AR67" s="338">
        <v>0.0</v>
      </c>
      <c r="AS67" s="339">
        <f t="shared" si="15"/>
        <v>0</v>
      </c>
      <c r="AT67" s="442" t="str">
        <f t="shared" si="16"/>
        <v>n/a</v>
      </c>
      <c r="AU67" s="328">
        <f>LET(saleFMV,Reference!$B$10, postMergerBasis,AT67, avgoQty,AE67, lotFractionAmount,AG67, iferror((saleFMV - postMergerBasis) * (avgoQty - lotFractionAmount), 0))</f>
        <v>0</v>
      </c>
      <c r="AV67" s="328">
        <f>LET(
avgoQty,AE68, 
purchaseDate,C68,
postMergerSaleDate,Reference!$B$29,
saleFMV,Reference!$B$10,
postMergerBasis,AT68, 
IFERROR(IF(DATEDIF(purchaseDate,postMergerSaleDate,"Y")&gt;=1,
  0,
  avgoQty * (saleFMV - postMergerBasis)
),0))</f>
        <v>0</v>
      </c>
      <c r="AW67" s="331">
        <f>LET(
avgoQty,AE67, 
purchaseDate,C67,
postMergerSaleDate,Reference!$B$29,
saleFMV,Reference!$B$10,
postMergerBasis,AT67, 
IFERROR(IF(DATEDIF(purchaseDate,postMergerSaleDate,"Y")&gt;=1,
  avgoQty * (saleFMV - postMergerBasis),
  0
),0))</f>
        <v>0</v>
      </c>
    </row>
    <row r="68">
      <c r="A68" s="431" t="s">
        <v>233</v>
      </c>
      <c r="B68" s="432">
        <v>44501.0</v>
      </c>
      <c r="C68" s="301">
        <v>44713.0</v>
      </c>
      <c r="D68" s="332"/>
      <c r="E68" s="433">
        <v>129.41</v>
      </c>
      <c r="F68" s="443"/>
      <c r="G68" s="305">
        <f t="shared" si="6"/>
        <v>0</v>
      </c>
      <c r="H68" s="317">
        <f t="shared" si="7"/>
        <v>0</v>
      </c>
      <c r="I68" s="444"/>
      <c r="J68" s="342" t="b">
        <v>0</v>
      </c>
      <c r="K68" s="436"/>
      <c r="L68" s="311">
        <v>0.0</v>
      </c>
      <c r="M68" s="311">
        <v>0.0</v>
      </c>
      <c r="N68" s="311">
        <v>0.0</v>
      </c>
      <c r="O68" s="311">
        <v>0.0</v>
      </c>
      <c r="P68" s="311">
        <v>0.0</v>
      </c>
      <c r="Q68" s="313">
        <f t="shared" si="8"/>
        <v>0</v>
      </c>
      <c r="R68" s="313" t="str">
        <f>SWITCH(S68,"cash",Reference!E$5,"shares",Reference!$E$6,"balance",Reference!$E$7,"pro-rata",Reference!$B$5)</f>
        <v>#DIV/0!</v>
      </c>
      <c r="S68" s="314" t="s">
        <v>205</v>
      </c>
      <c r="T68" s="315">
        <f>LET(numVmwShares,D68, cashRatio,Reference!$B$4, vmwFinalPrice,Reference!$B$3, numVmwShares * cashRatio * vmwFinalPrice)</f>
        <v>0</v>
      </c>
      <c r="U68" s="315">
        <f>iferror(LET(numVmwShares,$D68, stockRatio,Q68, vmwFinalPrice,Reference!$B$3, (1 - stockRatio) * vmwFinalPrice * numVmwShares),0)</f>
        <v>0</v>
      </c>
      <c r="V68" s="315">
        <f>iferror(LET(numVmwShares,$D68, stockRatio,R68, vmwFinalPrice,Reference!$B$3, (1 - stockRatio) * vmwFinalPrice * numVmwShares),0)</f>
        <v>0</v>
      </c>
      <c r="W68" s="315">
        <f>SWITCH(Reference!$E$4,"eTradeTransactionLog", T68, "eTradeHoldingRatio",T68, "eTradeLotQtyRatio",U68,"manualLotRatio",V68)</f>
        <v>0</v>
      </c>
      <c r="X68" s="305">
        <f>LET(purchaseDate,C68, dateOfRecord,Reference!$B$26, returnOfCapital,Reference!$C$26, IF(purchaseDate &lt; dateOfRecord, returnOfCapital,0))</f>
        <v>0</v>
      </c>
      <c r="Y68" s="305">
        <f>LET(purchaseDate,C68, dateOfRecord,Reference!$B$27, returnOfCapital,Reference!$C$27, IF(purchaseDate &lt; dateOfRecord, returnOfCapital,0))</f>
        <v>0</v>
      </c>
      <c r="Z68" s="305">
        <f t="shared" si="9"/>
        <v>129.41</v>
      </c>
      <c r="AA68" s="305">
        <f t="shared" si="10"/>
        <v>0</v>
      </c>
      <c r="AB68" s="316">
        <f>LET(numVmwShares,D68, stockRatio,Reference!$B$5, vmwToAvgoRatio,Reference!$B$6, numVmwShares * stockRatio * vmwToAvgoRatio)</f>
        <v>0</v>
      </c>
      <c r="AC68" s="316">
        <f>LET(numVmwShares,D68, stockRatio,Q68, vmwToAvgoRatio,Reference!$B$6, numVmwShares * stockRatio * vmwToAvgoRatio)</f>
        <v>0</v>
      </c>
      <c r="AD68" s="316" t="str">
        <f>LET(numVmwShares,D68, stockRatio,R68, vmwToAvgoRatio,Reference!$B$6, numVmwShares * stockRatio * vmwToAvgoRatio)</f>
        <v>#DIV/0!</v>
      </c>
      <c r="AE68" s="316">
        <f>SWITCH(Reference!$E$4, "eTradeTransactionLog", AB68, "eTradeHoldingRatio",AB68, "eTradeLotQtyRatio",AC68,"manualLotRatio",AD68)</f>
        <v>0</v>
      </c>
      <c r="AF68" s="317">
        <f>LET(numVmwShares,D68, vmwBasis,Z68, avgoQty,AE68, avgoFMV,Reference!$B$18, cashReceived,W68, gain,cashReceived+(avgoQty*avgoFMV)-(numVmwShares*vmwBasis),
MAX(gain,0))</f>
        <v>0</v>
      </c>
      <c r="AG68" s="318">
        <f>LET(useForFraction,J68, fractionAmount,Summary!$C$41, esppFractionLots,ESPP!$N$5, rsuFractionLots,RSU!J$5, IF(useForFraction, fractionAmount / (esppFractionLots+rsuFractionLots), 0))</f>
        <v>0</v>
      </c>
      <c r="AH68" s="438">
        <f>LET(useForFraction,J68, fractionSaleFMV,Reference!$B$23, postMergerBasis,AT68, lotFractionAmount,AG68, IF(useForFraction, (fractionSaleFMV - postMergerBasis)*lotFractionAmount, 0))</f>
        <v>0</v>
      </c>
      <c r="AI68" s="439">
        <f t="shared" si="11"/>
        <v>0</v>
      </c>
      <c r="AJ68" s="440">
        <f>LET(
purchaseDate,C68,
mergerDate,Reference!$B$28,
lotFractionGain,AH68,
mergerGain,AI68,
IF(DATEDIF(purchaseDate,mergerDate,"Y")&gt;=1,
  0,
  lotFractionGain + mergerGain
))</f>
        <v>0</v>
      </c>
      <c r="AK68" s="440">
        <f>LET(
purchaseDate,C68,
mergerDate,Reference!$B$28,
lotFractionGain,AH68,
mergerGain,AI68,
IF(DATEDIF(purchaseDate,mergerDate,"Y")&gt;=1,
  lotFractionGain+mergerGain,
  0
))</f>
        <v>0</v>
      </c>
      <c r="AL68" s="441" t="str">
        <f>IF(DATEDIF(C68,Reference!$B$28,"Y")&gt;=1,"Part II Box E","Part I Box B")</f>
        <v>Part II Box E</v>
      </c>
      <c r="AM68" s="336">
        <f t="shared" si="12"/>
        <v>44713</v>
      </c>
      <c r="AN68" s="337">
        <f t="shared" si="13"/>
        <v>0</v>
      </c>
      <c r="AO68" s="337">
        <f>LET(
cashReceived,W68, 
avgoQty,AE68, 
proceedsStyle,Reference!$E$9, 
avgoFMV,Reference!$B$18, 
SWITCH(proceedsStyle, "combined", cashReceived +(avgoQty*avgoFMV), "cashOnly", cashReceived))</f>
        <v>0</v>
      </c>
      <c r="AP68" s="338">
        <f>LET(
numVmwShares,D68, 
vmwBasis, Z68, 
avgoQty,AE68, 
avgoFMV,Reference!$B$18, 
cashReceived,W68, 
avgoTotalValue, avgoFMV*avgoQty, 
vmwTotalBasis, vmwBasis*numVmwShares,
alternateGainAmount,AF68, 
IF(cashReceived&lt;alternateGainAmount,
  avgoTotalValue,
  vmwTotalBasis
))</f>
        <v>0</v>
      </c>
      <c r="AQ68" s="338" t="str">
        <f t="shared" si="14"/>
        <v/>
      </c>
      <c r="AR68" s="338">
        <v>0.0</v>
      </c>
      <c r="AS68" s="339">
        <f t="shared" si="15"/>
        <v>0</v>
      </c>
      <c r="AT68" s="442" t="str">
        <f t="shared" si="16"/>
        <v>n/a</v>
      </c>
      <c r="AU68" s="328">
        <f>LET(saleFMV,Reference!$B$10, postMergerBasis,AT68, avgoQty,AE68, lotFractionAmount,AG68, iferror((saleFMV - postMergerBasis) * (avgoQty - lotFractionAmount), 0))</f>
        <v>0</v>
      </c>
      <c r="AV68" s="328">
        <f>LET(
avgoQty,AE69, 
purchaseDate,C69,
postMergerSaleDate,Reference!$B$29,
saleFMV,Reference!$B$10,
postMergerBasis,AT69, 
IFERROR(IF(DATEDIF(purchaseDate,postMergerSaleDate,"Y")&gt;=1,
  0,
  avgoQty * (saleFMV - postMergerBasis)
),0))</f>
        <v>0</v>
      </c>
      <c r="AW68" s="331">
        <f>LET(
avgoQty,AE68, 
purchaseDate,C68,
postMergerSaleDate,Reference!$B$29,
saleFMV,Reference!$B$10,
postMergerBasis,AT68, 
IFERROR(IF(DATEDIF(purchaseDate,postMergerSaleDate,"Y")&gt;=1,
  avgoQty * (saleFMV - postMergerBasis),
  0
),0))</f>
        <v>0</v>
      </c>
    </row>
    <row r="69">
      <c r="A69" s="431" t="s">
        <v>234</v>
      </c>
      <c r="B69" s="432">
        <v>44501.0</v>
      </c>
      <c r="C69" s="301">
        <v>44713.0</v>
      </c>
      <c r="D69" s="332"/>
      <c r="E69" s="433">
        <v>129.41</v>
      </c>
      <c r="F69" s="443"/>
      <c r="G69" s="305">
        <f t="shared" si="6"/>
        <v>0</v>
      </c>
      <c r="H69" s="317">
        <f t="shared" si="7"/>
        <v>0</v>
      </c>
      <c r="I69" s="446"/>
      <c r="J69" s="342" t="b">
        <v>0</v>
      </c>
      <c r="K69" s="436"/>
      <c r="L69" s="311">
        <v>0.0</v>
      </c>
      <c r="M69" s="311">
        <v>0.0</v>
      </c>
      <c r="N69" s="311">
        <v>0.0</v>
      </c>
      <c r="O69" s="311">
        <v>0.0</v>
      </c>
      <c r="P69" s="311">
        <v>0.0</v>
      </c>
      <c r="Q69" s="313">
        <f t="shared" si="8"/>
        <v>0</v>
      </c>
      <c r="R69" s="313" t="str">
        <f>SWITCH(S69,"cash",Reference!E$5,"shares",Reference!$E$6,"balance",Reference!$E$7,"pro-rata",Reference!$B$5)</f>
        <v>#DIV/0!</v>
      </c>
      <c r="S69" s="314" t="s">
        <v>205</v>
      </c>
      <c r="T69" s="315">
        <f>LET(numVmwShares,D69, cashRatio,Reference!$B$4, vmwFinalPrice,Reference!$B$3, numVmwShares * cashRatio * vmwFinalPrice)</f>
        <v>0</v>
      </c>
      <c r="U69" s="315">
        <f>iferror(LET(numVmwShares,$D69, stockRatio,Q69, vmwFinalPrice,Reference!$B$3, (1 - stockRatio) * vmwFinalPrice * numVmwShares),0)</f>
        <v>0</v>
      </c>
      <c r="V69" s="315">
        <f>iferror(LET(numVmwShares,$D69, stockRatio,R69, vmwFinalPrice,Reference!$B$3, (1 - stockRatio) * vmwFinalPrice * numVmwShares),0)</f>
        <v>0</v>
      </c>
      <c r="W69" s="315">
        <f>SWITCH(Reference!$E$4,"eTradeTransactionLog", T69, "eTradeHoldingRatio",T69, "eTradeLotQtyRatio",U69,"manualLotRatio",V69)</f>
        <v>0</v>
      </c>
      <c r="X69" s="305">
        <f>LET(purchaseDate,C69, dateOfRecord,Reference!$B$26, returnOfCapital,Reference!$C$26, IF(purchaseDate &lt; dateOfRecord, returnOfCapital,0))</f>
        <v>0</v>
      </c>
      <c r="Y69" s="305">
        <f>LET(purchaseDate,C69, dateOfRecord,Reference!$B$27, returnOfCapital,Reference!$C$27, IF(purchaseDate &lt; dateOfRecord, returnOfCapital,0))</f>
        <v>0</v>
      </c>
      <c r="Z69" s="305">
        <f t="shared" si="9"/>
        <v>129.41</v>
      </c>
      <c r="AA69" s="305">
        <f t="shared" si="10"/>
        <v>0</v>
      </c>
      <c r="AB69" s="316">
        <f>LET(numVmwShares,D69, stockRatio,Reference!$B$5, vmwToAvgoRatio,Reference!$B$6, numVmwShares * stockRatio * vmwToAvgoRatio)</f>
        <v>0</v>
      </c>
      <c r="AC69" s="316">
        <f>LET(numVmwShares,D69, stockRatio,Q69, vmwToAvgoRatio,Reference!$B$6, numVmwShares * stockRatio * vmwToAvgoRatio)</f>
        <v>0</v>
      </c>
      <c r="AD69" s="316" t="str">
        <f>LET(numVmwShares,D69, stockRatio,R69, vmwToAvgoRatio,Reference!$B$6, numVmwShares * stockRatio * vmwToAvgoRatio)</f>
        <v>#DIV/0!</v>
      </c>
      <c r="AE69" s="316">
        <f>SWITCH(Reference!$E$4, "eTradeTransactionLog", AB69, "eTradeHoldingRatio",AB69, "eTradeLotQtyRatio",AC69,"manualLotRatio",AD69)</f>
        <v>0</v>
      </c>
      <c r="AF69" s="317">
        <f>LET(numVmwShares,D69, vmwBasis,Z69, avgoQty,AE69, avgoFMV,Reference!$B$18, cashReceived,W69, gain,cashReceived+(avgoQty*avgoFMV)-(numVmwShares*vmwBasis),
MAX(gain,0))</f>
        <v>0</v>
      </c>
      <c r="AG69" s="318">
        <f>LET(useForFraction,J69, fractionAmount,Summary!$C$41, esppFractionLots,ESPP!$N$5, rsuFractionLots,RSU!J$5, IF(useForFraction, fractionAmount / (esppFractionLots+rsuFractionLots), 0))</f>
        <v>0</v>
      </c>
      <c r="AH69" s="438">
        <f>LET(useForFraction,J69, fractionSaleFMV,Reference!$B$23, postMergerBasis,AT69, lotFractionAmount,AG69, IF(useForFraction, (fractionSaleFMV - postMergerBasis)*lotFractionAmount, 0))</f>
        <v>0</v>
      </c>
      <c r="AI69" s="439">
        <f t="shared" si="11"/>
        <v>0</v>
      </c>
      <c r="AJ69" s="440">
        <f>LET(
purchaseDate,C69,
mergerDate,Reference!$B$28,
lotFractionGain,AH69,
mergerGain,AI69,
IF(DATEDIF(purchaseDate,mergerDate,"Y")&gt;=1,
  0,
  lotFractionGain + mergerGain
))</f>
        <v>0</v>
      </c>
      <c r="AK69" s="440">
        <f>LET(
purchaseDate,C69,
mergerDate,Reference!$B$28,
lotFractionGain,AH69,
mergerGain,AI69,
IF(DATEDIF(purchaseDate,mergerDate,"Y")&gt;=1,
  lotFractionGain+mergerGain,
  0
))</f>
        <v>0</v>
      </c>
      <c r="AL69" s="441" t="str">
        <f>IF(DATEDIF(C69,Reference!$B$28,"Y")&gt;=1,"Part II Box E","Part I Box B")</f>
        <v>Part II Box E</v>
      </c>
      <c r="AM69" s="336">
        <f t="shared" si="12"/>
        <v>44713</v>
      </c>
      <c r="AN69" s="337">
        <f t="shared" si="13"/>
        <v>0</v>
      </c>
      <c r="AO69" s="337">
        <f>LET(
cashReceived,W69, 
avgoQty,AE69, 
proceedsStyle,Reference!$E$9, 
avgoFMV,Reference!$B$18, 
SWITCH(proceedsStyle, "combined", cashReceived +(avgoQty*avgoFMV), "cashOnly", cashReceived))</f>
        <v>0</v>
      </c>
      <c r="AP69" s="338">
        <f>LET(
numVmwShares,D69, 
vmwBasis, Z69, 
avgoQty,AE69, 
avgoFMV,Reference!$B$18, 
cashReceived,W69, 
avgoTotalValue, avgoFMV*avgoQty, 
vmwTotalBasis, vmwBasis*numVmwShares,
alternateGainAmount,AF69, 
IF(cashReceived&lt;alternateGainAmount,
  avgoTotalValue,
  vmwTotalBasis
))</f>
        <v>0</v>
      </c>
      <c r="AQ69" s="338" t="str">
        <f t="shared" si="14"/>
        <v/>
      </c>
      <c r="AR69" s="338">
        <v>0.0</v>
      </c>
      <c r="AS69" s="339">
        <f t="shared" si="15"/>
        <v>0</v>
      </c>
      <c r="AT69" s="442" t="str">
        <f t="shared" si="16"/>
        <v>n/a</v>
      </c>
      <c r="AU69" s="328">
        <f>LET(saleFMV,Reference!$B$10, postMergerBasis,AT69, avgoQty,AE69, lotFractionAmount,AG69, iferror((saleFMV - postMergerBasis) * (avgoQty - lotFractionAmount), 0))</f>
        <v>0</v>
      </c>
      <c r="AV69" s="328">
        <f>LET(
avgoQty,AE70, 
purchaseDate,C70,
postMergerSaleDate,Reference!$B$29,
saleFMV,Reference!$B$10,
postMergerBasis,AT70, 
IFERROR(IF(DATEDIF(purchaseDate,postMergerSaleDate,"Y")&gt;=1,
  0,
  avgoQty * (saleFMV - postMergerBasis)
),0))</f>
        <v>0</v>
      </c>
      <c r="AW69" s="331">
        <f>LET(
avgoQty,AE69, 
purchaseDate,C69,
postMergerSaleDate,Reference!$B$29,
saleFMV,Reference!$B$10,
postMergerBasis,AT69, 
IFERROR(IF(DATEDIF(purchaseDate,postMergerSaleDate,"Y")&gt;=1,
  avgoQty * (saleFMV - postMergerBasis),
  0
),0))</f>
        <v>0</v>
      </c>
    </row>
    <row r="70">
      <c r="A70" s="431"/>
      <c r="B70" s="447"/>
      <c r="C70" s="448">
        <v>44743.0</v>
      </c>
      <c r="D70" s="332"/>
      <c r="E70" s="433">
        <v>114.06</v>
      </c>
      <c r="F70" s="443"/>
      <c r="G70" s="305">
        <f t="shared" si="6"/>
        <v>0</v>
      </c>
      <c r="H70" s="317">
        <f t="shared" si="7"/>
        <v>0</v>
      </c>
      <c r="I70" s="444"/>
      <c r="J70" s="342" t="b">
        <v>0</v>
      </c>
      <c r="K70" s="436"/>
      <c r="L70" s="311">
        <v>0.0</v>
      </c>
      <c r="M70" s="311">
        <v>0.0</v>
      </c>
      <c r="N70" s="311">
        <v>0.0</v>
      </c>
      <c r="O70" s="311">
        <v>0.0</v>
      </c>
      <c r="P70" s="311">
        <v>0.0</v>
      </c>
      <c r="Q70" s="313">
        <f t="shared" si="8"/>
        <v>0</v>
      </c>
      <c r="R70" s="313" t="str">
        <f>SWITCH(S70,"cash",Reference!E$5,"shares",Reference!$E$6,"balance",Reference!$E$7,"pro-rata",Reference!$B$5)</f>
        <v>#DIV/0!</v>
      </c>
      <c r="S70" s="314" t="s">
        <v>205</v>
      </c>
      <c r="T70" s="315">
        <f>LET(numVmwShares,D70, cashRatio,Reference!$B$4, vmwFinalPrice,Reference!$B$3, numVmwShares * cashRatio * vmwFinalPrice)</f>
        <v>0</v>
      </c>
      <c r="U70" s="315">
        <f>iferror(LET(numVmwShares,$D70, stockRatio,Q70, vmwFinalPrice,Reference!$B$3, (1 - stockRatio) * vmwFinalPrice * numVmwShares),0)</f>
        <v>0</v>
      </c>
      <c r="V70" s="315">
        <f>iferror(LET(numVmwShares,$D70, stockRatio,R70, vmwFinalPrice,Reference!$B$3, (1 - stockRatio) * vmwFinalPrice * numVmwShares),0)</f>
        <v>0</v>
      </c>
      <c r="W70" s="315">
        <f>SWITCH(Reference!$E$4,"eTradeTransactionLog", T70, "eTradeHoldingRatio",T70, "eTradeLotQtyRatio",U70,"manualLotRatio",V70)</f>
        <v>0</v>
      </c>
      <c r="X70" s="305">
        <f>LET(purchaseDate,C70, dateOfRecord,Reference!$B$26, returnOfCapital,Reference!$C$26, IF(purchaseDate &lt; dateOfRecord, returnOfCapital,0))</f>
        <v>0</v>
      </c>
      <c r="Y70" s="305">
        <f>LET(purchaseDate,C70, dateOfRecord,Reference!$B$27, returnOfCapital,Reference!$C$27, IF(purchaseDate &lt; dateOfRecord, returnOfCapital,0))</f>
        <v>0</v>
      </c>
      <c r="Z70" s="305">
        <f t="shared" si="9"/>
        <v>114.06</v>
      </c>
      <c r="AA70" s="305">
        <f t="shared" si="10"/>
        <v>0</v>
      </c>
      <c r="AB70" s="316">
        <f>LET(numVmwShares,D70, stockRatio,Reference!$B$5, vmwToAvgoRatio,Reference!$B$6, numVmwShares * stockRatio * vmwToAvgoRatio)</f>
        <v>0</v>
      </c>
      <c r="AC70" s="316">
        <f>LET(numVmwShares,D70, stockRatio,Q70, vmwToAvgoRatio,Reference!$B$6, numVmwShares * stockRatio * vmwToAvgoRatio)</f>
        <v>0</v>
      </c>
      <c r="AD70" s="316" t="str">
        <f>LET(numVmwShares,D70, stockRatio,R70, vmwToAvgoRatio,Reference!$B$6, numVmwShares * stockRatio * vmwToAvgoRatio)</f>
        <v>#DIV/0!</v>
      </c>
      <c r="AE70" s="316">
        <f>SWITCH(Reference!$E$4, "eTradeTransactionLog", AB70, "eTradeHoldingRatio",AB70, "eTradeLotQtyRatio",AC70,"manualLotRatio",AD70)</f>
        <v>0</v>
      </c>
      <c r="AF70" s="317">
        <f>LET(numVmwShares,D70, vmwBasis,Z70, avgoQty,AE70, avgoFMV,Reference!$B$18, cashReceived,W70, gain,cashReceived+(avgoQty*avgoFMV)-(numVmwShares*vmwBasis),
MAX(gain,0))</f>
        <v>0</v>
      </c>
      <c r="AG70" s="318">
        <f>LET(useForFraction,J70, fractionAmount,Summary!$C$41, esppFractionLots,ESPP!$N$5, rsuFractionLots,RSU!J$5, IF(useForFraction, fractionAmount / (esppFractionLots+rsuFractionLots), 0))</f>
        <v>0</v>
      </c>
      <c r="AH70" s="438">
        <f>LET(useForFraction,J70, fractionSaleFMV,Reference!$B$23, postMergerBasis,AT70, lotFractionAmount,AG70, IF(useForFraction, (fractionSaleFMV - postMergerBasis)*lotFractionAmount, 0))</f>
        <v>0</v>
      </c>
      <c r="AI70" s="439">
        <f t="shared" si="11"/>
        <v>0</v>
      </c>
      <c r="AJ70" s="440">
        <f>LET(
purchaseDate,C70,
mergerDate,Reference!$B$28,
lotFractionGain,AH70,
mergerGain,AI70,
IF(DATEDIF(purchaseDate,mergerDate,"Y")&gt;=1,
  0,
  lotFractionGain + mergerGain
))</f>
        <v>0</v>
      </c>
      <c r="AK70" s="440">
        <f>LET(
purchaseDate,C70,
mergerDate,Reference!$B$28,
lotFractionGain,AH70,
mergerGain,AI70,
IF(DATEDIF(purchaseDate,mergerDate,"Y")&gt;=1,
  lotFractionGain+mergerGain,
  0
))</f>
        <v>0</v>
      </c>
      <c r="AL70" s="441" t="str">
        <f>IF(DATEDIF(C70,Reference!$B$28,"Y")&gt;=1,"Part II Box E","Part I Box B")</f>
        <v>Part II Box E</v>
      </c>
      <c r="AM70" s="336">
        <f t="shared" si="12"/>
        <v>44743</v>
      </c>
      <c r="AN70" s="337">
        <f t="shared" si="13"/>
        <v>0</v>
      </c>
      <c r="AO70" s="337">
        <f>LET(
cashReceived,W70, 
avgoQty,AE70, 
proceedsStyle,Reference!$E$9, 
avgoFMV,Reference!$B$18, 
SWITCH(proceedsStyle, "combined", cashReceived +(avgoQty*avgoFMV), "cashOnly", cashReceived))</f>
        <v>0</v>
      </c>
      <c r="AP70" s="338">
        <f>LET(
numVmwShares,D70, 
vmwBasis, Z70, 
avgoQty,AE70, 
avgoFMV,Reference!$B$18, 
cashReceived,W70, 
avgoTotalValue, avgoFMV*avgoQty, 
vmwTotalBasis, vmwBasis*numVmwShares,
alternateGainAmount,AF70, 
IF(cashReceived&lt;alternateGainAmount,
  avgoTotalValue,
  vmwTotalBasis
))</f>
        <v>0</v>
      </c>
      <c r="AQ70" s="338" t="str">
        <f t="shared" si="14"/>
        <v/>
      </c>
      <c r="AR70" s="338">
        <v>0.0</v>
      </c>
      <c r="AS70" s="339">
        <f t="shared" si="15"/>
        <v>0</v>
      </c>
      <c r="AT70" s="442" t="str">
        <f t="shared" si="16"/>
        <v>n/a</v>
      </c>
      <c r="AU70" s="328">
        <f>LET(saleFMV,Reference!$B$10, postMergerBasis,AT70, avgoQty,AE70, lotFractionAmount,AG70, iferror((saleFMV - postMergerBasis) * (avgoQty - lotFractionAmount), 0))</f>
        <v>0</v>
      </c>
      <c r="AV70" s="328">
        <f>LET(
avgoQty,AE71, 
purchaseDate,C71,
postMergerSaleDate,Reference!$B$29,
saleFMV,Reference!$B$10,
postMergerBasis,AT71, 
IFERROR(IF(DATEDIF(purchaseDate,postMergerSaleDate,"Y")&gt;=1,
  0,
  avgoQty * (saleFMV - postMergerBasis)
),0))</f>
        <v>0</v>
      </c>
      <c r="AW70" s="331">
        <f>LET(
avgoQty,AE70, 
purchaseDate,C70,
postMergerSaleDate,Reference!$B$29,
saleFMV,Reference!$B$10,
postMergerBasis,AT70, 
IFERROR(IF(DATEDIF(purchaseDate,postMergerSaleDate,"Y")&gt;=1,
  avgoQty * (saleFMV - postMergerBasis),
  0
),0))</f>
        <v>0</v>
      </c>
    </row>
    <row r="71">
      <c r="A71" s="431" t="s">
        <v>235</v>
      </c>
      <c r="B71" s="432">
        <v>44501.0</v>
      </c>
      <c r="C71" s="301">
        <v>44774.0</v>
      </c>
      <c r="D71" s="332"/>
      <c r="E71" s="433">
        <v>116.17</v>
      </c>
      <c r="F71" s="443"/>
      <c r="G71" s="305">
        <f t="shared" si="6"/>
        <v>0</v>
      </c>
      <c r="H71" s="317">
        <f t="shared" si="7"/>
        <v>0</v>
      </c>
      <c r="I71" s="444"/>
      <c r="J71" s="342" t="b">
        <v>0</v>
      </c>
      <c r="K71" s="436"/>
      <c r="L71" s="311">
        <v>0.0</v>
      </c>
      <c r="M71" s="311">
        <v>0.0</v>
      </c>
      <c r="N71" s="311">
        <v>0.0</v>
      </c>
      <c r="O71" s="311">
        <v>0.0</v>
      </c>
      <c r="P71" s="311">
        <v>0.0</v>
      </c>
      <c r="Q71" s="313">
        <f t="shared" si="8"/>
        <v>0</v>
      </c>
      <c r="R71" s="313" t="str">
        <f>SWITCH(S71,"cash",Reference!E$5,"shares",Reference!$E$6,"balance",Reference!$E$7,"pro-rata",Reference!$B$5)</f>
        <v>#DIV/0!</v>
      </c>
      <c r="S71" s="314" t="s">
        <v>205</v>
      </c>
      <c r="T71" s="315">
        <f>LET(numVmwShares,D71, cashRatio,Reference!$B$4, vmwFinalPrice,Reference!$B$3, numVmwShares * cashRatio * vmwFinalPrice)</f>
        <v>0</v>
      </c>
      <c r="U71" s="315">
        <f>iferror(LET(numVmwShares,$D71, stockRatio,Q71, vmwFinalPrice,Reference!$B$3, (1 - stockRatio) * vmwFinalPrice * numVmwShares),0)</f>
        <v>0</v>
      </c>
      <c r="V71" s="315">
        <f>iferror(LET(numVmwShares,$D71, stockRatio,R71, vmwFinalPrice,Reference!$B$3, (1 - stockRatio) * vmwFinalPrice * numVmwShares),0)</f>
        <v>0</v>
      </c>
      <c r="W71" s="315">
        <f>SWITCH(Reference!$E$4,"eTradeTransactionLog", T71, "eTradeHoldingRatio",T71, "eTradeLotQtyRatio",U71,"manualLotRatio",V71)</f>
        <v>0</v>
      </c>
      <c r="X71" s="305">
        <f>LET(purchaseDate,C71, dateOfRecord,Reference!$B$26, returnOfCapital,Reference!$C$26, IF(purchaseDate &lt; dateOfRecord, returnOfCapital,0))</f>
        <v>0</v>
      </c>
      <c r="Y71" s="305">
        <f>LET(purchaseDate,C71, dateOfRecord,Reference!$B$27, returnOfCapital,Reference!$C$27, IF(purchaseDate &lt; dateOfRecord, returnOfCapital,0))</f>
        <v>0</v>
      </c>
      <c r="Z71" s="305">
        <f t="shared" si="9"/>
        <v>116.17</v>
      </c>
      <c r="AA71" s="305">
        <f t="shared" si="10"/>
        <v>0</v>
      </c>
      <c r="AB71" s="316">
        <f>LET(numVmwShares,D71, stockRatio,Reference!$B$5, vmwToAvgoRatio,Reference!$B$6, numVmwShares * stockRatio * vmwToAvgoRatio)</f>
        <v>0</v>
      </c>
      <c r="AC71" s="316">
        <f>LET(numVmwShares,D71, stockRatio,Q71, vmwToAvgoRatio,Reference!$B$6, numVmwShares * stockRatio * vmwToAvgoRatio)</f>
        <v>0</v>
      </c>
      <c r="AD71" s="316" t="str">
        <f>LET(numVmwShares,D71, stockRatio,R71, vmwToAvgoRatio,Reference!$B$6, numVmwShares * stockRatio * vmwToAvgoRatio)</f>
        <v>#DIV/0!</v>
      </c>
      <c r="AE71" s="316">
        <f>SWITCH(Reference!$E$4, "eTradeTransactionLog", AB71, "eTradeHoldingRatio",AB71, "eTradeLotQtyRatio",AC71,"manualLotRatio",AD71)</f>
        <v>0</v>
      </c>
      <c r="AF71" s="317">
        <f>LET(numVmwShares,D71, vmwBasis,Z71, avgoQty,AE71, avgoFMV,Reference!$B$18, cashReceived,W71, gain,cashReceived+(avgoQty*avgoFMV)-(numVmwShares*vmwBasis),
MAX(gain,0))</f>
        <v>0</v>
      </c>
      <c r="AG71" s="318">
        <f>LET(useForFraction,J71, fractionAmount,Summary!$C$41, esppFractionLots,ESPP!$N$5, rsuFractionLots,RSU!J$5, IF(useForFraction, fractionAmount / (esppFractionLots+rsuFractionLots), 0))</f>
        <v>0</v>
      </c>
      <c r="AH71" s="438">
        <f>LET(useForFraction,J71, fractionSaleFMV,Reference!$B$23, postMergerBasis,AT71, lotFractionAmount,AG71, IF(useForFraction, (fractionSaleFMV - postMergerBasis)*lotFractionAmount, 0))</f>
        <v>0</v>
      </c>
      <c r="AI71" s="439">
        <f t="shared" si="11"/>
        <v>0</v>
      </c>
      <c r="AJ71" s="440">
        <f>LET(
purchaseDate,C71,
mergerDate,Reference!$B$28,
lotFractionGain,AH71,
mergerGain,AI71,
IF(DATEDIF(purchaseDate,mergerDate,"Y")&gt;=1,
  0,
  lotFractionGain + mergerGain
))</f>
        <v>0</v>
      </c>
      <c r="AK71" s="440">
        <f>LET(
purchaseDate,C71,
mergerDate,Reference!$B$28,
lotFractionGain,AH71,
mergerGain,AI71,
IF(DATEDIF(purchaseDate,mergerDate,"Y")&gt;=1,
  lotFractionGain+mergerGain,
  0
))</f>
        <v>0</v>
      </c>
      <c r="AL71" s="441" t="str">
        <f>IF(DATEDIF(C71,Reference!$B$28,"Y")&gt;=1,"Part II Box E","Part I Box B")</f>
        <v>Part II Box E</v>
      </c>
      <c r="AM71" s="336">
        <f t="shared" si="12"/>
        <v>44774</v>
      </c>
      <c r="AN71" s="337">
        <f t="shared" si="13"/>
        <v>0</v>
      </c>
      <c r="AO71" s="337">
        <f>LET(
cashReceived,W71, 
avgoQty,AE71, 
proceedsStyle,Reference!$E$9, 
avgoFMV,Reference!$B$18, 
SWITCH(proceedsStyle, "combined", cashReceived +(avgoQty*avgoFMV), "cashOnly", cashReceived))</f>
        <v>0</v>
      </c>
      <c r="AP71" s="338">
        <f>LET(
numVmwShares,D71, 
vmwBasis, Z71, 
avgoQty,AE71, 
avgoFMV,Reference!$B$18, 
cashReceived,W71, 
avgoTotalValue, avgoFMV*avgoQty, 
vmwTotalBasis, vmwBasis*numVmwShares,
alternateGainAmount,AF71, 
IF(cashReceived&lt;alternateGainAmount,
  avgoTotalValue,
  vmwTotalBasis
))</f>
        <v>0</v>
      </c>
      <c r="AQ71" s="338" t="str">
        <f t="shared" si="14"/>
        <v/>
      </c>
      <c r="AR71" s="338">
        <v>0.0</v>
      </c>
      <c r="AS71" s="339">
        <f t="shared" si="15"/>
        <v>0</v>
      </c>
      <c r="AT71" s="442" t="str">
        <f t="shared" si="16"/>
        <v>n/a</v>
      </c>
      <c r="AU71" s="328">
        <f>LET(saleFMV,Reference!$B$10, postMergerBasis,AT71, avgoQty,AE71, lotFractionAmount,AG71, iferror((saleFMV - postMergerBasis) * (avgoQty - lotFractionAmount), 0))</f>
        <v>0</v>
      </c>
      <c r="AV71" s="328">
        <f>LET(
avgoQty,AE72, 
purchaseDate,C72,
postMergerSaleDate,Reference!$B$29,
saleFMV,Reference!$B$10,
postMergerBasis,AT72, 
IFERROR(IF(DATEDIF(purchaseDate,postMergerSaleDate,"Y")&gt;=1,
  0,
  avgoQty * (saleFMV - postMergerBasis)
),0))</f>
        <v>0</v>
      </c>
      <c r="AW71" s="331">
        <f>LET(
avgoQty,AE71, 
purchaseDate,C71,
postMergerSaleDate,Reference!$B$29,
saleFMV,Reference!$B$10,
postMergerBasis,AT71, 
IFERROR(IF(DATEDIF(purchaseDate,postMergerSaleDate,"Y")&gt;=1,
  avgoQty * (saleFMV - postMergerBasis),
  0
),0))</f>
        <v>0</v>
      </c>
    </row>
    <row r="72">
      <c r="A72" s="431"/>
      <c r="B72" s="447"/>
      <c r="C72" s="448">
        <v>44805.0</v>
      </c>
      <c r="D72" s="332"/>
      <c r="E72" s="433">
        <v>114.82</v>
      </c>
      <c r="F72" s="443"/>
      <c r="G72" s="305">
        <f t="shared" si="6"/>
        <v>0</v>
      </c>
      <c r="H72" s="317">
        <f t="shared" si="7"/>
        <v>0</v>
      </c>
      <c r="I72" s="444"/>
      <c r="J72" s="342" t="b">
        <v>0</v>
      </c>
      <c r="K72" s="436"/>
      <c r="L72" s="311">
        <v>0.0</v>
      </c>
      <c r="M72" s="311">
        <v>0.0</v>
      </c>
      <c r="N72" s="311">
        <v>0.0</v>
      </c>
      <c r="O72" s="311">
        <v>0.0</v>
      </c>
      <c r="P72" s="311">
        <v>0.0</v>
      </c>
      <c r="Q72" s="313">
        <f t="shared" si="8"/>
        <v>0</v>
      </c>
      <c r="R72" s="313" t="str">
        <f>SWITCH(S72,"cash",Reference!E$5,"shares",Reference!$E$6,"balance",Reference!$E$7,"pro-rata",Reference!$B$5)</f>
        <v>#DIV/0!</v>
      </c>
      <c r="S72" s="314" t="s">
        <v>205</v>
      </c>
      <c r="T72" s="315">
        <f>LET(numVmwShares,D72, cashRatio,Reference!$B$4, vmwFinalPrice,Reference!$B$3, numVmwShares * cashRatio * vmwFinalPrice)</f>
        <v>0</v>
      </c>
      <c r="U72" s="315">
        <f>iferror(LET(numVmwShares,$D72, stockRatio,Q72, vmwFinalPrice,Reference!$B$3, (1 - stockRatio) * vmwFinalPrice * numVmwShares),0)</f>
        <v>0</v>
      </c>
      <c r="V72" s="315">
        <f>iferror(LET(numVmwShares,$D72, stockRatio,R72, vmwFinalPrice,Reference!$B$3, (1 - stockRatio) * vmwFinalPrice * numVmwShares),0)</f>
        <v>0</v>
      </c>
      <c r="W72" s="315">
        <f>SWITCH(Reference!$E$4,"eTradeTransactionLog", T72, "eTradeHoldingRatio",T72, "eTradeLotQtyRatio",U72,"manualLotRatio",V72)</f>
        <v>0</v>
      </c>
      <c r="X72" s="305">
        <f>LET(purchaseDate,C72, dateOfRecord,Reference!$B$26, returnOfCapital,Reference!$C$26, IF(purchaseDate &lt; dateOfRecord, returnOfCapital,0))</f>
        <v>0</v>
      </c>
      <c r="Y72" s="305">
        <f>LET(purchaseDate,C72, dateOfRecord,Reference!$B$27, returnOfCapital,Reference!$C$27, IF(purchaseDate &lt; dateOfRecord, returnOfCapital,0))</f>
        <v>0</v>
      </c>
      <c r="Z72" s="305">
        <f t="shared" si="9"/>
        <v>114.82</v>
      </c>
      <c r="AA72" s="305">
        <f t="shared" si="10"/>
        <v>0</v>
      </c>
      <c r="AB72" s="316">
        <f>LET(numVmwShares,D72, stockRatio,Reference!$B$5, vmwToAvgoRatio,Reference!$B$6, numVmwShares * stockRatio * vmwToAvgoRatio)</f>
        <v>0</v>
      </c>
      <c r="AC72" s="316">
        <f>LET(numVmwShares,D72, stockRatio,Q72, vmwToAvgoRatio,Reference!$B$6, numVmwShares * stockRatio * vmwToAvgoRatio)</f>
        <v>0</v>
      </c>
      <c r="AD72" s="316" t="str">
        <f>LET(numVmwShares,D72, stockRatio,R72, vmwToAvgoRatio,Reference!$B$6, numVmwShares * stockRatio * vmwToAvgoRatio)</f>
        <v>#DIV/0!</v>
      </c>
      <c r="AE72" s="316">
        <f>SWITCH(Reference!$E$4, "eTradeTransactionLog", AB72, "eTradeHoldingRatio",AB72, "eTradeLotQtyRatio",AC72,"manualLotRatio",AD72)</f>
        <v>0</v>
      </c>
      <c r="AF72" s="317">
        <f>LET(numVmwShares,D72, vmwBasis,Z72, avgoQty,AE72, avgoFMV,Reference!$B$18, cashReceived,W72, gain,cashReceived+(avgoQty*avgoFMV)-(numVmwShares*vmwBasis),
MAX(gain,0))</f>
        <v>0</v>
      </c>
      <c r="AG72" s="318">
        <f>LET(useForFraction,J72, fractionAmount,Summary!$C$41, esppFractionLots,ESPP!$N$5, rsuFractionLots,RSU!J$5, IF(useForFraction, fractionAmount / (esppFractionLots+rsuFractionLots), 0))</f>
        <v>0</v>
      </c>
      <c r="AH72" s="438">
        <f>LET(useForFraction,J72, fractionSaleFMV,Reference!$B$23, postMergerBasis,AT72, lotFractionAmount,AG72, IF(useForFraction, (fractionSaleFMV - postMergerBasis)*lotFractionAmount, 0))</f>
        <v>0</v>
      </c>
      <c r="AI72" s="439">
        <f t="shared" si="11"/>
        <v>0</v>
      </c>
      <c r="AJ72" s="440">
        <f>LET(
purchaseDate,C72,
mergerDate,Reference!$B$28,
lotFractionGain,AH72,
mergerGain,AI72,
IF(DATEDIF(purchaseDate,mergerDate,"Y")&gt;=1,
  0,
  lotFractionGain + mergerGain
))</f>
        <v>0</v>
      </c>
      <c r="AK72" s="440">
        <f>LET(
purchaseDate,C72,
mergerDate,Reference!$B$28,
lotFractionGain,AH72,
mergerGain,AI72,
IF(DATEDIF(purchaseDate,mergerDate,"Y")&gt;=1,
  lotFractionGain+mergerGain,
  0
))</f>
        <v>0</v>
      </c>
      <c r="AL72" s="441" t="str">
        <f>IF(DATEDIF(C72,Reference!$B$28,"Y")&gt;=1,"Part II Box E","Part I Box B")</f>
        <v>Part II Box E</v>
      </c>
      <c r="AM72" s="336">
        <f t="shared" si="12"/>
        <v>44805</v>
      </c>
      <c r="AN72" s="337">
        <f t="shared" si="13"/>
        <v>0</v>
      </c>
      <c r="AO72" s="337">
        <f>LET(
cashReceived,W72, 
avgoQty,AE72, 
proceedsStyle,Reference!$E$9, 
avgoFMV,Reference!$B$18, 
SWITCH(proceedsStyle, "combined", cashReceived +(avgoQty*avgoFMV), "cashOnly", cashReceived))</f>
        <v>0</v>
      </c>
      <c r="AP72" s="338">
        <f>LET(
numVmwShares,D72, 
vmwBasis, Z72, 
avgoQty,AE72, 
avgoFMV,Reference!$B$18, 
cashReceived,W72, 
avgoTotalValue, avgoFMV*avgoQty, 
vmwTotalBasis, vmwBasis*numVmwShares,
alternateGainAmount,AF72, 
IF(cashReceived&lt;alternateGainAmount,
  avgoTotalValue,
  vmwTotalBasis
))</f>
        <v>0</v>
      </c>
      <c r="AQ72" s="338" t="str">
        <f t="shared" si="14"/>
        <v/>
      </c>
      <c r="AR72" s="338">
        <v>0.0</v>
      </c>
      <c r="AS72" s="339">
        <f t="shared" si="15"/>
        <v>0</v>
      </c>
      <c r="AT72" s="442" t="str">
        <f t="shared" si="16"/>
        <v>n/a</v>
      </c>
      <c r="AU72" s="328">
        <f>LET(saleFMV,Reference!$B$10, postMergerBasis,AT72, avgoQty,AE72, lotFractionAmount,AG72, iferror((saleFMV - postMergerBasis) * (avgoQty - lotFractionAmount), 0))</f>
        <v>0</v>
      </c>
      <c r="AV72" s="328">
        <f>LET(
avgoQty,AE73, 
purchaseDate,C73,
postMergerSaleDate,Reference!$B$29,
saleFMV,Reference!$B$10,
postMergerBasis,AT73, 
IFERROR(IF(DATEDIF(purchaseDate,postMergerSaleDate,"Y")&gt;=1,
  0,
  avgoQty * (saleFMV - postMergerBasis)
),0))</f>
        <v>0</v>
      </c>
      <c r="AW72" s="331">
        <f>LET(
avgoQty,AE72, 
purchaseDate,C72,
postMergerSaleDate,Reference!$B$29,
saleFMV,Reference!$B$10,
postMergerBasis,AT72, 
IFERROR(IF(DATEDIF(purchaseDate,postMergerSaleDate,"Y")&gt;=1,
  avgoQty * (saleFMV - postMergerBasis),
  0
),0))</f>
        <v>0</v>
      </c>
    </row>
    <row r="73">
      <c r="A73" s="431" t="s">
        <v>232</v>
      </c>
      <c r="B73" s="432">
        <v>44501.0</v>
      </c>
      <c r="C73" s="301">
        <v>44866.0</v>
      </c>
      <c r="D73" s="332"/>
      <c r="E73" s="433">
        <v>112.62</v>
      </c>
      <c r="F73" s="443"/>
      <c r="G73" s="305">
        <f t="shared" si="6"/>
        <v>0</v>
      </c>
      <c r="H73" s="317">
        <f t="shared" si="7"/>
        <v>0</v>
      </c>
      <c r="I73" s="444"/>
      <c r="J73" s="342" t="b">
        <v>0</v>
      </c>
      <c r="K73" s="436"/>
      <c r="L73" s="311">
        <v>0.0</v>
      </c>
      <c r="M73" s="311">
        <v>0.0</v>
      </c>
      <c r="N73" s="311">
        <v>0.0</v>
      </c>
      <c r="O73" s="311">
        <v>0.0</v>
      </c>
      <c r="P73" s="311">
        <v>0.0</v>
      </c>
      <c r="Q73" s="313">
        <f t="shared" si="8"/>
        <v>0</v>
      </c>
      <c r="R73" s="313" t="str">
        <f>SWITCH(S73,"cash",Reference!E$5,"shares",Reference!$E$6,"balance",Reference!$E$7,"pro-rata",Reference!$B$5)</f>
        <v>#DIV/0!</v>
      </c>
      <c r="S73" s="314" t="s">
        <v>205</v>
      </c>
      <c r="T73" s="315">
        <f>LET(numVmwShares,D73, cashRatio,Reference!$B$4, vmwFinalPrice,Reference!$B$3, numVmwShares * cashRatio * vmwFinalPrice)</f>
        <v>0</v>
      </c>
      <c r="U73" s="315">
        <f>iferror(LET(numVmwShares,$D73, stockRatio,Q73, vmwFinalPrice,Reference!$B$3, (1 - stockRatio) * vmwFinalPrice * numVmwShares),0)</f>
        <v>0</v>
      </c>
      <c r="V73" s="315">
        <f>iferror(LET(numVmwShares,$D73, stockRatio,R73, vmwFinalPrice,Reference!$B$3, (1 - stockRatio) * vmwFinalPrice * numVmwShares),0)</f>
        <v>0</v>
      </c>
      <c r="W73" s="315">
        <f>SWITCH(Reference!$E$4,"eTradeTransactionLog", T73, "eTradeHoldingRatio",T73, "eTradeLotQtyRatio",U73,"manualLotRatio",V73)</f>
        <v>0</v>
      </c>
      <c r="X73" s="305">
        <f>LET(purchaseDate,C73, dateOfRecord,Reference!$B$26, returnOfCapital,Reference!$C$26, IF(purchaseDate &lt; dateOfRecord, returnOfCapital,0))</f>
        <v>0</v>
      </c>
      <c r="Y73" s="305">
        <f>LET(purchaseDate,C73, dateOfRecord,Reference!$B$27, returnOfCapital,Reference!$C$27, IF(purchaseDate &lt; dateOfRecord, returnOfCapital,0))</f>
        <v>0</v>
      </c>
      <c r="Z73" s="305">
        <f t="shared" si="9"/>
        <v>112.62</v>
      </c>
      <c r="AA73" s="305">
        <f t="shared" si="10"/>
        <v>0</v>
      </c>
      <c r="AB73" s="316">
        <f>LET(numVmwShares,D73, stockRatio,Reference!$B$5, vmwToAvgoRatio,Reference!$B$6, numVmwShares * stockRatio * vmwToAvgoRatio)</f>
        <v>0</v>
      </c>
      <c r="AC73" s="316">
        <f>LET(numVmwShares,D73, stockRatio,Q73, vmwToAvgoRatio,Reference!$B$6, numVmwShares * stockRatio * vmwToAvgoRatio)</f>
        <v>0</v>
      </c>
      <c r="AD73" s="316" t="str">
        <f>LET(numVmwShares,D73, stockRatio,R73, vmwToAvgoRatio,Reference!$B$6, numVmwShares * stockRatio * vmwToAvgoRatio)</f>
        <v>#DIV/0!</v>
      </c>
      <c r="AE73" s="316">
        <f>SWITCH(Reference!$E$4, "eTradeTransactionLog", AB73, "eTradeHoldingRatio",AB73, "eTradeLotQtyRatio",AC73,"manualLotRatio",AD73)</f>
        <v>0</v>
      </c>
      <c r="AF73" s="317">
        <f>LET(numVmwShares,D73, vmwBasis,Z73, avgoQty,AE73, avgoFMV,Reference!$B$18, cashReceived,W73, gain,cashReceived+(avgoQty*avgoFMV)-(numVmwShares*vmwBasis),
MAX(gain,0))</f>
        <v>0</v>
      </c>
      <c r="AG73" s="318">
        <f>LET(useForFraction,J73, fractionAmount,Summary!$C$41, esppFractionLots,ESPP!$N$5, rsuFractionLots,RSU!J$5, IF(useForFraction, fractionAmount / (esppFractionLots+rsuFractionLots), 0))</f>
        <v>0</v>
      </c>
      <c r="AH73" s="438">
        <f>LET(useForFraction,J73, fractionSaleFMV,Reference!$B$23, postMergerBasis,AT73, lotFractionAmount,AG73, IF(useForFraction, (fractionSaleFMV - postMergerBasis)*lotFractionAmount, 0))</f>
        <v>0</v>
      </c>
      <c r="AI73" s="439">
        <f t="shared" si="11"/>
        <v>0</v>
      </c>
      <c r="AJ73" s="440">
        <f>LET(
purchaseDate,C73,
mergerDate,Reference!$B$28,
lotFractionGain,AH73,
mergerGain,AI73,
IF(DATEDIF(purchaseDate,mergerDate,"Y")&gt;=1,
  0,
  lotFractionGain + mergerGain
))</f>
        <v>0</v>
      </c>
      <c r="AK73" s="440">
        <f>LET(
purchaseDate,C73,
mergerDate,Reference!$B$28,
lotFractionGain,AH73,
mergerGain,AI73,
IF(DATEDIF(purchaseDate,mergerDate,"Y")&gt;=1,
  lotFractionGain+mergerGain,
  0
))</f>
        <v>0</v>
      </c>
      <c r="AL73" s="441" t="str">
        <f>IF(DATEDIF(C73,Reference!$B$28,"Y")&gt;=1,"Part II Box E","Part I Box B")</f>
        <v>Part II Box E</v>
      </c>
      <c r="AM73" s="336">
        <f t="shared" si="12"/>
        <v>44866</v>
      </c>
      <c r="AN73" s="337">
        <f t="shared" si="13"/>
        <v>0</v>
      </c>
      <c r="AO73" s="337">
        <f>LET(
cashReceived,W73, 
avgoQty,AE73, 
proceedsStyle,Reference!$E$9, 
avgoFMV,Reference!$B$18, 
SWITCH(proceedsStyle, "combined", cashReceived +(avgoQty*avgoFMV), "cashOnly", cashReceived))</f>
        <v>0</v>
      </c>
      <c r="AP73" s="338">
        <f>LET(
numVmwShares,D73, 
vmwBasis, Z73, 
avgoQty,AE73, 
avgoFMV,Reference!$B$18, 
cashReceived,W73, 
avgoTotalValue, avgoFMV*avgoQty, 
vmwTotalBasis, vmwBasis*numVmwShares,
alternateGainAmount,AF73, 
IF(cashReceived&lt;alternateGainAmount,
  avgoTotalValue,
  vmwTotalBasis
))</f>
        <v>0</v>
      </c>
      <c r="AQ73" s="338" t="str">
        <f t="shared" si="14"/>
        <v/>
      </c>
      <c r="AR73" s="338">
        <v>0.0</v>
      </c>
      <c r="AS73" s="339">
        <f t="shared" si="15"/>
        <v>0</v>
      </c>
      <c r="AT73" s="442" t="str">
        <f t="shared" si="16"/>
        <v>n/a</v>
      </c>
      <c r="AU73" s="328">
        <f>LET(saleFMV,Reference!$B$10, postMergerBasis,AT73, avgoQty,AE73, lotFractionAmount,AG73, iferror((saleFMV - postMergerBasis) * (avgoQty - lotFractionAmount), 0))</f>
        <v>0</v>
      </c>
      <c r="AV73" s="328">
        <f>LET(
avgoQty,AE74, 
purchaseDate,C74,
postMergerSaleDate,Reference!$B$29,
saleFMV,Reference!$B$10,
postMergerBasis,AT74, 
IFERROR(IF(DATEDIF(purchaseDate,postMergerSaleDate,"Y")&gt;=1,
  0,
  avgoQty * (saleFMV - postMergerBasis)
),0))</f>
        <v>0</v>
      </c>
      <c r="AW73" s="331">
        <f>LET(
avgoQty,AE73, 
purchaseDate,C73,
postMergerSaleDate,Reference!$B$29,
saleFMV,Reference!$B$10,
postMergerBasis,AT73, 
IFERROR(IF(DATEDIF(purchaseDate,postMergerSaleDate,"Y")&gt;=1,
  avgoQty * (saleFMV - postMergerBasis),
  0
),0))</f>
        <v>0</v>
      </c>
    </row>
    <row r="74">
      <c r="A74" s="431" t="s">
        <v>235</v>
      </c>
      <c r="B74" s="432">
        <v>44501.0</v>
      </c>
      <c r="C74" s="301">
        <v>44866.0</v>
      </c>
      <c r="D74" s="332"/>
      <c r="E74" s="433">
        <v>112.62</v>
      </c>
      <c r="F74" s="443"/>
      <c r="G74" s="305">
        <f t="shared" si="6"/>
        <v>0</v>
      </c>
      <c r="H74" s="317">
        <f t="shared" si="7"/>
        <v>0</v>
      </c>
      <c r="I74" s="444"/>
      <c r="J74" s="342" t="b">
        <v>0</v>
      </c>
      <c r="K74" s="436"/>
      <c r="L74" s="311">
        <v>0.0</v>
      </c>
      <c r="M74" s="311">
        <v>0.0</v>
      </c>
      <c r="N74" s="311">
        <v>0.0</v>
      </c>
      <c r="O74" s="311">
        <v>0.0</v>
      </c>
      <c r="P74" s="311">
        <v>0.0</v>
      </c>
      <c r="Q74" s="313">
        <f t="shared" si="8"/>
        <v>0</v>
      </c>
      <c r="R74" s="313" t="str">
        <f>SWITCH(S74,"cash",Reference!E$5,"shares",Reference!$E$6,"balance",Reference!$E$7,"pro-rata",Reference!$B$5)</f>
        <v>#DIV/0!</v>
      </c>
      <c r="S74" s="314" t="s">
        <v>205</v>
      </c>
      <c r="T74" s="315">
        <f>LET(numVmwShares,D74, cashRatio,Reference!$B$4, vmwFinalPrice,Reference!$B$3, numVmwShares * cashRatio * vmwFinalPrice)</f>
        <v>0</v>
      </c>
      <c r="U74" s="315">
        <f>iferror(LET(numVmwShares,$D74, stockRatio,Q74, vmwFinalPrice,Reference!$B$3, (1 - stockRatio) * vmwFinalPrice * numVmwShares),0)</f>
        <v>0</v>
      </c>
      <c r="V74" s="315">
        <f>iferror(LET(numVmwShares,$D74, stockRatio,R74, vmwFinalPrice,Reference!$B$3, (1 - stockRatio) * vmwFinalPrice * numVmwShares),0)</f>
        <v>0</v>
      </c>
      <c r="W74" s="315">
        <f>SWITCH(Reference!$E$4,"eTradeTransactionLog", T74, "eTradeHoldingRatio",T74, "eTradeLotQtyRatio",U74,"manualLotRatio",V74)</f>
        <v>0</v>
      </c>
      <c r="X74" s="305">
        <f>LET(purchaseDate,C74, dateOfRecord,Reference!$B$26, returnOfCapital,Reference!$C$26, IF(purchaseDate &lt; dateOfRecord, returnOfCapital,0))</f>
        <v>0</v>
      </c>
      <c r="Y74" s="305">
        <f>LET(purchaseDate,C74, dateOfRecord,Reference!$B$27, returnOfCapital,Reference!$C$27, IF(purchaseDate &lt; dateOfRecord, returnOfCapital,0))</f>
        <v>0</v>
      </c>
      <c r="Z74" s="305">
        <f t="shared" si="9"/>
        <v>112.62</v>
      </c>
      <c r="AA74" s="305">
        <f t="shared" si="10"/>
        <v>0</v>
      </c>
      <c r="AB74" s="316">
        <f>LET(numVmwShares,D74, stockRatio,Reference!$B$5, vmwToAvgoRatio,Reference!$B$6, numVmwShares * stockRatio * vmwToAvgoRatio)</f>
        <v>0</v>
      </c>
      <c r="AC74" s="316">
        <f>LET(numVmwShares,D74, stockRatio,Q74, vmwToAvgoRatio,Reference!$B$6, numVmwShares * stockRatio * vmwToAvgoRatio)</f>
        <v>0</v>
      </c>
      <c r="AD74" s="316" t="str">
        <f>LET(numVmwShares,D74, stockRatio,R74, vmwToAvgoRatio,Reference!$B$6, numVmwShares * stockRatio * vmwToAvgoRatio)</f>
        <v>#DIV/0!</v>
      </c>
      <c r="AE74" s="316">
        <f>SWITCH(Reference!$E$4, "eTradeTransactionLog", AB74, "eTradeHoldingRatio",AB74, "eTradeLotQtyRatio",AC74,"manualLotRatio",AD74)</f>
        <v>0</v>
      </c>
      <c r="AF74" s="317">
        <f>LET(numVmwShares,D74, vmwBasis,Z74, avgoQty,AE74, avgoFMV,Reference!$B$18, cashReceived,W74, gain,cashReceived+(avgoQty*avgoFMV)-(numVmwShares*vmwBasis),
MAX(gain,0))</f>
        <v>0</v>
      </c>
      <c r="AG74" s="318">
        <f>LET(useForFraction,J74, fractionAmount,Summary!$C$41, esppFractionLots,ESPP!$N$5, rsuFractionLots,RSU!J$5, IF(useForFraction, fractionAmount / (esppFractionLots+rsuFractionLots), 0))</f>
        <v>0</v>
      </c>
      <c r="AH74" s="438">
        <f>LET(useForFraction,J74, fractionSaleFMV,Reference!$B$23, postMergerBasis,AT74, lotFractionAmount,AG74, IF(useForFraction, (fractionSaleFMV - postMergerBasis)*lotFractionAmount, 0))</f>
        <v>0</v>
      </c>
      <c r="AI74" s="439">
        <f t="shared" si="11"/>
        <v>0</v>
      </c>
      <c r="AJ74" s="440">
        <f>LET(
purchaseDate,C74,
mergerDate,Reference!$B$28,
lotFractionGain,AH74,
mergerGain,AI74,
IF(DATEDIF(purchaseDate,mergerDate,"Y")&gt;=1,
  0,
  lotFractionGain + mergerGain
))</f>
        <v>0</v>
      </c>
      <c r="AK74" s="440">
        <f>LET(
purchaseDate,C74,
mergerDate,Reference!$B$28,
lotFractionGain,AH74,
mergerGain,AI74,
IF(DATEDIF(purchaseDate,mergerDate,"Y")&gt;=1,
  lotFractionGain+mergerGain,
  0
))</f>
        <v>0</v>
      </c>
      <c r="AL74" s="441" t="str">
        <f>IF(DATEDIF(C74,Reference!$B$28,"Y")&gt;=1,"Part II Box E","Part I Box B")</f>
        <v>Part II Box E</v>
      </c>
      <c r="AM74" s="336">
        <f t="shared" si="12"/>
        <v>44866</v>
      </c>
      <c r="AN74" s="337">
        <f t="shared" si="13"/>
        <v>0</v>
      </c>
      <c r="AO74" s="337">
        <f>LET(
cashReceived,W74, 
avgoQty,AE74, 
proceedsStyle,Reference!$E$9, 
avgoFMV,Reference!$B$18, 
SWITCH(proceedsStyle, "combined", cashReceived +(avgoQty*avgoFMV), "cashOnly", cashReceived))</f>
        <v>0</v>
      </c>
      <c r="AP74" s="338">
        <f>LET(
numVmwShares,D74, 
vmwBasis, Z74, 
avgoQty,AE74, 
avgoFMV,Reference!$B$18, 
cashReceived,W74, 
avgoTotalValue, avgoFMV*avgoQty, 
vmwTotalBasis, vmwBasis*numVmwShares,
alternateGainAmount,AF74, 
IF(cashReceived&lt;alternateGainAmount,
  avgoTotalValue,
  vmwTotalBasis
))</f>
        <v>0</v>
      </c>
      <c r="AQ74" s="338" t="str">
        <f t="shared" si="14"/>
        <v/>
      </c>
      <c r="AR74" s="338">
        <v>0.0</v>
      </c>
      <c r="AS74" s="339">
        <f t="shared" si="15"/>
        <v>0</v>
      </c>
      <c r="AT74" s="442" t="str">
        <f t="shared" si="16"/>
        <v>n/a</v>
      </c>
      <c r="AU74" s="328">
        <f>LET(saleFMV,Reference!$B$10, postMergerBasis,AT74, avgoQty,AE74, lotFractionAmount,AG74, iferror((saleFMV - postMergerBasis) * (avgoQty - lotFractionAmount), 0))</f>
        <v>0</v>
      </c>
      <c r="AV74" s="328">
        <f>LET(
avgoQty,AE75, 
purchaseDate,C75,
postMergerSaleDate,Reference!$B$29,
saleFMV,Reference!$B$10,
postMergerBasis,AT75, 
IFERROR(IF(DATEDIF(purchaseDate,postMergerSaleDate,"Y")&gt;=1,
  0,
  avgoQty * (saleFMV - postMergerBasis)
),0))</f>
        <v>0</v>
      </c>
      <c r="AW74" s="331">
        <f>LET(
avgoQty,AE74, 
purchaseDate,C74,
postMergerSaleDate,Reference!$B$29,
saleFMV,Reference!$B$10,
postMergerBasis,AT74, 
IFERROR(IF(DATEDIF(purchaseDate,postMergerSaleDate,"Y")&gt;=1,
  avgoQty * (saleFMV - postMergerBasis),
  0
),0))</f>
        <v>0</v>
      </c>
    </row>
    <row r="75">
      <c r="A75" s="431" t="s">
        <v>234</v>
      </c>
      <c r="B75" s="432">
        <v>44501.0</v>
      </c>
      <c r="C75" s="301">
        <v>44896.0</v>
      </c>
      <c r="D75" s="332"/>
      <c r="E75" s="433">
        <v>121.68</v>
      </c>
      <c r="F75" s="443"/>
      <c r="G75" s="305">
        <f t="shared" si="6"/>
        <v>0</v>
      </c>
      <c r="H75" s="317">
        <f t="shared" si="7"/>
        <v>0</v>
      </c>
      <c r="I75" s="444"/>
      <c r="J75" s="342" t="b">
        <v>0</v>
      </c>
      <c r="K75" s="436"/>
      <c r="L75" s="311">
        <v>0.0</v>
      </c>
      <c r="M75" s="311">
        <v>0.0</v>
      </c>
      <c r="N75" s="311">
        <v>0.0</v>
      </c>
      <c r="O75" s="311">
        <v>0.0</v>
      </c>
      <c r="P75" s="311">
        <v>0.0</v>
      </c>
      <c r="Q75" s="313">
        <f t="shared" si="8"/>
        <v>0</v>
      </c>
      <c r="R75" s="313" t="str">
        <f>SWITCH(S75,"cash",Reference!E$5,"shares",Reference!$E$6,"balance",Reference!$E$7,"pro-rata",Reference!$B$5)</f>
        <v>#DIV/0!</v>
      </c>
      <c r="S75" s="314" t="s">
        <v>205</v>
      </c>
      <c r="T75" s="315">
        <f>LET(numVmwShares,D75, cashRatio,Reference!$B$4, vmwFinalPrice,Reference!$B$3, numVmwShares * cashRatio * vmwFinalPrice)</f>
        <v>0</v>
      </c>
      <c r="U75" s="315">
        <f>iferror(LET(numVmwShares,$D75, stockRatio,Q75, vmwFinalPrice,Reference!$B$3, (1 - stockRatio) * vmwFinalPrice * numVmwShares),0)</f>
        <v>0</v>
      </c>
      <c r="V75" s="315">
        <f>iferror(LET(numVmwShares,$D75, stockRatio,R75, vmwFinalPrice,Reference!$B$3, (1 - stockRatio) * vmwFinalPrice * numVmwShares),0)</f>
        <v>0</v>
      </c>
      <c r="W75" s="315">
        <f>SWITCH(Reference!$E$4,"eTradeTransactionLog", T75, "eTradeHoldingRatio",T75, "eTradeLotQtyRatio",U75,"manualLotRatio",V75)</f>
        <v>0</v>
      </c>
      <c r="X75" s="305">
        <f>LET(purchaseDate,C75, dateOfRecord,Reference!$B$26, returnOfCapital,Reference!$C$26, IF(purchaseDate &lt; dateOfRecord, returnOfCapital,0))</f>
        <v>0</v>
      </c>
      <c r="Y75" s="305">
        <f>LET(purchaseDate,C75, dateOfRecord,Reference!$B$27, returnOfCapital,Reference!$C$27, IF(purchaseDate &lt; dateOfRecord, returnOfCapital,0))</f>
        <v>0</v>
      </c>
      <c r="Z75" s="305">
        <f t="shared" si="9"/>
        <v>121.68</v>
      </c>
      <c r="AA75" s="305">
        <f t="shared" si="10"/>
        <v>0</v>
      </c>
      <c r="AB75" s="316">
        <f>LET(numVmwShares,D75, stockRatio,Reference!$B$5, vmwToAvgoRatio,Reference!$B$6, numVmwShares * stockRatio * vmwToAvgoRatio)</f>
        <v>0</v>
      </c>
      <c r="AC75" s="316">
        <f>LET(numVmwShares,D75, stockRatio,Q75, vmwToAvgoRatio,Reference!$B$6, numVmwShares * stockRatio * vmwToAvgoRatio)</f>
        <v>0</v>
      </c>
      <c r="AD75" s="316" t="str">
        <f>LET(numVmwShares,D75, stockRatio,R75, vmwToAvgoRatio,Reference!$B$6, numVmwShares * stockRatio * vmwToAvgoRatio)</f>
        <v>#DIV/0!</v>
      </c>
      <c r="AE75" s="316">
        <f>SWITCH(Reference!$E$4, "eTradeTransactionLog", AB75, "eTradeHoldingRatio",AB75, "eTradeLotQtyRatio",AC75,"manualLotRatio",AD75)</f>
        <v>0</v>
      </c>
      <c r="AF75" s="317">
        <f>LET(numVmwShares,D75, vmwBasis,Z75, avgoQty,AE75, avgoFMV,Reference!$B$18, cashReceived,W75, gain,cashReceived+(avgoQty*avgoFMV)-(numVmwShares*vmwBasis),
MAX(gain,0))</f>
        <v>0</v>
      </c>
      <c r="AG75" s="318">
        <f>LET(useForFraction,J75, fractionAmount,Summary!$C$41, esppFractionLots,ESPP!$N$5, rsuFractionLots,RSU!J$5, IF(useForFraction, fractionAmount / (esppFractionLots+rsuFractionLots), 0))</f>
        <v>0</v>
      </c>
      <c r="AH75" s="438">
        <f>LET(useForFraction,J75, fractionSaleFMV,Reference!$B$23, postMergerBasis,AT75, lotFractionAmount,AG75, IF(useForFraction, (fractionSaleFMV - postMergerBasis)*lotFractionAmount, 0))</f>
        <v>0</v>
      </c>
      <c r="AI75" s="439">
        <f t="shared" si="11"/>
        <v>0</v>
      </c>
      <c r="AJ75" s="440">
        <f>LET(
purchaseDate,C75,
mergerDate,Reference!$B$28,
lotFractionGain,AH75,
mergerGain,AI75,
IF(DATEDIF(purchaseDate,mergerDate,"Y")&gt;=1,
  0,
  lotFractionGain + mergerGain
))</f>
        <v>0</v>
      </c>
      <c r="AK75" s="440">
        <f>LET(
purchaseDate,C75,
mergerDate,Reference!$B$28,
lotFractionGain,AH75,
mergerGain,AI75,
IF(DATEDIF(purchaseDate,mergerDate,"Y")&gt;=1,
  lotFractionGain+mergerGain,
  0
))</f>
        <v>0</v>
      </c>
      <c r="AL75" s="441" t="str">
        <f>IF(DATEDIF(C75,Reference!$B$28,"Y")&gt;=1,"Part II Box E","Part I Box B")</f>
        <v>Part I Box B</v>
      </c>
      <c r="AM75" s="336">
        <f t="shared" si="12"/>
        <v>44896</v>
      </c>
      <c r="AN75" s="337">
        <f t="shared" si="13"/>
        <v>0</v>
      </c>
      <c r="AO75" s="337">
        <f>LET(
cashReceived,W75, 
avgoQty,AE75, 
proceedsStyle,Reference!$E$9, 
avgoFMV,Reference!$B$18, 
SWITCH(proceedsStyle, "combined", cashReceived +(avgoQty*avgoFMV), "cashOnly", cashReceived))</f>
        <v>0</v>
      </c>
      <c r="AP75" s="338">
        <f>LET(
numVmwShares,D75, 
vmwBasis, Z75, 
avgoQty,AE75, 
avgoFMV,Reference!$B$18, 
cashReceived,W75, 
avgoTotalValue, avgoFMV*avgoQty, 
vmwTotalBasis, vmwBasis*numVmwShares,
alternateGainAmount,AF75, 
IF(cashReceived&lt;alternateGainAmount,
  avgoTotalValue,
  vmwTotalBasis
))</f>
        <v>0</v>
      </c>
      <c r="AQ75" s="338" t="str">
        <f t="shared" si="14"/>
        <v/>
      </c>
      <c r="AR75" s="338">
        <v>0.0</v>
      </c>
      <c r="AS75" s="339">
        <f t="shared" si="15"/>
        <v>0</v>
      </c>
      <c r="AT75" s="442" t="str">
        <f t="shared" si="16"/>
        <v>n/a</v>
      </c>
      <c r="AU75" s="328">
        <f>LET(saleFMV,Reference!$B$10, postMergerBasis,AT75, avgoQty,AE75, lotFractionAmount,AG75, iferror((saleFMV - postMergerBasis) * (avgoQty - lotFractionAmount), 0))</f>
        <v>0</v>
      </c>
      <c r="AV75" s="328">
        <f>LET(
avgoQty,AE76, 
purchaseDate,C76,
postMergerSaleDate,Reference!$B$29,
saleFMV,Reference!$B$10,
postMergerBasis,AT76, 
IFERROR(IF(DATEDIF(purchaseDate,postMergerSaleDate,"Y")&gt;=1,
  0,
  avgoQty * (saleFMV - postMergerBasis)
),0))</f>
        <v>0</v>
      </c>
      <c r="AW75" s="331">
        <f>LET(
avgoQty,AE75, 
purchaseDate,C75,
postMergerSaleDate,Reference!$B$29,
saleFMV,Reference!$B$10,
postMergerBasis,AT75, 
IFERROR(IF(DATEDIF(purchaseDate,postMergerSaleDate,"Y")&gt;=1,
  avgoQty * (saleFMV - postMergerBasis),
  0
),0))</f>
        <v>0</v>
      </c>
    </row>
    <row r="76">
      <c r="A76" s="431"/>
      <c r="B76" s="447"/>
      <c r="C76" s="448">
        <v>44927.0</v>
      </c>
      <c r="D76" s="332"/>
      <c r="E76" s="433">
        <v>122.76</v>
      </c>
      <c r="F76" s="443"/>
      <c r="G76" s="305">
        <f t="shared" si="6"/>
        <v>0</v>
      </c>
      <c r="H76" s="317">
        <f t="shared" si="7"/>
        <v>0</v>
      </c>
      <c r="I76" s="444"/>
      <c r="J76" s="342" t="b">
        <v>0</v>
      </c>
      <c r="K76" s="436"/>
      <c r="L76" s="311">
        <v>0.0</v>
      </c>
      <c r="M76" s="311">
        <v>0.0</v>
      </c>
      <c r="N76" s="311">
        <v>0.0</v>
      </c>
      <c r="O76" s="311">
        <v>0.0</v>
      </c>
      <c r="P76" s="311">
        <v>0.0</v>
      </c>
      <c r="Q76" s="313">
        <f t="shared" si="8"/>
        <v>0</v>
      </c>
      <c r="R76" s="313" t="str">
        <f>SWITCH(S76,"cash",Reference!E$5,"shares",Reference!$E$6,"balance",Reference!$E$7,"pro-rata",Reference!$B$5)</f>
        <v>#DIV/0!</v>
      </c>
      <c r="S76" s="314" t="s">
        <v>205</v>
      </c>
      <c r="T76" s="315">
        <f>LET(numVmwShares,D76, cashRatio,Reference!$B$4, vmwFinalPrice,Reference!$B$3, numVmwShares * cashRatio * vmwFinalPrice)</f>
        <v>0</v>
      </c>
      <c r="U76" s="315">
        <f>iferror(LET(numVmwShares,$D76, stockRatio,Q76, vmwFinalPrice,Reference!$B$3, (1 - stockRatio) * vmwFinalPrice * numVmwShares),0)</f>
        <v>0</v>
      </c>
      <c r="V76" s="315">
        <f>iferror(LET(numVmwShares,$D76, stockRatio,R76, vmwFinalPrice,Reference!$B$3, (1 - stockRatio) * vmwFinalPrice * numVmwShares),0)</f>
        <v>0</v>
      </c>
      <c r="W76" s="315">
        <f>SWITCH(Reference!$E$4,"eTradeTransactionLog", T76, "eTradeHoldingRatio",T76, "eTradeLotQtyRatio",U76,"manualLotRatio",V76)</f>
        <v>0</v>
      </c>
      <c r="X76" s="305">
        <f>LET(purchaseDate,C76, dateOfRecord,Reference!$B$26, returnOfCapital,Reference!$C$26, IF(purchaseDate &lt; dateOfRecord, returnOfCapital,0))</f>
        <v>0</v>
      </c>
      <c r="Y76" s="305">
        <f>LET(purchaseDate,C76, dateOfRecord,Reference!$B$27, returnOfCapital,Reference!$C$27, IF(purchaseDate &lt; dateOfRecord, returnOfCapital,0))</f>
        <v>0</v>
      </c>
      <c r="Z76" s="305">
        <f t="shared" si="9"/>
        <v>122.76</v>
      </c>
      <c r="AA76" s="305">
        <f t="shared" si="10"/>
        <v>0</v>
      </c>
      <c r="AB76" s="316">
        <f>LET(numVmwShares,D76, stockRatio,Reference!$B$5, vmwToAvgoRatio,Reference!$B$6, numVmwShares * stockRatio * vmwToAvgoRatio)</f>
        <v>0</v>
      </c>
      <c r="AC76" s="316">
        <f>LET(numVmwShares,D76, stockRatio,Q76, vmwToAvgoRatio,Reference!$B$6, numVmwShares * stockRatio * vmwToAvgoRatio)</f>
        <v>0</v>
      </c>
      <c r="AD76" s="316" t="str">
        <f>LET(numVmwShares,D76, stockRatio,R76, vmwToAvgoRatio,Reference!$B$6, numVmwShares * stockRatio * vmwToAvgoRatio)</f>
        <v>#DIV/0!</v>
      </c>
      <c r="AE76" s="316">
        <f>SWITCH(Reference!$E$4, "eTradeTransactionLog", AB76, "eTradeHoldingRatio",AB76, "eTradeLotQtyRatio",AC76,"manualLotRatio",AD76)</f>
        <v>0</v>
      </c>
      <c r="AF76" s="317">
        <f>LET(numVmwShares,D76, vmwBasis,Z76, avgoQty,AE76, avgoFMV,Reference!$B$18, cashReceived,W76, gain,cashReceived+(avgoQty*avgoFMV)-(numVmwShares*vmwBasis),
MAX(gain,0))</f>
        <v>0</v>
      </c>
      <c r="AG76" s="318">
        <f>LET(useForFraction,J76, fractionAmount,Summary!$C$41, esppFractionLots,ESPP!$N$5, rsuFractionLots,RSU!J$5, IF(useForFraction, fractionAmount / (esppFractionLots+rsuFractionLots), 0))</f>
        <v>0</v>
      </c>
      <c r="AH76" s="438">
        <f>LET(useForFraction,J76, fractionSaleFMV,Reference!$B$23, postMergerBasis,AT76, lotFractionAmount,AG76, IF(useForFraction, (fractionSaleFMV - postMergerBasis)*lotFractionAmount, 0))</f>
        <v>0</v>
      </c>
      <c r="AI76" s="439">
        <f t="shared" si="11"/>
        <v>0</v>
      </c>
      <c r="AJ76" s="440">
        <f>LET(
purchaseDate,C76,
mergerDate,Reference!$B$28,
lotFractionGain,AH76,
mergerGain,AI76,
IF(DATEDIF(purchaseDate,mergerDate,"Y")&gt;=1,
  0,
  lotFractionGain + mergerGain
))</f>
        <v>0</v>
      </c>
      <c r="AK76" s="440">
        <f>LET(
purchaseDate,C76,
mergerDate,Reference!$B$28,
lotFractionGain,AH76,
mergerGain,AI76,
IF(DATEDIF(purchaseDate,mergerDate,"Y")&gt;=1,
  lotFractionGain+mergerGain,
  0
))</f>
        <v>0</v>
      </c>
      <c r="AL76" s="441" t="str">
        <f>IF(DATEDIF(C76,Reference!$B$28,"Y")&gt;=1,"Part II Box E","Part I Box B")</f>
        <v>Part I Box B</v>
      </c>
      <c r="AM76" s="336">
        <f t="shared" si="12"/>
        <v>44927</v>
      </c>
      <c r="AN76" s="337">
        <f t="shared" si="13"/>
        <v>0</v>
      </c>
      <c r="AO76" s="337">
        <f>LET(
cashReceived,W76, 
avgoQty,AE76, 
proceedsStyle,Reference!$E$9, 
avgoFMV,Reference!$B$18, 
SWITCH(proceedsStyle, "combined", cashReceived +(avgoQty*avgoFMV), "cashOnly", cashReceived))</f>
        <v>0</v>
      </c>
      <c r="AP76" s="338">
        <f>LET(
numVmwShares,D76, 
vmwBasis, Z76, 
avgoQty,AE76, 
avgoFMV,Reference!$B$18, 
cashReceived,W76, 
avgoTotalValue, avgoFMV*avgoQty, 
vmwTotalBasis, vmwBasis*numVmwShares,
alternateGainAmount,AF76, 
IF(cashReceived&lt;alternateGainAmount,
  avgoTotalValue,
  vmwTotalBasis
))</f>
        <v>0</v>
      </c>
      <c r="AQ76" s="338" t="str">
        <f t="shared" si="14"/>
        <v/>
      </c>
      <c r="AR76" s="338">
        <v>0.0</v>
      </c>
      <c r="AS76" s="339">
        <f t="shared" si="15"/>
        <v>0</v>
      </c>
      <c r="AT76" s="442" t="str">
        <f t="shared" si="16"/>
        <v>n/a</v>
      </c>
      <c r="AU76" s="328">
        <f>LET(saleFMV,Reference!$B$10, postMergerBasis,AT76, avgoQty,AE76, lotFractionAmount,AG76, iferror((saleFMV - postMergerBasis) * (avgoQty - lotFractionAmount), 0))</f>
        <v>0</v>
      </c>
      <c r="AV76" s="328">
        <f>LET(
avgoQty,AE77, 
purchaseDate,C77,
postMergerSaleDate,Reference!$B$29,
saleFMV,Reference!$B$10,
postMergerBasis,AT77, 
IFERROR(IF(DATEDIF(purchaseDate,postMergerSaleDate,"Y")&gt;=1,
  0,
  avgoQty * (saleFMV - postMergerBasis)
),0))</f>
        <v>0</v>
      </c>
      <c r="AW76" s="331">
        <f>LET(
avgoQty,AE76, 
purchaseDate,C76,
postMergerSaleDate,Reference!$B$29,
saleFMV,Reference!$B$10,
postMergerBasis,AT76, 
IFERROR(IF(DATEDIF(purchaseDate,postMergerSaleDate,"Y")&gt;=1,
  avgoQty * (saleFMV - postMergerBasis),
  0
),0))</f>
        <v>0</v>
      </c>
    </row>
    <row r="77">
      <c r="A77" s="431" t="s">
        <v>235</v>
      </c>
      <c r="B77" s="432">
        <v>44501.0</v>
      </c>
      <c r="C77" s="301">
        <v>44958.0</v>
      </c>
      <c r="D77" s="332"/>
      <c r="E77" s="433">
        <v>123.34</v>
      </c>
      <c r="F77" s="443"/>
      <c r="G77" s="305">
        <f t="shared" si="6"/>
        <v>0</v>
      </c>
      <c r="H77" s="317">
        <f t="shared" si="7"/>
        <v>0</v>
      </c>
      <c r="I77" s="446"/>
      <c r="J77" s="342" t="b">
        <v>0</v>
      </c>
      <c r="K77" s="436"/>
      <c r="L77" s="311">
        <v>0.0</v>
      </c>
      <c r="M77" s="311">
        <v>0.0</v>
      </c>
      <c r="N77" s="311">
        <v>0.0</v>
      </c>
      <c r="O77" s="311">
        <v>0.0</v>
      </c>
      <c r="P77" s="311">
        <v>0.0</v>
      </c>
      <c r="Q77" s="313">
        <f t="shared" si="8"/>
        <v>0</v>
      </c>
      <c r="R77" s="313" t="str">
        <f>SWITCH(S77,"cash",Reference!E$5,"shares",Reference!$E$6,"balance",Reference!$E$7,"pro-rata",Reference!$B$5)</f>
        <v>#DIV/0!</v>
      </c>
      <c r="S77" s="314" t="s">
        <v>205</v>
      </c>
      <c r="T77" s="315">
        <f>LET(numVmwShares,D77, cashRatio,Reference!$B$4, vmwFinalPrice,Reference!$B$3, numVmwShares * cashRatio * vmwFinalPrice)</f>
        <v>0</v>
      </c>
      <c r="U77" s="315">
        <f>iferror(LET(numVmwShares,$D77, stockRatio,Q77, vmwFinalPrice,Reference!$B$3, (1 - stockRatio) * vmwFinalPrice * numVmwShares),0)</f>
        <v>0</v>
      </c>
      <c r="V77" s="315">
        <f>iferror(LET(numVmwShares,$D77, stockRatio,R77, vmwFinalPrice,Reference!$B$3, (1 - stockRatio) * vmwFinalPrice * numVmwShares),0)</f>
        <v>0</v>
      </c>
      <c r="W77" s="315">
        <f>SWITCH(Reference!$E$4,"eTradeTransactionLog", T77, "eTradeHoldingRatio",T77, "eTradeLotQtyRatio",U77,"manualLotRatio",V77)</f>
        <v>0</v>
      </c>
      <c r="X77" s="305">
        <f>LET(purchaseDate,C77, dateOfRecord,Reference!$B$26, returnOfCapital,Reference!$C$26, IF(purchaseDate &lt; dateOfRecord, returnOfCapital,0))</f>
        <v>0</v>
      </c>
      <c r="Y77" s="305">
        <f>LET(purchaseDate,C77, dateOfRecord,Reference!$B$27, returnOfCapital,Reference!$C$27, IF(purchaseDate &lt; dateOfRecord, returnOfCapital,0))</f>
        <v>0</v>
      </c>
      <c r="Z77" s="305">
        <f t="shared" si="9"/>
        <v>123.34</v>
      </c>
      <c r="AA77" s="305">
        <f t="shared" si="10"/>
        <v>0</v>
      </c>
      <c r="AB77" s="316">
        <f>LET(numVmwShares,D77, stockRatio,Reference!$B$5, vmwToAvgoRatio,Reference!$B$6, numVmwShares * stockRatio * vmwToAvgoRatio)</f>
        <v>0</v>
      </c>
      <c r="AC77" s="316">
        <f>LET(numVmwShares,D77, stockRatio,Q77, vmwToAvgoRatio,Reference!$B$6, numVmwShares * stockRatio * vmwToAvgoRatio)</f>
        <v>0</v>
      </c>
      <c r="AD77" s="316" t="str">
        <f>LET(numVmwShares,D77, stockRatio,R77, vmwToAvgoRatio,Reference!$B$6, numVmwShares * stockRatio * vmwToAvgoRatio)</f>
        <v>#DIV/0!</v>
      </c>
      <c r="AE77" s="316">
        <f>SWITCH(Reference!$E$4, "eTradeTransactionLog", AB77, "eTradeHoldingRatio",AB77, "eTradeLotQtyRatio",AC77,"manualLotRatio",AD77)</f>
        <v>0</v>
      </c>
      <c r="AF77" s="317">
        <f>LET(numVmwShares,D77, vmwBasis,Z77, avgoQty,AE77, avgoFMV,Reference!$B$18, cashReceived,W77, gain,cashReceived+(avgoQty*avgoFMV)-(numVmwShares*vmwBasis),
MAX(gain,0))</f>
        <v>0</v>
      </c>
      <c r="AG77" s="318">
        <f>LET(useForFraction,J77, fractionAmount,Summary!$C$41, esppFractionLots,ESPP!$N$5, rsuFractionLots,RSU!J$5, IF(useForFraction, fractionAmount / (esppFractionLots+rsuFractionLots), 0))</f>
        <v>0</v>
      </c>
      <c r="AH77" s="438">
        <f>LET(useForFraction,J77, fractionSaleFMV,Reference!$B$23, postMergerBasis,AT77, lotFractionAmount,AG77, IF(useForFraction, (fractionSaleFMV - postMergerBasis)*lotFractionAmount, 0))</f>
        <v>0</v>
      </c>
      <c r="AI77" s="439">
        <f t="shared" si="11"/>
        <v>0</v>
      </c>
      <c r="AJ77" s="440">
        <f>LET(
purchaseDate,C77,
mergerDate,Reference!$B$28,
lotFractionGain,AH77,
mergerGain,AI77,
IF(DATEDIF(purchaseDate,mergerDate,"Y")&gt;=1,
  0,
  lotFractionGain + mergerGain
))</f>
        <v>0</v>
      </c>
      <c r="AK77" s="440">
        <f>LET(
purchaseDate,C77,
mergerDate,Reference!$B$28,
lotFractionGain,AH77,
mergerGain,AI77,
IF(DATEDIF(purchaseDate,mergerDate,"Y")&gt;=1,
  lotFractionGain+mergerGain,
  0
))</f>
        <v>0</v>
      </c>
      <c r="AL77" s="441" t="str">
        <f>IF(DATEDIF(C77,Reference!$B$28,"Y")&gt;=1,"Part II Box E","Part I Box B")</f>
        <v>Part I Box B</v>
      </c>
      <c r="AM77" s="336">
        <f t="shared" si="12"/>
        <v>44958</v>
      </c>
      <c r="AN77" s="337">
        <f t="shared" si="13"/>
        <v>0</v>
      </c>
      <c r="AO77" s="337">
        <f>LET(
cashReceived,W77, 
avgoQty,AE77, 
proceedsStyle,Reference!$E$9, 
avgoFMV,Reference!$B$18, 
SWITCH(proceedsStyle, "combined", cashReceived +(avgoQty*avgoFMV), "cashOnly", cashReceived))</f>
        <v>0</v>
      </c>
      <c r="AP77" s="338">
        <f>LET(
numVmwShares,D77, 
vmwBasis, Z77, 
avgoQty,AE77, 
avgoFMV,Reference!$B$18, 
cashReceived,W77, 
avgoTotalValue, avgoFMV*avgoQty, 
vmwTotalBasis, vmwBasis*numVmwShares,
alternateGainAmount,AF77, 
IF(cashReceived&lt;alternateGainAmount,
  avgoTotalValue,
  vmwTotalBasis
))</f>
        <v>0</v>
      </c>
      <c r="AQ77" s="338" t="str">
        <f t="shared" si="14"/>
        <v/>
      </c>
      <c r="AR77" s="338">
        <v>0.0</v>
      </c>
      <c r="AS77" s="339">
        <f t="shared" si="15"/>
        <v>0</v>
      </c>
      <c r="AT77" s="442" t="str">
        <f t="shared" si="16"/>
        <v>n/a</v>
      </c>
      <c r="AU77" s="328">
        <f>LET(saleFMV,Reference!$B$10, postMergerBasis,AT77, avgoQty,AE77, lotFractionAmount,AG77, iferror((saleFMV - postMergerBasis) * (avgoQty - lotFractionAmount), 0))</f>
        <v>0</v>
      </c>
      <c r="AV77" s="328">
        <f>LET(
avgoQty,AE78, 
purchaseDate,C78,
postMergerSaleDate,Reference!$B$29,
saleFMV,Reference!$B$10,
postMergerBasis,AT78, 
IFERROR(IF(DATEDIF(purchaseDate,postMergerSaleDate,"Y")&gt;=1,
  0,
  avgoQty * (saleFMV - postMergerBasis)
),0))</f>
        <v>0</v>
      </c>
      <c r="AW77" s="331">
        <f>LET(
avgoQty,AE77, 
purchaseDate,C77,
postMergerSaleDate,Reference!$B$29,
saleFMV,Reference!$B$10,
postMergerBasis,AT77, 
IFERROR(IF(DATEDIF(purchaseDate,postMergerSaleDate,"Y")&gt;=1,
  avgoQty * (saleFMV - postMergerBasis),
  0
),0))</f>
        <v>0</v>
      </c>
    </row>
    <row r="78">
      <c r="A78" s="431" t="s">
        <v>236</v>
      </c>
      <c r="B78" s="432">
        <v>44741.0</v>
      </c>
      <c r="C78" s="301">
        <v>44986.0</v>
      </c>
      <c r="D78" s="332"/>
      <c r="E78" s="433">
        <v>110.09</v>
      </c>
      <c r="F78" s="443"/>
      <c r="G78" s="305">
        <f t="shared" si="6"/>
        <v>0</v>
      </c>
      <c r="H78" s="317">
        <f t="shared" si="7"/>
        <v>0</v>
      </c>
      <c r="I78" s="444"/>
      <c r="J78" s="342" t="b">
        <v>0</v>
      </c>
      <c r="K78" s="436"/>
      <c r="L78" s="311">
        <v>0.0</v>
      </c>
      <c r="M78" s="311">
        <v>0.0</v>
      </c>
      <c r="N78" s="311">
        <v>0.0</v>
      </c>
      <c r="O78" s="311">
        <v>0.0</v>
      </c>
      <c r="P78" s="311">
        <v>0.0</v>
      </c>
      <c r="Q78" s="313">
        <f t="shared" si="8"/>
        <v>0</v>
      </c>
      <c r="R78" s="313" t="str">
        <f>SWITCH(S78,"cash",Reference!E$5,"shares",Reference!$E$6,"balance",Reference!$E$7,"pro-rata",Reference!$B$5)</f>
        <v>#DIV/0!</v>
      </c>
      <c r="S78" s="314" t="s">
        <v>205</v>
      </c>
      <c r="T78" s="315">
        <f>LET(numVmwShares,D78, cashRatio,Reference!$B$4, vmwFinalPrice,Reference!$B$3, numVmwShares * cashRatio * vmwFinalPrice)</f>
        <v>0</v>
      </c>
      <c r="U78" s="315">
        <f>iferror(LET(numVmwShares,$D78, stockRatio,Q78, vmwFinalPrice,Reference!$B$3, (1 - stockRatio) * vmwFinalPrice * numVmwShares),0)</f>
        <v>0</v>
      </c>
      <c r="V78" s="315">
        <f>iferror(LET(numVmwShares,$D78, stockRatio,R78, vmwFinalPrice,Reference!$B$3, (1 - stockRatio) * vmwFinalPrice * numVmwShares),0)</f>
        <v>0</v>
      </c>
      <c r="W78" s="315">
        <f>SWITCH(Reference!$E$4,"eTradeTransactionLog", T78, "eTradeHoldingRatio",T78, "eTradeLotQtyRatio",U78,"manualLotRatio",V78)</f>
        <v>0</v>
      </c>
      <c r="X78" s="305">
        <f>LET(purchaseDate,C78, dateOfRecord,Reference!$B$26, returnOfCapital,Reference!$C$26, IF(purchaseDate &lt; dateOfRecord, returnOfCapital,0))</f>
        <v>0</v>
      </c>
      <c r="Y78" s="305">
        <f>LET(purchaseDate,C78, dateOfRecord,Reference!$B$27, returnOfCapital,Reference!$C$27, IF(purchaseDate &lt; dateOfRecord, returnOfCapital,0))</f>
        <v>0</v>
      </c>
      <c r="Z78" s="305">
        <f t="shared" si="9"/>
        <v>110.09</v>
      </c>
      <c r="AA78" s="305">
        <f t="shared" si="10"/>
        <v>0</v>
      </c>
      <c r="AB78" s="316">
        <f>LET(numVmwShares,D78, stockRatio,Reference!$B$5, vmwToAvgoRatio,Reference!$B$6, numVmwShares * stockRatio * vmwToAvgoRatio)</f>
        <v>0</v>
      </c>
      <c r="AC78" s="316">
        <f>LET(numVmwShares,D78, stockRatio,Q78, vmwToAvgoRatio,Reference!$B$6, numVmwShares * stockRatio * vmwToAvgoRatio)</f>
        <v>0</v>
      </c>
      <c r="AD78" s="316" t="str">
        <f>LET(numVmwShares,D78, stockRatio,R78, vmwToAvgoRatio,Reference!$B$6, numVmwShares * stockRatio * vmwToAvgoRatio)</f>
        <v>#DIV/0!</v>
      </c>
      <c r="AE78" s="316">
        <f>SWITCH(Reference!$E$4, "eTradeTransactionLog", AB78, "eTradeHoldingRatio",AB78, "eTradeLotQtyRatio",AC78,"manualLotRatio",AD78)</f>
        <v>0</v>
      </c>
      <c r="AF78" s="317">
        <f>LET(numVmwShares,D78, vmwBasis,Z78, avgoQty,AE78, avgoFMV,Reference!$B$18, cashReceived,W78, gain,cashReceived+(avgoQty*avgoFMV)-(numVmwShares*vmwBasis),
MAX(gain,0))</f>
        <v>0</v>
      </c>
      <c r="AG78" s="318">
        <f>LET(useForFraction,J78, fractionAmount,Summary!$C$41, esppFractionLots,ESPP!$N$5, rsuFractionLots,RSU!J$5, IF(useForFraction, fractionAmount / (esppFractionLots+rsuFractionLots), 0))</f>
        <v>0</v>
      </c>
      <c r="AH78" s="438">
        <f>LET(useForFraction,J78, fractionSaleFMV,Reference!$B$23, postMergerBasis,AT78, lotFractionAmount,AG78, IF(useForFraction, (fractionSaleFMV - postMergerBasis)*lotFractionAmount, 0))</f>
        <v>0</v>
      </c>
      <c r="AI78" s="439">
        <f t="shared" si="11"/>
        <v>0</v>
      </c>
      <c r="AJ78" s="440">
        <f>LET(
purchaseDate,C78,
mergerDate,Reference!$B$28,
lotFractionGain,AH78,
mergerGain,AI78,
IF(DATEDIF(purchaseDate,mergerDate,"Y")&gt;=1,
  0,
  lotFractionGain + mergerGain
))</f>
        <v>0</v>
      </c>
      <c r="AK78" s="440">
        <f>LET(
purchaseDate,C78,
mergerDate,Reference!$B$28,
lotFractionGain,AH78,
mergerGain,AI78,
IF(DATEDIF(purchaseDate,mergerDate,"Y")&gt;=1,
  lotFractionGain+mergerGain,
  0
))</f>
        <v>0</v>
      </c>
      <c r="AL78" s="441" t="str">
        <f>IF(DATEDIF(C78,Reference!$B$28,"Y")&gt;=1,"Part II Box E","Part I Box B")</f>
        <v>Part I Box B</v>
      </c>
      <c r="AM78" s="336">
        <f t="shared" si="12"/>
        <v>44986</v>
      </c>
      <c r="AN78" s="337">
        <f t="shared" si="13"/>
        <v>0</v>
      </c>
      <c r="AO78" s="337">
        <f>LET(
cashReceived,W78, 
avgoQty,AE78, 
proceedsStyle,Reference!$E$9, 
avgoFMV,Reference!$B$18, 
SWITCH(proceedsStyle, "combined", cashReceived +(avgoQty*avgoFMV), "cashOnly", cashReceived))</f>
        <v>0</v>
      </c>
      <c r="AP78" s="338">
        <f>LET(
numVmwShares,D78, 
vmwBasis, Z78, 
avgoQty,AE78, 
avgoFMV,Reference!$B$18, 
cashReceived,W78, 
avgoTotalValue, avgoFMV*avgoQty, 
vmwTotalBasis, vmwBasis*numVmwShares,
alternateGainAmount,AF78, 
IF(cashReceived&lt;alternateGainAmount,
  avgoTotalValue,
  vmwTotalBasis
))</f>
        <v>0</v>
      </c>
      <c r="AQ78" s="338" t="str">
        <f t="shared" si="14"/>
        <v/>
      </c>
      <c r="AR78" s="338">
        <v>0.0</v>
      </c>
      <c r="AS78" s="339">
        <f t="shared" si="15"/>
        <v>0</v>
      </c>
      <c r="AT78" s="442" t="str">
        <f t="shared" si="16"/>
        <v>n/a</v>
      </c>
      <c r="AU78" s="328">
        <f>LET(saleFMV,Reference!$B$10, postMergerBasis,AT78, avgoQty,AE78, lotFractionAmount,AG78, iferror((saleFMV - postMergerBasis) * (avgoQty - lotFractionAmount), 0))</f>
        <v>0</v>
      </c>
      <c r="AV78" s="328">
        <f>LET(
avgoQty,AE79, 
purchaseDate,C79,
postMergerSaleDate,Reference!$B$29,
saleFMV,Reference!$B$10,
postMergerBasis,AT79, 
IFERROR(IF(DATEDIF(purchaseDate,postMergerSaleDate,"Y")&gt;=1,
  0,
  avgoQty * (saleFMV - postMergerBasis)
),0))</f>
        <v>0</v>
      </c>
      <c r="AW78" s="331">
        <f>LET(
avgoQty,AE78, 
purchaseDate,C78,
postMergerSaleDate,Reference!$B$29,
saleFMV,Reference!$B$10,
postMergerBasis,AT78, 
IFERROR(IF(DATEDIF(purchaseDate,postMergerSaleDate,"Y")&gt;=1,
  avgoQty * (saleFMV - postMergerBasis),
  0
),0))</f>
        <v>0</v>
      </c>
    </row>
    <row r="79">
      <c r="A79" s="431" t="s">
        <v>232</v>
      </c>
      <c r="B79" s="432">
        <v>44501.0</v>
      </c>
      <c r="C79" s="301">
        <v>45047.0</v>
      </c>
      <c r="D79" s="332"/>
      <c r="E79" s="433">
        <v>126.98</v>
      </c>
      <c r="F79" s="443"/>
      <c r="G79" s="305">
        <f t="shared" si="6"/>
        <v>0</v>
      </c>
      <c r="H79" s="317">
        <f t="shared" si="7"/>
        <v>0</v>
      </c>
      <c r="I79" s="444"/>
      <c r="J79" s="342" t="b">
        <v>0</v>
      </c>
      <c r="K79" s="436"/>
      <c r="L79" s="311">
        <v>0.0</v>
      </c>
      <c r="M79" s="311">
        <v>0.0</v>
      </c>
      <c r="N79" s="311">
        <v>0.0</v>
      </c>
      <c r="O79" s="311">
        <v>0.0</v>
      </c>
      <c r="P79" s="311">
        <v>0.0</v>
      </c>
      <c r="Q79" s="313">
        <f t="shared" si="8"/>
        <v>0</v>
      </c>
      <c r="R79" s="313" t="str">
        <f>SWITCH(S79,"cash",Reference!E$5,"shares",Reference!$E$6,"balance",Reference!$E$7,"pro-rata",Reference!$B$5)</f>
        <v>#DIV/0!</v>
      </c>
      <c r="S79" s="314" t="s">
        <v>205</v>
      </c>
      <c r="T79" s="315">
        <f>LET(numVmwShares,D79, cashRatio,Reference!$B$4, vmwFinalPrice,Reference!$B$3, numVmwShares * cashRatio * vmwFinalPrice)</f>
        <v>0</v>
      </c>
      <c r="U79" s="315">
        <f>iferror(LET(numVmwShares,$D79, stockRatio,Q79, vmwFinalPrice,Reference!$B$3, (1 - stockRatio) * vmwFinalPrice * numVmwShares),0)</f>
        <v>0</v>
      </c>
      <c r="V79" s="315">
        <f>iferror(LET(numVmwShares,$D79, stockRatio,R79, vmwFinalPrice,Reference!$B$3, (1 - stockRatio) * vmwFinalPrice * numVmwShares),0)</f>
        <v>0</v>
      </c>
      <c r="W79" s="315">
        <f>SWITCH(Reference!$E$4,"eTradeTransactionLog", T79, "eTradeHoldingRatio",T79, "eTradeLotQtyRatio",U79,"manualLotRatio",V79)</f>
        <v>0</v>
      </c>
      <c r="X79" s="305">
        <f>LET(purchaseDate,C79, dateOfRecord,Reference!$B$26, returnOfCapital,Reference!$C$26, IF(purchaseDate &lt; dateOfRecord, returnOfCapital,0))</f>
        <v>0</v>
      </c>
      <c r="Y79" s="305">
        <f>LET(purchaseDate,C79, dateOfRecord,Reference!$B$27, returnOfCapital,Reference!$C$27, IF(purchaseDate &lt; dateOfRecord, returnOfCapital,0))</f>
        <v>0</v>
      </c>
      <c r="Z79" s="305">
        <f t="shared" si="9"/>
        <v>126.98</v>
      </c>
      <c r="AA79" s="305">
        <f t="shared" si="10"/>
        <v>0</v>
      </c>
      <c r="AB79" s="316">
        <f>LET(numVmwShares,D79, stockRatio,Reference!$B$5, vmwToAvgoRatio,Reference!$B$6, numVmwShares * stockRatio * vmwToAvgoRatio)</f>
        <v>0</v>
      </c>
      <c r="AC79" s="316">
        <f>LET(numVmwShares,D79, stockRatio,Q79, vmwToAvgoRatio,Reference!$B$6, numVmwShares * stockRatio * vmwToAvgoRatio)</f>
        <v>0</v>
      </c>
      <c r="AD79" s="316" t="str">
        <f>LET(numVmwShares,D79, stockRatio,R79, vmwToAvgoRatio,Reference!$B$6, numVmwShares * stockRatio * vmwToAvgoRatio)</f>
        <v>#DIV/0!</v>
      </c>
      <c r="AE79" s="316">
        <f>SWITCH(Reference!$E$4, "eTradeTransactionLog", AB79, "eTradeHoldingRatio",AB79, "eTradeLotQtyRatio",AC79,"manualLotRatio",AD79)</f>
        <v>0</v>
      </c>
      <c r="AF79" s="317">
        <f>LET(numVmwShares,D79, vmwBasis,Z79, avgoQty,AE79, avgoFMV,Reference!$B$18, cashReceived,W79, gain,cashReceived+(avgoQty*avgoFMV)-(numVmwShares*vmwBasis),
MAX(gain,0))</f>
        <v>0</v>
      </c>
      <c r="AG79" s="318">
        <f>LET(useForFraction,J79, fractionAmount,Summary!$C$41, esppFractionLots,ESPP!$N$5, rsuFractionLots,RSU!J$5, IF(useForFraction, fractionAmount / (esppFractionLots+rsuFractionLots), 0))</f>
        <v>0</v>
      </c>
      <c r="AH79" s="438">
        <f>LET(useForFraction,J79, fractionSaleFMV,Reference!$B$23, postMergerBasis,AT79, lotFractionAmount,AG79, IF(useForFraction, (fractionSaleFMV - postMergerBasis)*lotFractionAmount, 0))</f>
        <v>0</v>
      </c>
      <c r="AI79" s="439">
        <f t="shared" si="11"/>
        <v>0</v>
      </c>
      <c r="AJ79" s="440">
        <f>LET(
purchaseDate,C79,
mergerDate,Reference!$B$28,
lotFractionGain,AH79,
mergerGain,AI79,
IF(DATEDIF(purchaseDate,mergerDate,"Y")&gt;=1,
  0,
  lotFractionGain + mergerGain
))</f>
        <v>0</v>
      </c>
      <c r="AK79" s="440">
        <f>LET(
purchaseDate,C79,
mergerDate,Reference!$B$28,
lotFractionGain,AH79,
mergerGain,AI79,
IF(DATEDIF(purchaseDate,mergerDate,"Y")&gt;=1,
  lotFractionGain+mergerGain,
  0
))</f>
        <v>0</v>
      </c>
      <c r="AL79" s="441" t="str">
        <f>IF(DATEDIF(C79,Reference!$B$28,"Y")&gt;=1,"Part II Box E","Part I Box B")</f>
        <v>Part I Box B</v>
      </c>
      <c r="AM79" s="336">
        <f t="shared" si="12"/>
        <v>45047</v>
      </c>
      <c r="AN79" s="337">
        <f t="shared" si="13"/>
        <v>0</v>
      </c>
      <c r="AO79" s="337">
        <f>LET(
cashReceived,W79, 
avgoQty,AE79, 
proceedsStyle,Reference!$E$9, 
avgoFMV,Reference!$B$18, 
SWITCH(proceedsStyle, "combined", cashReceived +(avgoQty*avgoFMV), "cashOnly", cashReceived))</f>
        <v>0</v>
      </c>
      <c r="AP79" s="338">
        <f>LET(
numVmwShares,D79, 
vmwBasis, Z79, 
avgoQty,AE79, 
avgoFMV,Reference!$B$18, 
cashReceived,W79, 
avgoTotalValue, avgoFMV*avgoQty, 
vmwTotalBasis, vmwBasis*numVmwShares,
alternateGainAmount,AF79, 
IF(cashReceived&lt;alternateGainAmount,
  avgoTotalValue,
  vmwTotalBasis
))</f>
        <v>0</v>
      </c>
      <c r="AQ79" s="338" t="str">
        <f t="shared" si="14"/>
        <v/>
      </c>
      <c r="AR79" s="338">
        <v>0.0</v>
      </c>
      <c r="AS79" s="339">
        <f t="shared" si="15"/>
        <v>0</v>
      </c>
      <c r="AT79" s="442" t="str">
        <f t="shared" si="16"/>
        <v>n/a</v>
      </c>
      <c r="AU79" s="328">
        <f>LET(saleFMV,Reference!$B$10, postMergerBasis,AT79, avgoQty,AE79, lotFractionAmount,AG79, iferror((saleFMV - postMergerBasis) * (avgoQty - lotFractionAmount), 0))</f>
        <v>0</v>
      </c>
      <c r="AV79" s="328">
        <f>LET(
avgoQty,AE80, 
purchaseDate,C80,
postMergerSaleDate,Reference!$B$29,
saleFMV,Reference!$B$10,
postMergerBasis,AT80, 
IFERROR(IF(DATEDIF(purchaseDate,postMergerSaleDate,"Y")&gt;=1,
  0,
  avgoQty * (saleFMV - postMergerBasis)
),0))</f>
        <v>0</v>
      </c>
      <c r="AW79" s="331">
        <f>LET(
avgoQty,AE79, 
purchaseDate,C79,
postMergerSaleDate,Reference!$B$29,
saleFMV,Reference!$B$10,
postMergerBasis,AT79, 
IFERROR(IF(DATEDIF(purchaseDate,postMergerSaleDate,"Y")&gt;=1,
  avgoQty * (saleFMV - postMergerBasis),
  0
),0))</f>
        <v>0</v>
      </c>
    </row>
    <row r="80">
      <c r="A80" s="431" t="s">
        <v>235</v>
      </c>
      <c r="B80" s="432">
        <v>44501.0</v>
      </c>
      <c r="C80" s="301">
        <v>45047.0</v>
      </c>
      <c r="D80" s="332"/>
      <c r="E80" s="433">
        <v>126.98</v>
      </c>
      <c r="F80" s="443"/>
      <c r="G80" s="305">
        <f t="shared" si="6"/>
        <v>0</v>
      </c>
      <c r="H80" s="317">
        <f t="shared" si="7"/>
        <v>0</v>
      </c>
      <c r="I80" s="444"/>
      <c r="J80" s="342" t="b">
        <v>0</v>
      </c>
      <c r="K80" s="436"/>
      <c r="L80" s="311">
        <v>0.0</v>
      </c>
      <c r="M80" s="311">
        <v>0.0</v>
      </c>
      <c r="N80" s="311">
        <v>0.0</v>
      </c>
      <c r="O80" s="311">
        <v>0.0</v>
      </c>
      <c r="P80" s="311">
        <v>0.0</v>
      </c>
      <c r="Q80" s="313">
        <f t="shared" si="8"/>
        <v>0</v>
      </c>
      <c r="R80" s="313" t="str">
        <f>SWITCH(S80,"cash",Reference!E$5,"shares",Reference!$E$6,"balance",Reference!$E$7,"pro-rata",Reference!$B$5)</f>
        <v>#DIV/0!</v>
      </c>
      <c r="S80" s="314" t="s">
        <v>205</v>
      </c>
      <c r="T80" s="315">
        <f>LET(numVmwShares,D80, cashRatio,Reference!$B$4, vmwFinalPrice,Reference!$B$3, numVmwShares * cashRatio * vmwFinalPrice)</f>
        <v>0</v>
      </c>
      <c r="U80" s="315">
        <f>iferror(LET(numVmwShares,$D80, stockRatio,Q80, vmwFinalPrice,Reference!$B$3, (1 - stockRatio) * vmwFinalPrice * numVmwShares),0)</f>
        <v>0</v>
      </c>
      <c r="V80" s="315">
        <f>iferror(LET(numVmwShares,$D80, stockRatio,R80, vmwFinalPrice,Reference!$B$3, (1 - stockRatio) * vmwFinalPrice * numVmwShares),0)</f>
        <v>0</v>
      </c>
      <c r="W80" s="315">
        <f>SWITCH(Reference!$E$4,"eTradeTransactionLog", T80, "eTradeHoldingRatio",T80, "eTradeLotQtyRatio",U80,"manualLotRatio",V80)</f>
        <v>0</v>
      </c>
      <c r="X80" s="305">
        <f>LET(purchaseDate,C80, dateOfRecord,Reference!$B$26, returnOfCapital,Reference!$C$26, IF(purchaseDate &lt; dateOfRecord, returnOfCapital,0))</f>
        <v>0</v>
      </c>
      <c r="Y80" s="305">
        <f>LET(purchaseDate,C80, dateOfRecord,Reference!$B$27, returnOfCapital,Reference!$C$27, IF(purchaseDate &lt; dateOfRecord, returnOfCapital,0))</f>
        <v>0</v>
      </c>
      <c r="Z80" s="305">
        <f t="shared" si="9"/>
        <v>126.98</v>
      </c>
      <c r="AA80" s="305">
        <f t="shared" si="10"/>
        <v>0</v>
      </c>
      <c r="AB80" s="316">
        <f>LET(numVmwShares,D80, stockRatio,Reference!$B$5, vmwToAvgoRatio,Reference!$B$6, numVmwShares * stockRatio * vmwToAvgoRatio)</f>
        <v>0</v>
      </c>
      <c r="AC80" s="316">
        <f>LET(numVmwShares,D80, stockRatio,Q80, vmwToAvgoRatio,Reference!$B$6, numVmwShares * stockRatio * vmwToAvgoRatio)</f>
        <v>0</v>
      </c>
      <c r="AD80" s="316" t="str">
        <f>LET(numVmwShares,D80, stockRatio,R80, vmwToAvgoRatio,Reference!$B$6, numVmwShares * stockRatio * vmwToAvgoRatio)</f>
        <v>#DIV/0!</v>
      </c>
      <c r="AE80" s="316">
        <f>SWITCH(Reference!$E$4, "eTradeTransactionLog", AB80, "eTradeHoldingRatio",AB80, "eTradeLotQtyRatio",AC80,"manualLotRatio",AD80)</f>
        <v>0</v>
      </c>
      <c r="AF80" s="317">
        <f>LET(numVmwShares,D80, vmwBasis,Z80, avgoQty,AE80, avgoFMV,Reference!$B$18, cashReceived,W80, gain,cashReceived+(avgoQty*avgoFMV)-(numVmwShares*vmwBasis),
MAX(gain,0))</f>
        <v>0</v>
      </c>
      <c r="AG80" s="318">
        <f>LET(useForFraction,J80, fractionAmount,Summary!$C$41, esppFractionLots,ESPP!$N$5, rsuFractionLots,RSU!J$5, IF(useForFraction, fractionAmount / (esppFractionLots+rsuFractionLots), 0))</f>
        <v>0</v>
      </c>
      <c r="AH80" s="438">
        <f>LET(useForFraction,J80, fractionSaleFMV,Reference!$B$23, postMergerBasis,AT80, lotFractionAmount,AG80, IF(useForFraction, (fractionSaleFMV - postMergerBasis)*lotFractionAmount, 0))</f>
        <v>0</v>
      </c>
      <c r="AI80" s="439">
        <f t="shared" si="11"/>
        <v>0</v>
      </c>
      <c r="AJ80" s="440">
        <f>LET(
purchaseDate,C80,
mergerDate,Reference!$B$28,
lotFractionGain,AH80,
mergerGain,AI80,
IF(DATEDIF(purchaseDate,mergerDate,"Y")&gt;=1,
  0,
  lotFractionGain + mergerGain
))</f>
        <v>0</v>
      </c>
      <c r="AK80" s="440">
        <f>LET(
purchaseDate,C80,
mergerDate,Reference!$B$28,
lotFractionGain,AH80,
mergerGain,AI80,
IF(DATEDIF(purchaseDate,mergerDate,"Y")&gt;=1,
  lotFractionGain+mergerGain,
  0
))</f>
        <v>0</v>
      </c>
      <c r="AL80" s="441" t="str">
        <f>IF(DATEDIF(C80,Reference!$B$28,"Y")&gt;=1,"Part II Box E","Part I Box B")</f>
        <v>Part I Box B</v>
      </c>
      <c r="AM80" s="336">
        <f t="shared" si="12"/>
        <v>45047</v>
      </c>
      <c r="AN80" s="337">
        <f t="shared" si="13"/>
        <v>0</v>
      </c>
      <c r="AO80" s="337">
        <f>LET(
cashReceived,W80, 
avgoQty,AE80, 
proceedsStyle,Reference!$E$9, 
avgoFMV,Reference!$B$18, 
SWITCH(proceedsStyle, "combined", cashReceived +(avgoQty*avgoFMV), "cashOnly", cashReceived))</f>
        <v>0</v>
      </c>
      <c r="AP80" s="338">
        <f>LET(
numVmwShares,D80, 
vmwBasis, Z80, 
avgoQty,AE80, 
avgoFMV,Reference!$B$18, 
cashReceived,W80, 
avgoTotalValue, avgoFMV*avgoQty, 
vmwTotalBasis, vmwBasis*numVmwShares,
alternateGainAmount,AF80, 
IF(cashReceived&lt;alternateGainAmount,
  avgoTotalValue,
  vmwTotalBasis
))</f>
        <v>0</v>
      </c>
      <c r="AQ80" s="338" t="str">
        <f t="shared" si="14"/>
        <v/>
      </c>
      <c r="AR80" s="338">
        <v>0.0</v>
      </c>
      <c r="AS80" s="339">
        <f t="shared" si="15"/>
        <v>0</v>
      </c>
      <c r="AT80" s="442" t="str">
        <f t="shared" si="16"/>
        <v>n/a</v>
      </c>
      <c r="AU80" s="328">
        <f>LET(saleFMV,Reference!$B$10, postMergerBasis,AT80, avgoQty,AE80, lotFractionAmount,AG80, iferror((saleFMV - postMergerBasis) * (avgoQty - lotFractionAmount), 0))</f>
        <v>0</v>
      </c>
      <c r="AV80" s="328">
        <f>LET(
avgoQty,AE81, 
purchaseDate,C81,
postMergerSaleDate,Reference!$B$29,
saleFMV,Reference!$B$10,
postMergerBasis,AT81, 
IFERROR(IF(DATEDIF(purchaseDate,postMergerSaleDate,"Y")&gt;=1,
  0,
  avgoQty * (saleFMV - postMergerBasis)
),0))</f>
        <v>0</v>
      </c>
      <c r="AW80" s="331">
        <f>LET(
avgoQty,AE80, 
purchaseDate,C80,
postMergerSaleDate,Reference!$B$29,
saleFMV,Reference!$B$10,
postMergerBasis,AT80, 
IFERROR(IF(DATEDIF(purchaseDate,postMergerSaleDate,"Y")&gt;=1,
  avgoQty * (saleFMV - postMergerBasis),
  0
),0))</f>
        <v>0</v>
      </c>
    </row>
    <row r="81">
      <c r="A81" s="431" t="s">
        <v>236</v>
      </c>
      <c r="B81" s="432">
        <v>44741.0</v>
      </c>
      <c r="C81" s="301">
        <v>45078.0</v>
      </c>
      <c r="D81" s="332"/>
      <c r="E81" s="433">
        <v>133.94</v>
      </c>
      <c r="F81" s="443"/>
      <c r="G81" s="305">
        <f t="shared" si="6"/>
        <v>0</v>
      </c>
      <c r="H81" s="317">
        <f t="shared" si="7"/>
        <v>0</v>
      </c>
      <c r="I81" s="444"/>
      <c r="J81" s="342" t="b">
        <v>0</v>
      </c>
      <c r="K81" s="436"/>
      <c r="L81" s="311">
        <v>0.0</v>
      </c>
      <c r="M81" s="311">
        <v>0.0</v>
      </c>
      <c r="N81" s="311">
        <v>0.0</v>
      </c>
      <c r="O81" s="311">
        <v>0.0</v>
      </c>
      <c r="P81" s="311">
        <v>0.0</v>
      </c>
      <c r="Q81" s="313">
        <f t="shared" si="8"/>
        <v>0</v>
      </c>
      <c r="R81" s="313" t="str">
        <f>SWITCH(S81,"cash",Reference!E$5,"shares",Reference!$E$6,"balance",Reference!$E$7,"pro-rata",Reference!$B$5)</f>
        <v>#DIV/0!</v>
      </c>
      <c r="S81" s="314" t="s">
        <v>205</v>
      </c>
      <c r="T81" s="315">
        <f>LET(numVmwShares,D81, cashRatio,Reference!$B$4, vmwFinalPrice,Reference!$B$3, numVmwShares * cashRatio * vmwFinalPrice)</f>
        <v>0</v>
      </c>
      <c r="U81" s="315">
        <f>iferror(LET(numVmwShares,$D81, stockRatio,Q81, vmwFinalPrice,Reference!$B$3, (1 - stockRatio) * vmwFinalPrice * numVmwShares),0)</f>
        <v>0</v>
      </c>
      <c r="V81" s="315">
        <f>iferror(LET(numVmwShares,$D81, stockRatio,R81, vmwFinalPrice,Reference!$B$3, (1 - stockRatio) * vmwFinalPrice * numVmwShares),0)</f>
        <v>0</v>
      </c>
      <c r="W81" s="315">
        <f>SWITCH(Reference!$E$4,"eTradeTransactionLog", T81, "eTradeHoldingRatio",T81, "eTradeLotQtyRatio",U81,"manualLotRatio",V81)</f>
        <v>0</v>
      </c>
      <c r="X81" s="305">
        <f>LET(purchaseDate,C81, dateOfRecord,Reference!$B$26, returnOfCapital,Reference!$C$26, IF(purchaseDate &lt; dateOfRecord, returnOfCapital,0))</f>
        <v>0</v>
      </c>
      <c r="Y81" s="305">
        <f>LET(purchaseDate,C81, dateOfRecord,Reference!$B$27, returnOfCapital,Reference!$C$27, IF(purchaseDate &lt; dateOfRecord, returnOfCapital,0))</f>
        <v>0</v>
      </c>
      <c r="Z81" s="305">
        <f t="shared" si="9"/>
        <v>133.94</v>
      </c>
      <c r="AA81" s="305">
        <f t="shared" si="10"/>
        <v>0</v>
      </c>
      <c r="AB81" s="316">
        <f>LET(numVmwShares,D81, stockRatio,Reference!$B$5, vmwToAvgoRatio,Reference!$B$6, numVmwShares * stockRatio * vmwToAvgoRatio)</f>
        <v>0</v>
      </c>
      <c r="AC81" s="316">
        <f>LET(numVmwShares,D81, stockRatio,Q81, vmwToAvgoRatio,Reference!$B$6, numVmwShares * stockRatio * vmwToAvgoRatio)</f>
        <v>0</v>
      </c>
      <c r="AD81" s="316" t="str">
        <f>LET(numVmwShares,D81, stockRatio,R81, vmwToAvgoRatio,Reference!$B$6, numVmwShares * stockRatio * vmwToAvgoRatio)</f>
        <v>#DIV/0!</v>
      </c>
      <c r="AE81" s="316">
        <f>SWITCH(Reference!$E$4, "eTradeTransactionLog", AB81, "eTradeHoldingRatio",AB81, "eTradeLotQtyRatio",AC81,"manualLotRatio",AD81)</f>
        <v>0</v>
      </c>
      <c r="AF81" s="317">
        <f>LET(numVmwShares,D81, vmwBasis,Z81, avgoQty,AE81, avgoFMV,Reference!$B$18, cashReceived,W81, gain,cashReceived+(avgoQty*avgoFMV)-(numVmwShares*vmwBasis),
MAX(gain,0))</f>
        <v>0</v>
      </c>
      <c r="AG81" s="318">
        <f>LET(useForFraction,J81, fractionAmount,Summary!$C$41, esppFractionLots,ESPP!$N$5, rsuFractionLots,RSU!J$5, IF(useForFraction, fractionAmount / (esppFractionLots+rsuFractionLots), 0))</f>
        <v>0</v>
      </c>
      <c r="AH81" s="438">
        <f>LET(useForFraction,J81, fractionSaleFMV,Reference!$B$23, postMergerBasis,AT81, lotFractionAmount,AG81, IF(useForFraction, (fractionSaleFMV - postMergerBasis)*lotFractionAmount, 0))</f>
        <v>0</v>
      </c>
      <c r="AI81" s="439">
        <f t="shared" si="11"/>
        <v>0</v>
      </c>
      <c r="AJ81" s="440">
        <f>LET(
purchaseDate,C81,
mergerDate,Reference!$B$28,
lotFractionGain,AH81,
mergerGain,AI81,
IF(DATEDIF(purchaseDate,mergerDate,"Y")&gt;=1,
  0,
  lotFractionGain + mergerGain
))</f>
        <v>0</v>
      </c>
      <c r="AK81" s="440">
        <f>LET(
purchaseDate,C81,
mergerDate,Reference!$B$28,
lotFractionGain,AH81,
mergerGain,AI81,
IF(DATEDIF(purchaseDate,mergerDate,"Y")&gt;=1,
  lotFractionGain+mergerGain,
  0
))</f>
        <v>0</v>
      </c>
      <c r="AL81" s="441" t="str">
        <f>IF(DATEDIF(C81,Reference!$B$28,"Y")&gt;=1,"Part II Box E","Part I Box B")</f>
        <v>Part I Box B</v>
      </c>
      <c r="AM81" s="336">
        <f t="shared" si="12"/>
        <v>45078</v>
      </c>
      <c r="AN81" s="337">
        <f t="shared" si="13"/>
        <v>0</v>
      </c>
      <c r="AO81" s="337">
        <f>LET(
cashReceived,W81, 
avgoQty,AE81, 
proceedsStyle,Reference!$E$9, 
avgoFMV,Reference!$B$18, 
SWITCH(proceedsStyle, "combined", cashReceived +(avgoQty*avgoFMV), "cashOnly", cashReceived))</f>
        <v>0</v>
      </c>
      <c r="AP81" s="338">
        <f>LET(
numVmwShares,D81, 
vmwBasis, Z81, 
avgoQty,AE81, 
avgoFMV,Reference!$B$18, 
cashReceived,W81, 
avgoTotalValue, avgoFMV*avgoQty, 
vmwTotalBasis, vmwBasis*numVmwShares,
alternateGainAmount,AF81, 
IF(cashReceived&lt;alternateGainAmount,
  avgoTotalValue,
  vmwTotalBasis
))</f>
        <v>0</v>
      </c>
      <c r="AQ81" s="338" t="str">
        <f t="shared" si="14"/>
        <v/>
      </c>
      <c r="AR81" s="338">
        <v>0.0</v>
      </c>
      <c r="AS81" s="339">
        <f t="shared" si="15"/>
        <v>0</v>
      </c>
      <c r="AT81" s="442" t="str">
        <f t="shared" si="16"/>
        <v>n/a</v>
      </c>
      <c r="AU81" s="328">
        <f>LET(saleFMV,Reference!$B$10, postMergerBasis,AT81, avgoQty,AE81, lotFractionAmount,AG81, iferror((saleFMV - postMergerBasis) * (avgoQty - lotFractionAmount), 0))</f>
        <v>0</v>
      </c>
      <c r="AV81" s="328">
        <f>LET(
avgoQty,AE82, 
purchaseDate,C82,
postMergerSaleDate,Reference!$B$29,
saleFMV,Reference!$B$10,
postMergerBasis,AT82, 
IFERROR(IF(DATEDIF(purchaseDate,postMergerSaleDate,"Y")&gt;=1,
  0,
  avgoQty * (saleFMV - postMergerBasis)
),0))</f>
        <v>0</v>
      </c>
      <c r="AW81" s="331">
        <f>LET(
avgoQty,AE81, 
purchaseDate,C81,
postMergerSaleDate,Reference!$B$29,
saleFMV,Reference!$B$10,
postMergerBasis,AT81, 
IFERROR(IF(DATEDIF(purchaseDate,postMergerSaleDate,"Y")&gt;=1,
  avgoQty * (saleFMV - postMergerBasis),
  0
),0))</f>
        <v>0</v>
      </c>
    </row>
    <row r="82">
      <c r="A82" s="431" t="s">
        <v>234</v>
      </c>
      <c r="B82" s="432">
        <v>44501.0</v>
      </c>
      <c r="C82" s="301">
        <v>45078.0</v>
      </c>
      <c r="D82" s="332"/>
      <c r="E82" s="433">
        <v>133.94</v>
      </c>
      <c r="F82" s="443"/>
      <c r="G82" s="305">
        <f t="shared" si="6"/>
        <v>0</v>
      </c>
      <c r="H82" s="317">
        <f t="shared" si="7"/>
        <v>0</v>
      </c>
      <c r="I82" s="446"/>
      <c r="J82" s="342" t="b">
        <v>0</v>
      </c>
      <c r="K82" s="436"/>
      <c r="L82" s="311">
        <v>0.0</v>
      </c>
      <c r="M82" s="311">
        <v>0.0</v>
      </c>
      <c r="N82" s="311">
        <v>0.0</v>
      </c>
      <c r="O82" s="311">
        <v>0.0</v>
      </c>
      <c r="P82" s="311">
        <v>0.0</v>
      </c>
      <c r="Q82" s="313">
        <f t="shared" si="8"/>
        <v>0</v>
      </c>
      <c r="R82" s="313" t="str">
        <f>SWITCH(S82,"cash",Reference!E$5,"shares",Reference!$E$6,"balance",Reference!$E$7,"pro-rata",Reference!$B$5)</f>
        <v>#DIV/0!</v>
      </c>
      <c r="S82" s="314" t="s">
        <v>205</v>
      </c>
      <c r="T82" s="315">
        <f>LET(numVmwShares,D82, cashRatio,Reference!$B$4, vmwFinalPrice,Reference!$B$3, numVmwShares * cashRatio * vmwFinalPrice)</f>
        <v>0</v>
      </c>
      <c r="U82" s="315">
        <f>iferror(LET(numVmwShares,$D82, stockRatio,Q82, vmwFinalPrice,Reference!$B$3, (1 - stockRatio) * vmwFinalPrice * numVmwShares),0)</f>
        <v>0</v>
      </c>
      <c r="V82" s="315">
        <f>iferror(LET(numVmwShares,$D82, stockRatio,R82, vmwFinalPrice,Reference!$B$3, (1 - stockRatio) * vmwFinalPrice * numVmwShares),0)</f>
        <v>0</v>
      </c>
      <c r="W82" s="315">
        <f>SWITCH(Reference!$E$4,"eTradeTransactionLog", T82, "eTradeHoldingRatio",T82, "eTradeLotQtyRatio",U82,"manualLotRatio",V82)</f>
        <v>0</v>
      </c>
      <c r="X82" s="305">
        <f>LET(purchaseDate,C82, dateOfRecord,Reference!$B$26, returnOfCapital,Reference!$C$26, IF(purchaseDate &lt; dateOfRecord, returnOfCapital,0))</f>
        <v>0</v>
      </c>
      <c r="Y82" s="305">
        <f>LET(purchaseDate,C82, dateOfRecord,Reference!$B$27, returnOfCapital,Reference!$C$27, IF(purchaseDate &lt; dateOfRecord, returnOfCapital,0))</f>
        <v>0</v>
      </c>
      <c r="Z82" s="305">
        <f t="shared" si="9"/>
        <v>133.94</v>
      </c>
      <c r="AA82" s="305">
        <f t="shared" si="10"/>
        <v>0</v>
      </c>
      <c r="AB82" s="316">
        <f>LET(numVmwShares,D82, stockRatio,Reference!$B$5, vmwToAvgoRatio,Reference!$B$6, numVmwShares * stockRatio * vmwToAvgoRatio)</f>
        <v>0</v>
      </c>
      <c r="AC82" s="316">
        <f>LET(numVmwShares,D82, stockRatio,Q82, vmwToAvgoRatio,Reference!$B$6, numVmwShares * stockRatio * vmwToAvgoRatio)</f>
        <v>0</v>
      </c>
      <c r="AD82" s="316" t="str">
        <f>LET(numVmwShares,D82, stockRatio,R82, vmwToAvgoRatio,Reference!$B$6, numVmwShares * stockRatio * vmwToAvgoRatio)</f>
        <v>#DIV/0!</v>
      </c>
      <c r="AE82" s="316">
        <f>SWITCH(Reference!$E$4, "eTradeTransactionLog", AB82, "eTradeHoldingRatio",AB82, "eTradeLotQtyRatio",AC82,"manualLotRatio",AD82)</f>
        <v>0</v>
      </c>
      <c r="AF82" s="317">
        <f>LET(numVmwShares,D82, vmwBasis,Z82, avgoQty,AE82, avgoFMV,Reference!$B$18, cashReceived,W82, gain,cashReceived+(avgoQty*avgoFMV)-(numVmwShares*vmwBasis),
MAX(gain,0))</f>
        <v>0</v>
      </c>
      <c r="AG82" s="318">
        <f>LET(useForFraction,J82, fractionAmount,Summary!$C$41, esppFractionLots,ESPP!$N$5, rsuFractionLots,RSU!J$5, IF(useForFraction, fractionAmount / (esppFractionLots+rsuFractionLots), 0))</f>
        <v>0</v>
      </c>
      <c r="AH82" s="438">
        <f>LET(useForFraction,J82, fractionSaleFMV,Reference!$B$23, postMergerBasis,AT82, lotFractionAmount,AG82, IF(useForFraction, (fractionSaleFMV - postMergerBasis)*lotFractionAmount, 0))</f>
        <v>0</v>
      </c>
      <c r="AI82" s="439">
        <f t="shared" si="11"/>
        <v>0</v>
      </c>
      <c r="AJ82" s="440">
        <f>LET(
purchaseDate,C82,
mergerDate,Reference!$B$28,
lotFractionGain,AH82,
mergerGain,AI82,
IF(DATEDIF(purchaseDate,mergerDate,"Y")&gt;=1,
  0,
  lotFractionGain + mergerGain
))</f>
        <v>0</v>
      </c>
      <c r="AK82" s="440">
        <f>LET(
purchaseDate,C82,
mergerDate,Reference!$B$28,
lotFractionGain,AH82,
mergerGain,AI82,
IF(DATEDIF(purchaseDate,mergerDate,"Y")&gt;=1,
  lotFractionGain+mergerGain,
  0
))</f>
        <v>0</v>
      </c>
      <c r="AL82" s="441" t="str">
        <f>IF(DATEDIF(C82,Reference!$B$28,"Y")&gt;=1,"Part II Box E","Part I Box B")</f>
        <v>Part I Box B</v>
      </c>
      <c r="AM82" s="336">
        <f t="shared" si="12"/>
        <v>45078</v>
      </c>
      <c r="AN82" s="337">
        <f t="shared" si="13"/>
        <v>0</v>
      </c>
      <c r="AO82" s="337">
        <f>LET(
cashReceived,W82, 
avgoQty,AE82, 
proceedsStyle,Reference!$E$9, 
avgoFMV,Reference!$B$18, 
SWITCH(proceedsStyle, "combined", cashReceived +(avgoQty*avgoFMV), "cashOnly", cashReceived))</f>
        <v>0</v>
      </c>
      <c r="AP82" s="338">
        <f>LET(
numVmwShares,D82, 
vmwBasis, Z82, 
avgoQty,AE82, 
avgoFMV,Reference!$B$18, 
cashReceived,W82, 
avgoTotalValue, avgoFMV*avgoQty, 
vmwTotalBasis, vmwBasis*numVmwShares,
alternateGainAmount,AF82, 
IF(cashReceived&lt;alternateGainAmount,
  avgoTotalValue,
  vmwTotalBasis
))</f>
        <v>0</v>
      </c>
      <c r="AQ82" s="338" t="str">
        <f t="shared" si="14"/>
        <v/>
      </c>
      <c r="AR82" s="338">
        <v>0.0</v>
      </c>
      <c r="AS82" s="339">
        <f t="shared" si="15"/>
        <v>0</v>
      </c>
      <c r="AT82" s="442" t="str">
        <f t="shared" si="16"/>
        <v>n/a</v>
      </c>
      <c r="AU82" s="328">
        <f>LET(saleFMV,Reference!$B$10, postMergerBasis,AT82, avgoQty,AE82, lotFractionAmount,AG82, iferror((saleFMV - postMergerBasis) * (avgoQty - lotFractionAmount), 0))</f>
        <v>0</v>
      </c>
      <c r="AV82" s="328">
        <f>LET(
avgoQty,AE83, 
purchaseDate,C83,
postMergerSaleDate,Reference!$B$29,
saleFMV,Reference!$B$10,
postMergerBasis,AT83, 
IFERROR(IF(DATEDIF(purchaseDate,postMergerSaleDate,"Y")&gt;=1,
  0,
  avgoQty * (saleFMV - postMergerBasis)
),0))</f>
        <v>0</v>
      </c>
      <c r="AW82" s="331">
        <f>LET(
avgoQty,AE82, 
purchaseDate,C82,
postMergerSaleDate,Reference!$B$29,
saleFMV,Reference!$B$10,
postMergerBasis,AT82, 
IFERROR(IF(DATEDIF(purchaseDate,postMergerSaleDate,"Y")&gt;=1,
  avgoQty * (saleFMV - postMergerBasis),
  0
),0))</f>
        <v>0</v>
      </c>
    </row>
    <row r="83">
      <c r="A83" s="431" t="s">
        <v>235</v>
      </c>
      <c r="B83" s="432">
        <v>44501.0</v>
      </c>
      <c r="C83" s="301">
        <v>45139.0</v>
      </c>
      <c r="D83" s="332"/>
      <c r="E83" s="433">
        <v>158.96</v>
      </c>
      <c r="F83" s="443"/>
      <c r="G83" s="305">
        <f t="shared" si="6"/>
        <v>0</v>
      </c>
      <c r="H83" s="317">
        <f t="shared" si="7"/>
        <v>0</v>
      </c>
      <c r="I83" s="444"/>
      <c r="J83" s="342" t="b">
        <v>0</v>
      </c>
      <c r="K83" s="436"/>
      <c r="L83" s="311">
        <v>0.0</v>
      </c>
      <c r="M83" s="311">
        <v>0.0</v>
      </c>
      <c r="N83" s="311">
        <v>0.0</v>
      </c>
      <c r="O83" s="311">
        <v>0.0</v>
      </c>
      <c r="P83" s="311">
        <v>0.0</v>
      </c>
      <c r="Q83" s="313">
        <f t="shared" si="8"/>
        <v>0</v>
      </c>
      <c r="R83" s="313" t="str">
        <f>SWITCH(S83,"cash",Reference!E$5,"shares",Reference!$E$6,"balance",Reference!$E$7,"pro-rata",Reference!$B$5)</f>
        <v>#DIV/0!</v>
      </c>
      <c r="S83" s="314" t="s">
        <v>205</v>
      </c>
      <c r="T83" s="315">
        <f>LET(numVmwShares,D83, cashRatio,Reference!$B$4, vmwFinalPrice,Reference!$B$3, numVmwShares * cashRatio * vmwFinalPrice)</f>
        <v>0</v>
      </c>
      <c r="U83" s="315">
        <f>iferror(LET(numVmwShares,$D83, stockRatio,Q83, vmwFinalPrice,Reference!$B$3, (1 - stockRatio) * vmwFinalPrice * numVmwShares),0)</f>
        <v>0</v>
      </c>
      <c r="V83" s="315">
        <f>iferror(LET(numVmwShares,$D83, stockRatio,R83, vmwFinalPrice,Reference!$B$3, (1 - stockRatio) * vmwFinalPrice * numVmwShares),0)</f>
        <v>0</v>
      </c>
      <c r="W83" s="315">
        <f>SWITCH(Reference!$E$4,"eTradeTransactionLog", T83, "eTradeHoldingRatio",T83, "eTradeLotQtyRatio",U83,"manualLotRatio",V83)</f>
        <v>0</v>
      </c>
      <c r="X83" s="305">
        <f>LET(purchaseDate,C83, dateOfRecord,Reference!$B$26, returnOfCapital,Reference!$C$26, IF(purchaseDate &lt; dateOfRecord, returnOfCapital,0))</f>
        <v>0</v>
      </c>
      <c r="Y83" s="305">
        <f>LET(purchaseDate,C83, dateOfRecord,Reference!$B$27, returnOfCapital,Reference!$C$27, IF(purchaseDate &lt; dateOfRecord, returnOfCapital,0))</f>
        <v>0</v>
      </c>
      <c r="Z83" s="305">
        <f t="shared" si="9"/>
        <v>158.96</v>
      </c>
      <c r="AA83" s="305">
        <f t="shared" si="10"/>
        <v>0</v>
      </c>
      <c r="AB83" s="316">
        <f>LET(numVmwShares,D83, stockRatio,Reference!$B$5, vmwToAvgoRatio,Reference!$B$6, numVmwShares * stockRatio * vmwToAvgoRatio)</f>
        <v>0</v>
      </c>
      <c r="AC83" s="316">
        <f>LET(numVmwShares,D83, stockRatio,Q83, vmwToAvgoRatio,Reference!$B$6, numVmwShares * stockRatio * vmwToAvgoRatio)</f>
        <v>0</v>
      </c>
      <c r="AD83" s="316" t="str">
        <f>LET(numVmwShares,D83, stockRatio,R83, vmwToAvgoRatio,Reference!$B$6, numVmwShares * stockRatio * vmwToAvgoRatio)</f>
        <v>#DIV/0!</v>
      </c>
      <c r="AE83" s="316">
        <f>SWITCH(Reference!$E$4, "eTradeTransactionLog", AB83, "eTradeHoldingRatio",AB83, "eTradeLotQtyRatio",AC83,"manualLotRatio",AD83)</f>
        <v>0</v>
      </c>
      <c r="AF83" s="317">
        <f>LET(numVmwShares,D83, vmwBasis,Z83, avgoQty,AE83, avgoFMV,Reference!$B$18, cashReceived,W83, gain,cashReceived+(avgoQty*avgoFMV)-(numVmwShares*vmwBasis),
MAX(gain,0))</f>
        <v>0</v>
      </c>
      <c r="AG83" s="318">
        <f>LET(useForFraction,J83, fractionAmount,Summary!$C$41, esppFractionLots,ESPP!$N$5, rsuFractionLots,RSU!J$5, IF(useForFraction, fractionAmount / (esppFractionLots+rsuFractionLots), 0))</f>
        <v>0</v>
      </c>
      <c r="AH83" s="438">
        <f>LET(useForFraction,J83, fractionSaleFMV,Reference!$B$23, postMergerBasis,AT83, lotFractionAmount,AG83, IF(useForFraction, (fractionSaleFMV - postMergerBasis)*lotFractionAmount, 0))</f>
        <v>0</v>
      </c>
      <c r="AI83" s="439">
        <f t="shared" si="11"/>
        <v>0</v>
      </c>
      <c r="AJ83" s="440">
        <f>LET(
purchaseDate,C83,
mergerDate,Reference!$B$28,
lotFractionGain,AH83,
mergerGain,AI83,
IF(DATEDIF(purchaseDate,mergerDate,"Y")&gt;=1,
  0,
  lotFractionGain + mergerGain
))</f>
        <v>0</v>
      </c>
      <c r="AK83" s="440">
        <f>LET(
purchaseDate,C83,
mergerDate,Reference!$B$28,
lotFractionGain,AH83,
mergerGain,AI83,
IF(DATEDIF(purchaseDate,mergerDate,"Y")&gt;=1,
  lotFractionGain+mergerGain,
  0
))</f>
        <v>0</v>
      </c>
      <c r="AL83" s="441" t="str">
        <f>IF(DATEDIF(C83,Reference!$B$28,"Y")&gt;=1,"Part II Box E","Part I Box B")</f>
        <v>Part I Box B</v>
      </c>
      <c r="AM83" s="336">
        <f t="shared" si="12"/>
        <v>45139</v>
      </c>
      <c r="AN83" s="337">
        <f t="shared" si="13"/>
        <v>0</v>
      </c>
      <c r="AO83" s="337">
        <f>LET(
cashReceived,W83, 
avgoQty,AE83, 
proceedsStyle,Reference!$E$9, 
avgoFMV,Reference!$B$18, 
SWITCH(proceedsStyle, "combined", cashReceived +(avgoQty*avgoFMV), "cashOnly", cashReceived))</f>
        <v>0</v>
      </c>
      <c r="AP83" s="338">
        <f>LET(
numVmwShares,D83, 
vmwBasis, Z83, 
avgoQty,AE83, 
avgoFMV,Reference!$B$18, 
cashReceived,W83, 
avgoTotalValue, avgoFMV*avgoQty, 
vmwTotalBasis, vmwBasis*numVmwShares,
alternateGainAmount,AF83, 
IF(cashReceived&lt;alternateGainAmount,
  avgoTotalValue,
  vmwTotalBasis
))</f>
        <v>0</v>
      </c>
      <c r="AQ83" s="338" t="str">
        <f t="shared" si="14"/>
        <v/>
      </c>
      <c r="AR83" s="338">
        <v>0.0</v>
      </c>
      <c r="AS83" s="339">
        <f t="shared" si="15"/>
        <v>0</v>
      </c>
      <c r="AT83" s="442" t="str">
        <f t="shared" si="16"/>
        <v>n/a</v>
      </c>
      <c r="AU83" s="328">
        <f>LET(saleFMV,Reference!$B$10, postMergerBasis,AT83, avgoQty,AE83, lotFractionAmount,AG83, iferror((saleFMV - postMergerBasis) * (avgoQty - lotFractionAmount), 0))</f>
        <v>0</v>
      </c>
      <c r="AV83" s="328">
        <f>LET(
avgoQty,AE84, 
purchaseDate,C84,
postMergerSaleDate,Reference!$B$29,
saleFMV,Reference!$B$10,
postMergerBasis,AT84, 
IFERROR(IF(DATEDIF(purchaseDate,postMergerSaleDate,"Y")&gt;=1,
  0,
  avgoQty * (saleFMV - postMergerBasis)
),0))</f>
        <v>0</v>
      </c>
      <c r="AW83" s="331">
        <f>LET(
avgoQty,AE83, 
purchaseDate,C83,
postMergerSaleDate,Reference!$B$29,
saleFMV,Reference!$B$10,
postMergerBasis,AT83, 
IFERROR(IF(DATEDIF(purchaseDate,postMergerSaleDate,"Y")&gt;=1,
  avgoQty * (saleFMV - postMergerBasis),
  0
),0))</f>
        <v>0</v>
      </c>
    </row>
    <row r="84">
      <c r="A84" s="449" t="s">
        <v>236</v>
      </c>
      <c r="B84" s="450">
        <v>44741.0</v>
      </c>
      <c r="C84" s="347">
        <v>45170.0</v>
      </c>
      <c r="D84" s="348"/>
      <c r="E84" s="451">
        <v>164.1</v>
      </c>
      <c r="F84" s="452"/>
      <c r="G84" s="351">
        <f t="shared" si="6"/>
        <v>0</v>
      </c>
      <c r="H84" s="363">
        <f t="shared" si="7"/>
        <v>0</v>
      </c>
      <c r="I84" s="453"/>
      <c r="J84" s="354" t="b">
        <v>0</v>
      </c>
      <c r="K84" s="454"/>
      <c r="L84" s="311">
        <v>0.0</v>
      </c>
      <c r="M84" s="311">
        <v>0.0</v>
      </c>
      <c r="N84" s="311">
        <v>0.0</v>
      </c>
      <c r="O84" s="311">
        <v>0.0</v>
      </c>
      <c r="P84" s="311">
        <v>0.0</v>
      </c>
      <c r="Q84" s="358">
        <f t="shared" si="8"/>
        <v>0</v>
      </c>
      <c r="R84" s="313" t="str">
        <f>SWITCH(S84,"cash",Reference!E$5,"shares",Reference!$E$6,"balance",Reference!$E$7,"pro-rata",Reference!$B$5)</f>
        <v>#DIV/0!</v>
      </c>
      <c r="S84" s="359" t="s">
        <v>205</v>
      </c>
      <c r="T84" s="315">
        <f>LET(numVmwShares,D84, cashRatio,Reference!$B$4, vmwFinalPrice,Reference!$B$3, numVmwShares * cashRatio * vmwFinalPrice)</f>
        <v>0</v>
      </c>
      <c r="U84" s="315">
        <f>iferror(LET(numVmwShares,$D84, stockRatio,Q84, vmwFinalPrice,Reference!$B$3, (1 - stockRatio) * vmwFinalPrice * numVmwShares),0)</f>
        <v>0</v>
      </c>
      <c r="V84" s="315">
        <f>iferror(LET(numVmwShares,$D84, stockRatio,R84, vmwFinalPrice,Reference!$B$3, (1 - stockRatio) * vmwFinalPrice * numVmwShares),0)</f>
        <v>0</v>
      </c>
      <c r="W84" s="315">
        <f>SWITCH(Reference!$E$4,"eTradeTransactionLog", T84, "eTradeHoldingRatio",T84, "eTradeLotQtyRatio",U84,"manualLotRatio",V84)</f>
        <v>0</v>
      </c>
      <c r="X84" s="305">
        <f>LET(purchaseDate,C84, dateOfRecord,Reference!$B$26, returnOfCapital,Reference!$C$26, IF(purchaseDate &lt; dateOfRecord, returnOfCapital,0))</f>
        <v>0</v>
      </c>
      <c r="Y84" s="305">
        <f>LET(purchaseDate,C84, dateOfRecord,Reference!$B$27, returnOfCapital,Reference!$C$27, IF(purchaseDate &lt; dateOfRecord, returnOfCapital,0))</f>
        <v>0</v>
      </c>
      <c r="Z84" s="305">
        <f t="shared" si="9"/>
        <v>164.1</v>
      </c>
      <c r="AA84" s="351">
        <f t="shared" si="10"/>
        <v>0</v>
      </c>
      <c r="AB84" s="316">
        <f>LET(numVmwShares,D84, stockRatio,Reference!$B$5, vmwToAvgoRatio,Reference!$B$6, numVmwShares * stockRatio * vmwToAvgoRatio)</f>
        <v>0</v>
      </c>
      <c r="AC84" s="316">
        <f>LET(numVmwShares,D84, stockRatio,Q84, vmwToAvgoRatio,Reference!$B$6, numVmwShares * stockRatio * vmwToAvgoRatio)</f>
        <v>0</v>
      </c>
      <c r="AD84" s="316" t="str">
        <f>LET(numVmwShares,D84, stockRatio,R84, vmwToAvgoRatio,Reference!$B$6, numVmwShares * stockRatio * vmwToAvgoRatio)</f>
        <v>#DIV/0!</v>
      </c>
      <c r="AE84" s="361">
        <f>SWITCH(Reference!$E$4, "eTradeTransactionLog", AB84, "eTradeHoldingRatio",AB84, "eTradeLotQtyRatio",AC84,"manualLotRatio",AD84)</f>
        <v>0</v>
      </c>
      <c r="AF84" s="317">
        <f>LET(numVmwShares,D84, vmwBasis,Z84, avgoQty,AE84, avgoFMV,Reference!$B$18, cashReceived,W84, gain,cashReceived+(avgoQty*avgoFMV)-(numVmwShares*vmwBasis),
MAX(gain,0))</f>
        <v>0</v>
      </c>
      <c r="AG84" s="318">
        <f>LET(useForFraction,J84, fractionAmount,Summary!$C$41, esppFractionLots,ESPP!$N$5, rsuFractionLots,RSU!J$5, IF(useForFraction, fractionAmount / (esppFractionLots+rsuFractionLots), 0))</f>
        <v>0</v>
      </c>
      <c r="AH84" s="438">
        <f>LET(useForFraction,J84, fractionSaleFMV,Reference!$B$23, postMergerBasis,AT84, lotFractionAmount,AG84, IF(useForFraction, (fractionSaleFMV - postMergerBasis)*lotFractionAmount, 0))</f>
        <v>0</v>
      </c>
      <c r="AI84" s="439">
        <f t="shared" si="11"/>
        <v>0</v>
      </c>
      <c r="AJ84" s="440">
        <f>LET(
purchaseDate,C84,
mergerDate,Reference!$B$28,
lotFractionGain,AH84,
mergerGain,AI84,
IF(DATEDIF(purchaseDate,mergerDate,"Y")&gt;=1,
  0,
  lotFractionGain + mergerGain
))</f>
        <v>0</v>
      </c>
      <c r="AK84" s="440">
        <f>LET(
purchaseDate,C84,
mergerDate,Reference!$B$28,
lotFractionGain,AH84,
mergerGain,AI84,
IF(DATEDIF(purchaseDate,mergerDate,"Y")&gt;=1,
  lotFractionGain+mergerGain,
  0
))</f>
        <v>0</v>
      </c>
      <c r="AL84" s="441" t="str">
        <f>IF(DATEDIF(C84,Reference!$B$28,"Y")&gt;=1,"Part II Box E","Part I Box B")</f>
        <v>Part I Box B</v>
      </c>
      <c r="AM84" s="336">
        <f t="shared" si="12"/>
        <v>45170</v>
      </c>
      <c r="AN84" s="337">
        <f t="shared" si="13"/>
        <v>0</v>
      </c>
      <c r="AO84" s="337">
        <f>LET(
cashReceived,W84, 
avgoQty,AE84, 
proceedsStyle,Reference!$E$9, 
avgoFMV,Reference!$B$18, 
SWITCH(proceedsStyle, "combined", cashReceived +(avgoQty*avgoFMV), "cashOnly", cashReceived))</f>
        <v>0</v>
      </c>
      <c r="AP84" s="338">
        <f>LET(
numVmwShares,D84, 
vmwBasis, Z84, 
avgoQty,AE84, 
avgoFMV,Reference!$B$18, 
cashReceived,W84, 
avgoTotalValue, avgoFMV*avgoQty, 
vmwTotalBasis, vmwBasis*numVmwShares,
alternateGainAmount,AF84, 
IF(cashReceived&lt;alternateGainAmount,
  avgoTotalValue,
  vmwTotalBasis
))</f>
        <v>0</v>
      </c>
      <c r="AQ84" s="338" t="str">
        <f t="shared" si="14"/>
        <v/>
      </c>
      <c r="AR84" s="338">
        <v>0.0</v>
      </c>
      <c r="AS84" s="339">
        <f t="shared" si="15"/>
        <v>0</v>
      </c>
      <c r="AT84" s="442" t="str">
        <f t="shared" si="16"/>
        <v>n/a</v>
      </c>
      <c r="AU84" s="328">
        <f>LET(saleFMV,Reference!$B$10, postMergerBasis,AT84, avgoQty,AE84, lotFractionAmount,AG84, iferror((saleFMV - postMergerBasis) * (avgoQty - lotFractionAmount), 0))</f>
        <v>0</v>
      </c>
      <c r="AV84" s="328">
        <f>LET(
avgoQty,AE85, 
purchaseDate,C85,
postMergerSaleDate,Reference!$B$29,
saleFMV,Reference!$B$10,
postMergerBasis,AT85, 
IFERROR(IF(DATEDIF(purchaseDate,postMergerSaleDate,"Y")&gt;=1,
  0,
  avgoQty * (saleFMV - postMergerBasis)
),0))</f>
        <v>0</v>
      </c>
      <c r="AW84" s="331">
        <f>LET(
avgoQty,AE84, 
purchaseDate,C84,
postMergerSaleDate,Reference!$B$29,
saleFMV,Reference!$B$10,
postMergerBasis,AT84, 
IFERROR(IF(DATEDIF(purchaseDate,postMergerSaleDate,"Y")&gt;=1,
  avgoQty * (saleFMV - postMergerBasis),
  0
),0))</f>
        <v>0</v>
      </c>
    </row>
    <row r="85">
      <c r="A85" s="449"/>
      <c r="B85" s="450"/>
      <c r="C85" s="455"/>
      <c r="D85" s="456"/>
      <c r="E85" s="457"/>
      <c r="F85" s="458"/>
      <c r="G85" s="459"/>
      <c r="H85" s="175"/>
      <c r="I85" s="460"/>
      <c r="J85" s="461"/>
      <c r="K85" s="462"/>
      <c r="L85" s="463"/>
      <c r="M85" s="463"/>
      <c r="N85" s="463"/>
      <c r="O85" s="463"/>
      <c r="P85" s="463"/>
      <c r="Q85" s="464"/>
      <c r="R85" s="464"/>
      <c r="S85" s="465"/>
      <c r="T85" s="466"/>
      <c r="U85" s="466"/>
      <c r="V85" s="466"/>
      <c r="W85" s="466"/>
      <c r="X85" s="459"/>
      <c r="Y85" s="459"/>
      <c r="Z85" s="459"/>
      <c r="AA85" s="459"/>
      <c r="AB85" s="467"/>
      <c r="AC85" s="467"/>
      <c r="AD85" s="467"/>
      <c r="AE85" s="467"/>
      <c r="AF85" s="175"/>
      <c r="AG85" s="468"/>
      <c r="AH85" s="469"/>
      <c r="AI85" s="470"/>
      <c r="AJ85" s="471"/>
      <c r="AK85" s="471"/>
      <c r="AL85" s="472"/>
      <c r="AM85" s="323"/>
      <c r="AN85" s="324"/>
      <c r="AO85" s="324"/>
      <c r="AP85" s="325"/>
      <c r="AQ85" s="325"/>
      <c r="AR85" s="324"/>
      <c r="AS85" s="326"/>
      <c r="AT85" s="473"/>
      <c r="AU85" s="374"/>
      <c r="AV85" s="374"/>
      <c r="AW85" s="377"/>
    </row>
    <row r="86">
      <c r="G86" s="168"/>
      <c r="I86" s="37"/>
      <c r="T86" s="37"/>
      <c r="AG86" s="37"/>
      <c r="AJ86" s="37"/>
      <c r="AT86" s="37"/>
    </row>
    <row r="87">
      <c r="A87" s="380"/>
      <c r="B87" s="168"/>
      <c r="C87" s="168"/>
      <c r="D87" s="381">
        <f>D5</f>
        <v>0</v>
      </c>
      <c r="E87" s="168"/>
      <c r="F87" s="168"/>
      <c r="G87" s="474">
        <f t="shared" ref="G87:J87" si="17">G5</f>
        <v>0</v>
      </c>
      <c r="H87" s="383">
        <f t="shared" si="17"/>
        <v>0</v>
      </c>
      <c r="I87" s="418">
        <f t="shared" si="17"/>
        <v>0</v>
      </c>
      <c r="J87" s="168">
        <f t="shared" si="17"/>
        <v>0</v>
      </c>
      <c r="K87" s="168"/>
      <c r="L87" s="168"/>
      <c r="M87" s="168"/>
      <c r="N87" s="168"/>
      <c r="O87" s="168"/>
      <c r="P87" s="168"/>
      <c r="Q87" s="168"/>
      <c r="R87" s="168"/>
      <c r="S87" s="385"/>
      <c r="T87" s="419">
        <f t="shared" ref="T87:AK87" si="18">T5</f>
        <v>0</v>
      </c>
      <c r="U87" s="419">
        <f t="shared" si="18"/>
        <v>0</v>
      </c>
      <c r="V87" s="419">
        <f t="shared" si="18"/>
        <v>0</v>
      </c>
      <c r="W87" s="419">
        <f t="shared" si="18"/>
        <v>0</v>
      </c>
      <c r="X87" s="475" t="str">
        <f t="shared" si="18"/>
        <v/>
      </c>
      <c r="Y87" s="475" t="str">
        <f t="shared" si="18"/>
        <v/>
      </c>
      <c r="Z87" s="475" t="str">
        <f t="shared" si="18"/>
        <v/>
      </c>
      <c r="AA87" s="206">
        <f t="shared" si="18"/>
        <v>0</v>
      </c>
      <c r="AB87" s="476">
        <f t="shared" si="18"/>
        <v>0</v>
      </c>
      <c r="AC87" s="476">
        <f t="shared" si="18"/>
        <v>0</v>
      </c>
      <c r="AD87" s="476" t="str">
        <f t="shared" si="18"/>
        <v>#DIV/0!</v>
      </c>
      <c r="AE87" s="476">
        <f t="shared" si="18"/>
        <v>0</v>
      </c>
      <c r="AF87" s="206">
        <f t="shared" si="18"/>
        <v>0</v>
      </c>
      <c r="AG87" s="388">
        <f t="shared" si="18"/>
        <v>0</v>
      </c>
      <c r="AH87" s="280">
        <f t="shared" si="18"/>
        <v>0</v>
      </c>
      <c r="AI87" s="383">
        <f t="shared" si="18"/>
        <v>0</v>
      </c>
      <c r="AJ87" s="389">
        <f t="shared" si="18"/>
        <v>0</v>
      </c>
      <c r="AK87" s="280">
        <f t="shared" si="18"/>
        <v>0</v>
      </c>
      <c r="AL87" s="279"/>
      <c r="AM87" s="280"/>
      <c r="AN87" s="280"/>
      <c r="AO87" s="280">
        <f t="shared" ref="AO87:AP87" si="19">AO5</f>
        <v>0</v>
      </c>
      <c r="AP87" s="280">
        <f t="shared" si="19"/>
        <v>0</v>
      </c>
      <c r="AQ87" s="279"/>
      <c r="AR87" s="423" t="str">
        <f t="shared" ref="AR87:AS87" si="20">AR5</f>
        <v/>
      </c>
      <c r="AS87" s="280">
        <f t="shared" si="20"/>
        <v>0</v>
      </c>
      <c r="AT87" s="380"/>
      <c r="AU87" s="167">
        <f t="shared" ref="AU87:AW87" si="21">AU5</f>
        <v>0</v>
      </c>
      <c r="AV87" s="167">
        <f t="shared" si="21"/>
        <v>0</v>
      </c>
      <c r="AW87" s="392">
        <f t="shared" si="21"/>
        <v>0</v>
      </c>
    </row>
    <row r="88">
      <c r="AM88" s="393"/>
      <c r="AN88" s="393"/>
      <c r="AO88" s="43" t="s">
        <v>237</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5">
    <cfRule type="cellIs" dxfId="6" priority="1" operator="notEqual">
      <formula>ROUND(AB7,3)</formula>
    </cfRule>
  </conditionalFormatting>
  <conditionalFormatting sqref="AI7:AI85">
    <cfRule type="cellIs" dxfId="7" priority="2" operator="notEqual">
      <formula>W7</formula>
    </cfRule>
  </conditionalFormatting>
  <conditionalFormatting sqref="AH7:AH85">
    <cfRule type="cellIs" dxfId="8" priority="3" operator="equal">
      <formula>0</formula>
    </cfRule>
  </conditionalFormatting>
  <conditionalFormatting sqref="K7:K85">
    <cfRule type="cellIs" dxfId="6" priority="4" operator="notEqual">
      <formula>AA7</formula>
    </cfRule>
  </conditionalFormatting>
  <dataValidations>
    <dataValidation type="decimal" operator="greaterThanOrEqual" allowBlank="1" showDropDown="1" showErrorMessage="1" sqref="D7:D85 I7:I85">
      <formula1>0.0</formula1>
    </dataValidation>
    <dataValidation type="list" allowBlank="1" showErrorMessage="1" sqref="S7:S85">
      <formula1>"balance,cash,shares,pro-rata"</formula1>
    </dataValidation>
  </dataValidations>
  <hyperlinks>
    <hyperlink r:id="rId2" location=":~:text=Attach%20a%20statement%20to%20your%20return%20explaining%20the%20adjustment%20that%20you%20made%20to%20the%20sales%20proceeds%20reported%20for%20that%20transaction." ref="AO88"/>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20.88"/>
    <col customWidth="1" min="5" max="5" width="19.0"/>
  </cols>
  <sheetData>
    <row r="1">
      <c r="A1" s="114" t="s">
        <v>238</v>
      </c>
      <c r="B1" s="114"/>
      <c r="C1" s="2"/>
      <c r="D1" s="2"/>
      <c r="E1" s="2"/>
      <c r="F1" s="2"/>
      <c r="G1" s="2"/>
      <c r="H1" s="2"/>
      <c r="I1" s="2"/>
      <c r="J1" s="2"/>
      <c r="K1" s="2"/>
    </row>
    <row r="2">
      <c r="A2" s="114"/>
      <c r="B2" s="114"/>
      <c r="C2" s="2"/>
      <c r="D2" s="2"/>
      <c r="E2" s="2"/>
      <c r="F2" s="2"/>
      <c r="G2" s="2"/>
      <c r="H2" s="2"/>
      <c r="I2" s="2"/>
      <c r="J2" s="2"/>
      <c r="K2" s="2"/>
    </row>
    <row r="3">
      <c r="A3" s="114" t="s">
        <v>239</v>
      </c>
      <c r="B3" s="477">
        <v>142.5</v>
      </c>
      <c r="C3" s="2"/>
      <c r="D3" s="114" t="s">
        <v>240</v>
      </c>
      <c r="E3" s="478">
        <f>B3*B4 + B18*B5*B6</f>
        <v>142.5</v>
      </c>
      <c r="F3" s="2"/>
      <c r="G3" s="2"/>
      <c r="H3" s="2"/>
      <c r="I3" s="2"/>
      <c r="J3" s="2"/>
      <c r="K3" s="2"/>
    </row>
    <row r="4">
      <c r="A4" s="114" t="s">
        <v>241</v>
      </c>
      <c r="B4" s="479">
        <f>1-B5</f>
        <v>1</v>
      </c>
      <c r="C4" s="480"/>
      <c r="D4" s="110" t="s">
        <v>242</v>
      </c>
      <c r="E4" s="481" t="str">
        <f>SWITCH(Summary!K26,"Pro-rata - from eTrade transaction log", "eTradeTransactionLog", "Pro-rata - from Necessary Inputs", "eTradeHoldingRatio","Pro-rata - from eTrade share qty","eTradeLotQtyRatio", "Per-lot - from strategy or manual selection", "manualLotRatio")</f>
        <v>eTradeHoldingRatio</v>
      </c>
      <c r="F4" s="97"/>
      <c r="G4" s="97"/>
      <c r="H4" s="97"/>
      <c r="I4" s="2"/>
      <c r="J4" s="2"/>
      <c r="K4" s="2"/>
    </row>
    <row r="5">
      <c r="A5" s="114" t="s">
        <v>243</v>
      </c>
      <c r="B5" s="479">
        <f>IF(EQ($E$4, "eTradeTransactionLog"), $B$7,iferror(Summary!B26/(Summary!B26+Summary!B25),0))</f>
        <v>0</v>
      </c>
      <c r="C5" s="114"/>
      <c r="D5" s="114" t="s">
        <v>244</v>
      </c>
      <c r="E5" s="482">
        <v>0.0</v>
      </c>
      <c r="F5" s="114"/>
      <c r="G5" s="114"/>
      <c r="H5" s="114"/>
      <c r="I5" s="2"/>
      <c r="J5" s="2"/>
      <c r="K5" s="2"/>
    </row>
    <row r="6">
      <c r="A6" s="114" t="s">
        <v>245</v>
      </c>
      <c r="B6" s="483">
        <v>0.252</v>
      </c>
      <c r="C6" s="114"/>
      <c r="D6" s="114" t="s">
        <v>246</v>
      </c>
      <c r="E6" s="484">
        <v>1.0</v>
      </c>
      <c r="F6" s="114"/>
      <c r="G6" s="114"/>
      <c r="H6" s="114"/>
      <c r="I6" s="2"/>
      <c r="J6" s="2"/>
      <c r="K6" s="2"/>
    </row>
    <row r="7">
      <c r="A7" s="114" t="s">
        <v>247</v>
      </c>
      <c r="B7" s="485" t="s">
        <v>248</v>
      </c>
      <c r="C7" s="114"/>
      <c r="D7" s="114" t="s">
        <v>249</v>
      </c>
      <c r="E7" s="486" t="str">
        <f>LET(
targetAvgo,Summary!$B$26*B6,
esppAvgoExBal, SUMIF(ESPP!$W7:$W27,"&lt;&gt;balance",ESPP!$AI7:$AI27),
esppVmwBase,   SUMIF(ESPP!$W7:$W27,"=balance",ESPP!$D7:$D27),
rsuAvgoExBal,  SUMIF(RSU!$S7:$S85, "&lt;&gt;balance",RSU!$AE7:$AE85),
rsuVmwBase,    SUMIF(RSU!$S7:$S85, "=balance",RSU!$D7:$D85),
missingAvgo,   targetAvgo - esppAvgoExBal -rsuAvgoExBal,
ratio,         (missingAvgo/$B$6)/(rsuVmwBase+esppVmwBase),
IF(missingAvgo&lt;0,error("insufficient balance lots"),
  IF(ratio&gt;1,error("unsufficient balance lots"),
        ratio
    )
  )
)</f>
        <v>#DIV/0!</v>
      </c>
      <c r="F7" s="114"/>
      <c r="G7" s="114"/>
      <c r="H7" s="114"/>
      <c r="I7" s="2"/>
      <c r="J7" s="2"/>
      <c r="K7" s="2"/>
    </row>
    <row r="8">
      <c r="A8" s="114"/>
      <c r="B8" s="144"/>
      <c r="C8" s="114"/>
      <c r="D8" s="114" t="s">
        <v>250</v>
      </c>
      <c r="E8" s="114" t="str">
        <f>IFERROR(__xludf.DUMMYFUNCTION("LET(
ratioTotals, SUM(ESPP!U7:U27)+SUM(RSU!Q7:Q85),
numLots, COUNTIF(ESPP!U7:U27, ""&gt;0"") + COUNTIF(RSU!Q7:Q85, ""&gt;0""),
stdev, STDEV(FILTER(ESPP!U7:U27,ESPP!U7:U27&gt;0),FILTER(RSU!Q7:Q85,RSU!Q7:Q85&gt;0)),
avg,ratioTotals/numLots,
threshold,avg - stdev,
thres"&amp;"hold
)"),"#DIV/0!")</f>
        <v>#DIV/0!</v>
      </c>
      <c r="F8" s="487"/>
      <c r="G8" s="114"/>
      <c r="H8" s="114"/>
      <c r="I8" s="2"/>
      <c r="J8" s="2"/>
      <c r="K8" s="2"/>
    </row>
    <row r="9">
      <c r="A9" s="2"/>
      <c r="B9" s="2"/>
      <c r="C9" s="2"/>
      <c r="D9" s="114" t="s">
        <v>251</v>
      </c>
      <c r="E9" s="488" t="str">
        <f>iferror(SWITCH(#REF!, "Cash Only", "cashOnly", "Cash &amp; AVGO FMV", "combined"),"combined")</f>
        <v>combined</v>
      </c>
      <c r="F9" s="2"/>
      <c r="G9" s="114"/>
      <c r="H9" s="2"/>
      <c r="I9" s="2"/>
      <c r="J9" s="2"/>
      <c r="K9" s="2"/>
    </row>
    <row r="10">
      <c r="A10" s="96" t="s">
        <v>252</v>
      </c>
      <c r="B10" s="489">
        <f>Summary!M28</f>
        <v>1257.87</v>
      </c>
      <c r="C10" s="2"/>
      <c r="D10" s="2"/>
      <c r="E10" s="2"/>
      <c r="F10" s="2"/>
      <c r="G10" s="114"/>
      <c r="H10" s="2"/>
      <c r="I10" s="2"/>
      <c r="J10" s="2"/>
      <c r="K10" s="2"/>
    </row>
    <row r="11">
      <c r="A11" s="2"/>
      <c r="B11" s="2"/>
      <c r="C11" s="2"/>
      <c r="D11" s="114"/>
      <c r="E11" s="2"/>
      <c r="F11" s="2"/>
      <c r="G11" s="114"/>
      <c r="H11" s="2"/>
      <c r="I11" s="2"/>
      <c r="J11" s="2"/>
      <c r="K11" s="2"/>
    </row>
    <row r="12">
      <c r="A12" s="490" t="s">
        <v>253</v>
      </c>
      <c r="B12" s="2"/>
      <c r="C12" s="2"/>
      <c r="D12" s="2"/>
      <c r="E12" s="2"/>
      <c r="F12" s="2"/>
      <c r="G12" s="2"/>
      <c r="H12" s="2"/>
      <c r="I12" s="2"/>
      <c r="J12" s="2"/>
      <c r="K12" s="2"/>
    </row>
    <row r="13">
      <c r="A13" s="490" t="s">
        <v>254</v>
      </c>
      <c r="B13" s="477">
        <v>983.69</v>
      </c>
      <c r="C13" s="2"/>
      <c r="D13" s="2"/>
      <c r="E13" s="2"/>
      <c r="F13" s="2"/>
      <c r="G13" s="2"/>
      <c r="H13" s="2"/>
      <c r="I13" s="2"/>
      <c r="J13" s="2"/>
      <c r="K13" s="2"/>
    </row>
    <row r="14">
      <c r="A14" s="490" t="s">
        <v>255</v>
      </c>
      <c r="B14" s="477">
        <v>972.0</v>
      </c>
      <c r="C14" s="2"/>
      <c r="D14" s="2"/>
      <c r="E14" s="2"/>
      <c r="F14" s="2"/>
      <c r="G14" s="2"/>
      <c r="H14" s="2"/>
      <c r="I14" s="2"/>
      <c r="J14" s="2"/>
      <c r="K14" s="2"/>
    </row>
    <row r="15">
      <c r="A15" s="490" t="s">
        <v>68</v>
      </c>
      <c r="B15" s="477">
        <v>979.5</v>
      </c>
      <c r="C15" s="2"/>
      <c r="D15" s="2"/>
      <c r="E15" s="2"/>
      <c r="F15" s="2"/>
      <c r="G15" s="2"/>
      <c r="H15" s="2"/>
      <c r="I15" s="2"/>
      <c r="J15" s="2"/>
      <c r="K15" s="2"/>
    </row>
    <row r="16">
      <c r="A16" s="490" t="s">
        <v>256</v>
      </c>
      <c r="B16" s="477">
        <v>987.99</v>
      </c>
      <c r="C16" s="2"/>
      <c r="D16" s="2"/>
      <c r="E16" s="2"/>
      <c r="F16" s="2"/>
      <c r="G16" s="2"/>
      <c r="H16" s="2"/>
      <c r="I16" s="2"/>
      <c r="J16" s="2"/>
      <c r="K16" s="2"/>
    </row>
    <row r="17">
      <c r="A17" s="490" t="s">
        <v>257</v>
      </c>
      <c r="B17" s="477">
        <v>971.0</v>
      </c>
      <c r="C17" s="2"/>
      <c r="D17" s="2"/>
      <c r="E17" s="2"/>
      <c r="F17" s="2"/>
      <c r="G17" s="2"/>
      <c r="H17" s="2"/>
      <c r="I17" s="2"/>
      <c r="J17" s="2"/>
      <c r="K17" s="2"/>
    </row>
    <row r="18">
      <c r="A18" s="491" t="s">
        <v>61</v>
      </c>
      <c r="B18" s="492">
        <f>SWITCH(Summary!K25,"Close",B14,"Mean",B15,"High",B16, "Low",B17, "Custom",Summary!M25)</f>
        <v>979.5</v>
      </c>
      <c r="C18" s="2"/>
      <c r="D18" s="2"/>
      <c r="E18" s="2"/>
      <c r="F18" s="2"/>
      <c r="G18" s="2"/>
      <c r="H18" s="2"/>
      <c r="I18" s="2"/>
      <c r="J18" s="2"/>
      <c r="K18" s="2"/>
    </row>
    <row r="19">
      <c r="A19" s="114"/>
      <c r="B19" s="2"/>
      <c r="C19" s="2"/>
      <c r="D19" s="2"/>
      <c r="E19" s="2"/>
      <c r="F19" s="2"/>
      <c r="G19" s="2"/>
      <c r="H19" s="2"/>
      <c r="I19" s="2"/>
      <c r="J19" s="2"/>
      <c r="K19" s="2"/>
    </row>
    <row r="20">
      <c r="A20" s="96" t="s">
        <v>258</v>
      </c>
      <c r="B20" s="114"/>
      <c r="C20" s="2"/>
      <c r="D20" s="2"/>
      <c r="E20" s="2"/>
      <c r="F20" s="2"/>
      <c r="G20" s="2"/>
      <c r="H20" s="2"/>
      <c r="I20" s="2"/>
      <c r="J20" s="2"/>
      <c r="K20" s="2"/>
    </row>
    <row r="21">
      <c r="A21" s="96" t="s">
        <v>77</v>
      </c>
      <c r="B21" s="493">
        <v>904.79</v>
      </c>
      <c r="C21" s="2"/>
      <c r="D21" s="2"/>
      <c r="E21" s="2"/>
      <c r="F21" s="2"/>
      <c r="G21" s="2"/>
      <c r="H21" s="2"/>
      <c r="I21" s="2"/>
      <c r="J21" s="2"/>
      <c r="K21" s="2"/>
    </row>
    <row r="22">
      <c r="A22" s="96" t="s">
        <v>259</v>
      </c>
      <c r="B22" s="477">
        <v>981.2</v>
      </c>
      <c r="C22" s="2"/>
      <c r="D22" s="2"/>
      <c r="E22" s="2"/>
      <c r="F22" s="2"/>
      <c r="G22" s="2"/>
      <c r="H22" s="2"/>
      <c r="I22" s="2"/>
      <c r="J22" s="2"/>
      <c r="K22" s="2"/>
    </row>
    <row r="23">
      <c r="A23" s="491" t="s">
        <v>61</v>
      </c>
      <c r="B23" s="494">
        <f>SWITCH(Summary!K27,"eTrade",B21,"Form 8937",B22,"Custom",Summary!M27)</f>
        <v>904.79</v>
      </c>
      <c r="C23" s="2"/>
      <c r="D23" s="2"/>
      <c r="E23" s="2"/>
      <c r="F23" s="2"/>
      <c r="G23" s="2"/>
      <c r="H23" s="2"/>
      <c r="I23" s="2"/>
      <c r="J23" s="2"/>
      <c r="K23" s="2"/>
    </row>
    <row r="24">
      <c r="A24" s="2"/>
      <c r="B24" s="2"/>
      <c r="C24" s="114"/>
      <c r="D24" s="2"/>
      <c r="E24" s="2"/>
      <c r="F24" s="2"/>
      <c r="G24" s="2"/>
      <c r="H24" s="2"/>
      <c r="I24" s="2"/>
      <c r="J24" s="2"/>
      <c r="K24" s="2"/>
    </row>
    <row r="25">
      <c r="A25" s="96" t="s">
        <v>260</v>
      </c>
      <c r="B25" s="495"/>
      <c r="C25" s="96" t="s">
        <v>261</v>
      </c>
      <c r="D25" s="2"/>
      <c r="E25" s="2"/>
      <c r="F25" s="2"/>
      <c r="G25" s="2"/>
      <c r="H25" s="2"/>
      <c r="I25" s="2"/>
      <c r="J25" s="2"/>
      <c r="K25" s="2"/>
    </row>
    <row r="26">
      <c r="A26" s="114" t="s">
        <v>262</v>
      </c>
      <c r="B26" s="496">
        <v>43461.0</v>
      </c>
      <c r="C26" s="477">
        <v>10.18</v>
      </c>
      <c r="D26" s="2"/>
      <c r="E26" s="2"/>
      <c r="F26" s="2"/>
      <c r="G26" s="2"/>
      <c r="H26" s="2"/>
      <c r="I26" s="2"/>
      <c r="J26" s="2"/>
      <c r="K26" s="2"/>
    </row>
    <row r="27">
      <c r="A27" s="114" t="s">
        <v>262</v>
      </c>
      <c r="B27" s="496">
        <v>44498.0</v>
      </c>
      <c r="C27" s="477">
        <v>16.58</v>
      </c>
      <c r="D27" s="2"/>
      <c r="E27" s="114"/>
      <c r="F27" s="114"/>
      <c r="G27" s="114"/>
      <c r="H27" s="2"/>
      <c r="I27" s="2"/>
      <c r="J27" s="2"/>
      <c r="K27" s="2"/>
    </row>
    <row r="28">
      <c r="A28" s="114" t="s">
        <v>263</v>
      </c>
      <c r="B28" s="496">
        <v>45252.0</v>
      </c>
      <c r="C28" s="2"/>
      <c r="D28" s="2"/>
      <c r="E28" s="2"/>
      <c r="F28" s="2"/>
      <c r="G28" s="2"/>
      <c r="H28" s="2"/>
      <c r="I28" s="2"/>
      <c r="J28" s="2"/>
      <c r="K28" s="2"/>
    </row>
    <row r="29">
      <c r="A29" s="114" t="s">
        <v>264</v>
      </c>
      <c r="B29" s="497">
        <f>SWITCH(Summary!$K$28,"today",TODAY(),"last year","2023-12-31",Summary!$K$28)</f>
        <v>45364</v>
      </c>
      <c r="C29" s="96"/>
      <c r="D29" s="96"/>
      <c r="E29" s="96"/>
      <c r="F29" s="96"/>
      <c r="G29" s="96"/>
      <c r="H29" s="2"/>
      <c r="I29" s="2"/>
      <c r="J29" s="2"/>
      <c r="K29" s="2"/>
    </row>
    <row r="30">
      <c r="A30" s="96"/>
      <c r="B30" s="498"/>
      <c r="D30" s="2"/>
      <c r="E30" s="2"/>
      <c r="F30" s="114"/>
      <c r="G30" s="114"/>
      <c r="H30" s="2"/>
      <c r="I30" s="2"/>
      <c r="J30" s="2"/>
      <c r="K30" s="2"/>
    </row>
    <row r="31">
      <c r="A31" s="96" t="s">
        <v>101</v>
      </c>
      <c r="B31" s="499">
        <f>ESPP!AA5+RSU!W5</f>
        <v>0</v>
      </c>
      <c r="C31" s="500" t="s">
        <v>265</v>
      </c>
      <c r="D31" s="241"/>
      <c r="E31" s="114"/>
      <c r="F31" s="114"/>
      <c r="G31" s="114"/>
      <c r="H31" s="2"/>
      <c r="I31" s="2"/>
      <c r="J31" s="2"/>
      <c r="K31" s="2"/>
    </row>
    <row r="32">
      <c r="A32" s="96" t="s">
        <v>266</v>
      </c>
      <c r="B32" s="501">
        <f>Summary!K32+Summary!K30+Summary!G26+ESPP!AN5+RSU!AJ5+C32</f>
        <v>0</v>
      </c>
      <c r="C32" s="502">
        <f>IF(LT(YEAR($B$29),2024),Summary!D44+Summary!G44,0)</f>
        <v>0</v>
      </c>
      <c r="D32" s="241"/>
      <c r="E32" s="114"/>
      <c r="F32" s="114"/>
      <c r="G32" s="114"/>
      <c r="H32" s="2"/>
      <c r="I32" s="2"/>
      <c r="J32" s="2"/>
      <c r="K32" s="2"/>
    </row>
    <row r="33">
      <c r="A33" s="96" t="s">
        <v>267</v>
      </c>
      <c r="B33" s="501">
        <f>Summary!K31+ESPP!AO5+RSU!AK5+C33</f>
        <v>0</v>
      </c>
      <c r="C33" s="503">
        <f>IF(LT(YEAR($B$29),2024),Summary!$E$44,0)</f>
        <v>0</v>
      </c>
      <c r="D33" s="241"/>
      <c r="E33" s="114"/>
      <c r="F33" s="114"/>
      <c r="G33" s="114"/>
      <c r="H33" s="2"/>
      <c r="I33" s="2"/>
      <c r="J33" s="2"/>
      <c r="K33" s="2"/>
    </row>
    <row r="34">
      <c r="A34" s="114"/>
      <c r="B34" s="504"/>
      <c r="C34" s="241"/>
      <c r="D34" s="241"/>
      <c r="E34" s="114"/>
      <c r="F34" s="114"/>
      <c r="G34" s="114"/>
      <c r="H34" s="2"/>
      <c r="I34" s="2"/>
      <c r="J34" s="2"/>
      <c r="K34" s="2"/>
    </row>
    <row r="35">
      <c r="A35" s="114"/>
      <c r="B35" s="505" t="s">
        <v>92</v>
      </c>
      <c r="C35" s="139" t="s">
        <v>268</v>
      </c>
      <c r="D35" s="139" t="s">
        <v>269</v>
      </c>
      <c r="E35" s="114"/>
      <c r="F35" s="114"/>
      <c r="G35" s="114"/>
      <c r="H35" s="2"/>
      <c r="I35" s="2"/>
      <c r="J35" s="2"/>
      <c r="K35" s="2"/>
    </row>
    <row r="36">
      <c r="A36" s="96" t="s">
        <v>270</v>
      </c>
      <c r="B36" s="506">
        <v>13850.0</v>
      </c>
      <c r="C36" s="506">
        <v>27700.0</v>
      </c>
      <c r="D36" s="506">
        <v>20800.0</v>
      </c>
      <c r="E36" s="114"/>
      <c r="F36" s="114"/>
      <c r="G36" s="114"/>
      <c r="H36" s="2"/>
      <c r="I36" s="2"/>
      <c r="J36" s="2"/>
      <c r="K36" s="2"/>
    </row>
    <row r="37">
      <c r="A37" s="2"/>
      <c r="B37" s="2"/>
      <c r="C37" s="2"/>
      <c r="D37" s="2"/>
      <c r="E37" s="2"/>
      <c r="F37" s="2"/>
      <c r="G37" s="2"/>
      <c r="H37" s="2"/>
      <c r="I37" s="2"/>
      <c r="J37" s="2"/>
      <c r="K37" s="2"/>
    </row>
    <row r="38">
      <c r="A38" s="96" t="s">
        <v>271</v>
      </c>
      <c r="B38" s="507">
        <v>0.0</v>
      </c>
      <c r="C38" s="507">
        <v>0.15</v>
      </c>
      <c r="D38" s="507">
        <v>0.2</v>
      </c>
      <c r="E38" s="2"/>
      <c r="F38" s="2"/>
      <c r="G38" s="2"/>
      <c r="H38" s="2"/>
      <c r="I38" s="2"/>
      <c r="J38" s="2"/>
      <c r="K38" s="2"/>
    </row>
    <row r="39">
      <c r="A39" s="96" t="s">
        <v>92</v>
      </c>
      <c r="B39" s="489">
        <v>0.0</v>
      </c>
      <c r="C39" s="489">
        <v>44625.0</v>
      </c>
      <c r="D39" s="489">
        <v>492300.0</v>
      </c>
      <c r="E39" s="2"/>
      <c r="F39" s="2"/>
      <c r="G39" s="2"/>
      <c r="H39" s="2"/>
      <c r="I39" s="2"/>
      <c r="J39" s="2"/>
      <c r="K39" s="2"/>
    </row>
    <row r="40">
      <c r="A40" s="96" t="s">
        <v>268</v>
      </c>
      <c r="B40" s="489">
        <v>0.0</v>
      </c>
      <c r="C40" s="489">
        <v>89250.0</v>
      </c>
      <c r="D40" s="489">
        <v>553850.0</v>
      </c>
      <c r="E40" s="2"/>
      <c r="F40" s="2"/>
      <c r="G40" s="2"/>
      <c r="H40" s="2"/>
      <c r="I40" s="2"/>
      <c r="J40" s="2"/>
      <c r="K40" s="2"/>
    </row>
    <row r="41">
      <c r="A41" s="96" t="s">
        <v>269</v>
      </c>
      <c r="B41" s="489">
        <v>0.0</v>
      </c>
      <c r="C41" s="489">
        <v>59750.0</v>
      </c>
      <c r="D41" s="489">
        <v>523050.0</v>
      </c>
      <c r="E41" s="2"/>
      <c r="F41" s="2"/>
      <c r="G41" s="2"/>
      <c r="H41" s="2"/>
      <c r="I41" s="2"/>
      <c r="J41" s="2"/>
      <c r="K41" s="2"/>
    </row>
    <row r="42">
      <c r="A42" s="114" t="s">
        <v>61</v>
      </c>
      <c r="B42" s="508">
        <f>SWITCH(Summary!$K$33,"Single",B39,"Joint",B40,"Head of household",B41)</f>
        <v>0</v>
      </c>
      <c r="C42" s="508">
        <f>SWITCH(Summary!$K$33,"Single",C39,"Joint",C40,"Head of household",C41)</f>
        <v>44625</v>
      </c>
      <c r="D42" s="508">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96" t="s">
        <v>272</v>
      </c>
      <c r="B44" s="509">
        <f>LET(agi,B32+B33,if(agi&lt;C42,0%,if(agi&lt;D42,15%,20%)))</f>
        <v>0</v>
      </c>
      <c r="C44" s="2"/>
      <c r="D44" s="2"/>
      <c r="E44" s="2"/>
      <c r="F44" s="2"/>
      <c r="G44" s="2"/>
      <c r="H44" s="2"/>
      <c r="I44" s="2"/>
      <c r="J44" s="2"/>
      <c r="K44" s="2"/>
    </row>
    <row r="45">
      <c r="A45" s="2"/>
      <c r="B45" s="2"/>
      <c r="C45" s="2"/>
      <c r="D45" s="2"/>
      <c r="E45" s="2"/>
      <c r="F45" s="2"/>
      <c r="G45" s="2"/>
      <c r="H45" s="2"/>
      <c r="I45" s="2"/>
      <c r="J45" s="2"/>
      <c r="K45" s="2"/>
    </row>
    <row r="46">
      <c r="A46" s="96" t="s">
        <v>273</v>
      </c>
      <c r="B46" s="507">
        <v>0.1</v>
      </c>
      <c r="C46" s="507">
        <v>0.12</v>
      </c>
      <c r="D46" s="507">
        <v>0.22</v>
      </c>
      <c r="E46" s="507">
        <v>0.24</v>
      </c>
      <c r="F46" s="507">
        <v>0.32</v>
      </c>
      <c r="G46" s="507">
        <v>0.35</v>
      </c>
      <c r="H46" s="507">
        <v>0.37</v>
      </c>
      <c r="I46" s="2"/>
      <c r="J46" s="2"/>
      <c r="K46" s="2"/>
    </row>
    <row r="47">
      <c r="A47" s="96" t="s">
        <v>92</v>
      </c>
      <c r="B47" s="489">
        <v>0.0</v>
      </c>
      <c r="C47" s="489">
        <v>11000.0</v>
      </c>
      <c r="D47" s="489">
        <v>44725.0</v>
      </c>
      <c r="E47" s="489">
        <v>95375.0</v>
      </c>
      <c r="F47" s="489">
        <v>182100.0</v>
      </c>
      <c r="G47" s="489">
        <v>231250.0</v>
      </c>
      <c r="H47" s="489">
        <v>578125.0</v>
      </c>
      <c r="I47" s="2"/>
      <c r="J47" s="2"/>
      <c r="K47" s="2"/>
    </row>
    <row r="48">
      <c r="A48" s="96" t="s">
        <v>268</v>
      </c>
      <c r="B48" s="489">
        <v>0.0</v>
      </c>
      <c r="C48" s="489">
        <v>22000.0</v>
      </c>
      <c r="D48" s="489">
        <v>89450.0</v>
      </c>
      <c r="E48" s="489">
        <v>190750.0</v>
      </c>
      <c r="F48" s="489">
        <v>364200.0</v>
      </c>
      <c r="G48" s="489">
        <v>462500.0</v>
      </c>
      <c r="H48" s="489">
        <v>693750.0</v>
      </c>
      <c r="I48" s="2"/>
      <c r="J48" s="2"/>
      <c r="K48" s="2"/>
    </row>
    <row r="49">
      <c r="A49" s="114" t="s">
        <v>61</v>
      </c>
      <c r="B49" s="510">
        <f>SWITCH(Summary!$K$33,"Single",B47,"Head of household",B47,"Joint",B48)</f>
        <v>0</v>
      </c>
      <c r="C49" s="510">
        <f>SWITCH(Summary!$K$33,"Single",C47,"Head of household",C47,"Joint",C48)</f>
        <v>11000</v>
      </c>
      <c r="D49" s="510">
        <f>SWITCH(Summary!$K$33,"Single",D47,"Head of household",D47,"Joint",D48)</f>
        <v>44725</v>
      </c>
      <c r="E49" s="510">
        <f>SWITCH(Summary!$K$33,"Single",E47,"Head of household",E47,"Joint",E48)</f>
        <v>95375</v>
      </c>
      <c r="F49" s="510">
        <f>SWITCH(Summary!$K$33,"Single",F47,"Head of household",F47,"Joint",F48)</f>
        <v>182100</v>
      </c>
      <c r="G49" s="510">
        <f>SWITCH(Summary!$K$33,"Single",G47,"Head of household",G47,"Joint",G48)</f>
        <v>231250</v>
      </c>
      <c r="H49" s="510">
        <f>SWITCH(Summary!$K$33,"Single",H47,"Head of household",H47,"Joint",H48)</f>
        <v>578125</v>
      </c>
      <c r="I49" s="2"/>
      <c r="J49" s="2"/>
      <c r="K49" s="2"/>
    </row>
    <row r="50">
      <c r="A50" s="96"/>
      <c r="B50" s="97"/>
      <c r="C50" s="96"/>
      <c r="D50" s="96"/>
      <c r="E50" s="96"/>
      <c r="F50" s="114"/>
      <c r="G50" s="2"/>
      <c r="H50" s="2"/>
      <c r="I50" s="2"/>
      <c r="J50" s="2"/>
      <c r="K50" s="2"/>
    </row>
    <row r="51">
      <c r="A51" s="96" t="s">
        <v>274</v>
      </c>
      <c r="B51" s="511">
        <v>0.01</v>
      </c>
      <c r="C51" s="507">
        <v>0.02</v>
      </c>
      <c r="D51" s="507">
        <v>0.04</v>
      </c>
      <c r="E51" s="507">
        <v>0.06</v>
      </c>
      <c r="F51" s="512">
        <v>0.08</v>
      </c>
      <c r="G51" s="507">
        <v>0.093</v>
      </c>
      <c r="H51" s="507">
        <v>0.103</v>
      </c>
      <c r="I51" s="507">
        <v>0.113</v>
      </c>
      <c r="J51" s="507">
        <v>0.123</v>
      </c>
      <c r="K51" s="507">
        <v>0.133</v>
      </c>
    </row>
    <row r="52">
      <c r="A52" s="96" t="s">
        <v>92</v>
      </c>
      <c r="B52" s="510">
        <v>0.0</v>
      </c>
      <c r="C52" s="489">
        <v>10412.0</v>
      </c>
      <c r="D52" s="489">
        <v>24684.0</v>
      </c>
      <c r="E52" s="489">
        <v>38959.0</v>
      </c>
      <c r="F52" s="489">
        <v>54081.0</v>
      </c>
      <c r="G52" s="513">
        <v>68350.0</v>
      </c>
      <c r="H52" s="489">
        <v>349137.0</v>
      </c>
      <c r="I52" s="489">
        <v>418961.0</v>
      </c>
      <c r="J52" s="489">
        <v>698271.0</v>
      </c>
      <c r="K52" s="489">
        <v>1000000.0</v>
      </c>
    </row>
    <row r="53">
      <c r="A53" s="96" t="s">
        <v>268</v>
      </c>
      <c r="B53" s="510">
        <v>0.0</v>
      </c>
      <c r="C53" s="489">
        <v>20824.0</v>
      </c>
      <c r="D53" s="489">
        <v>49368.0</v>
      </c>
      <c r="E53" s="489">
        <v>77918.0</v>
      </c>
      <c r="F53" s="513">
        <v>108162.0</v>
      </c>
      <c r="G53" s="489">
        <v>136700.0</v>
      </c>
      <c r="H53" s="489">
        <v>698274.0</v>
      </c>
      <c r="I53" s="489">
        <v>837922.0</v>
      </c>
      <c r="J53" s="489">
        <v>1396542.0</v>
      </c>
      <c r="K53" s="489">
        <v>2000000.0</v>
      </c>
    </row>
    <row r="54">
      <c r="A54" s="96" t="s">
        <v>269</v>
      </c>
      <c r="B54" s="510">
        <v>0.0</v>
      </c>
      <c r="C54" s="489">
        <v>20839.0</v>
      </c>
      <c r="D54" s="489">
        <v>49371.0</v>
      </c>
      <c r="E54" s="489">
        <v>63644.0</v>
      </c>
      <c r="F54" s="513">
        <v>78765.0</v>
      </c>
      <c r="G54" s="489">
        <v>93037.0</v>
      </c>
      <c r="H54" s="489">
        <v>474824.0</v>
      </c>
      <c r="I54" s="489">
        <v>569790.0</v>
      </c>
      <c r="J54" s="489">
        <v>949649.0</v>
      </c>
      <c r="K54" s="489">
        <v>1000000.0</v>
      </c>
    </row>
    <row r="55">
      <c r="A55" s="114" t="s">
        <v>61</v>
      </c>
      <c r="B55" s="510">
        <f>SWITCH(Summary!$K$33,"Single",B52,"Head of household",B54,"Joint",B53)</f>
        <v>0</v>
      </c>
      <c r="C55" s="510">
        <f>SWITCH(Summary!$K$33,"Single",C52,"Head of household",C54,"Joint",C53)</f>
        <v>10412</v>
      </c>
      <c r="D55" s="510">
        <f>SWITCH(Summary!$K$33,"Single",D52,"Head of household",D54,"Joint",D53)</f>
        <v>24684</v>
      </c>
      <c r="E55" s="510">
        <f>SWITCH(Summary!$K$33,"Single",E52,"Head of household",E54,"Joint",E53)</f>
        <v>38959</v>
      </c>
      <c r="F55" s="510">
        <f>SWITCH(Summary!$K$33,"Single",F52,"Head of household",F54,"Joint",F53)</f>
        <v>54081</v>
      </c>
      <c r="G55" s="510">
        <f>SWITCH(Summary!$K$33,"Single",G52,"Head of household",G54,"Joint",G53)</f>
        <v>68350</v>
      </c>
      <c r="H55" s="510">
        <f>SWITCH(Summary!$K$33,"Single",H52,"Head of household",H54,"Joint",H53)</f>
        <v>349137</v>
      </c>
      <c r="I55" s="510">
        <f>SWITCH(Summary!$K$33,"Single",I52,"Head of household",I54,"Joint",I53)</f>
        <v>418961</v>
      </c>
      <c r="J55" s="510">
        <f>SWITCH(Summary!$K$33,"Single",J52,"Head of household",J54,"Joint",J53)</f>
        <v>698271</v>
      </c>
      <c r="K55" s="510">
        <f>SWITCH(Summary!$K$33,"Single",K52,"Head of household",K54,"Joint",K53)</f>
        <v>1000000</v>
      </c>
    </row>
    <row r="56">
      <c r="A56" s="96"/>
      <c r="B56" s="480"/>
      <c r="C56" s="114"/>
      <c r="D56" s="2"/>
      <c r="E56" s="114"/>
      <c r="F56" s="514"/>
      <c r="G56" s="2"/>
      <c r="H56" s="2"/>
      <c r="I56" s="2"/>
      <c r="J56" s="2"/>
      <c r="K56" s="2"/>
    </row>
    <row r="57">
      <c r="A57" s="96"/>
      <c r="B57" s="480"/>
      <c r="C57" s="114" t="s">
        <v>275</v>
      </c>
      <c r="D57" s="2"/>
      <c r="E57" s="114"/>
      <c r="F57" s="514"/>
      <c r="G57" s="2"/>
      <c r="H57" s="2"/>
      <c r="I57" s="2"/>
      <c r="J57" s="2"/>
      <c r="K57" s="2"/>
    </row>
    <row r="58">
      <c r="A58" s="96" t="s">
        <v>276</v>
      </c>
      <c r="B58" s="501">
        <f>LET(income, B32 - Summary!L34, 
(0.1*(MIN(MAX(income-B49,0), C49-B49))) +
(0.12*(MIN(MAX(income-C49,0),D49-C49))) +
(0.22*(MIN(MAX(income-D49,0),E49-D49))) +
(0.24*(MIN(MAX(income-E49,0),F49-E49))) +
(0.32*(MIN(MAX(income-F49,0),G49-F49))) +
(0.35*(MIN(MAX(income-G49,0),H49-G49))) +
(0.37*MAX(income-H49,0)))</f>
        <v>0</v>
      </c>
      <c r="C58" s="221">
        <f>LET(income, $B$32 - Summary!$L$34, B58/income)</f>
        <v>0</v>
      </c>
      <c r="D58" s="2"/>
      <c r="E58" s="114"/>
      <c r="F58" s="514"/>
      <c r="G58" s="2"/>
      <c r="H58" s="2"/>
      <c r="I58" s="2"/>
      <c r="J58" s="2"/>
      <c r="K58" s="2"/>
    </row>
    <row r="59">
      <c r="A59" s="96" t="s">
        <v>277</v>
      </c>
      <c r="B59" s="199">
        <f>B33*B44</f>
        <v>0</v>
      </c>
      <c r="C59" s="221"/>
      <c r="D59" s="2"/>
      <c r="E59" s="2"/>
      <c r="F59" s="514"/>
      <c r="G59" s="2"/>
      <c r="H59" s="2"/>
      <c r="I59" s="2"/>
      <c r="J59" s="2"/>
      <c r="K59" s="2"/>
    </row>
    <row r="60">
      <c r="A60" s="96" t="s">
        <v>278</v>
      </c>
      <c r="B60" s="199">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60" s="221">
        <f>LET(income, $B$32+$B$33 - Summary!$L$34, B60/income)</f>
        <v>0</v>
      </c>
      <c r="D60" s="2"/>
      <c r="E60" s="2"/>
      <c r="F60" s="514"/>
      <c r="G60" s="2"/>
      <c r="H60" s="2"/>
      <c r="I60" s="2"/>
      <c r="J60" s="2"/>
      <c r="K60" s="2"/>
    </row>
  </sheetData>
  <drawing r:id="rId2"/>
  <legacyDrawing r:id="rId3"/>
</worksheet>
</file>