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ffi\OneDrive\Рабочий стол\УЧЕБА.УЕБА\ФИЗИКА ЛАБЫ\"/>
    </mc:Choice>
  </mc:AlternateContent>
  <xr:revisionPtr revIDLastSave="0" documentId="8_{EE01499D-9F72-4A35-AEB0-D9F88CF71457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Ершова" sheetId="1" r:id="rId1"/>
    <sheet name="Ходжаев_1" sheetId="2" r:id="rId2"/>
    <sheet name="Ходжаев_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2" l="1"/>
  <c r="H25" i="2"/>
  <c r="I24" i="2"/>
  <c r="J24" i="2" s="1"/>
  <c r="H24" i="2"/>
  <c r="I23" i="2"/>
  <c r="J23" i="2" s="1"/>
  <c r="H23" i="2"/>
  <c r="I22" i="2"/>
  <c r="H22" i="2"/>
  <c r="I21" i="2"/>
  <c r="J21" i="2" s="1"/>
  <c r="H21" i="2"/>
  <c r="I20" i="2"/>
  <c r="H20" i="2"/>
  <c r="I19" i="2"/>
  <c r="J19" i="2" s="1"/>
  <c r="H19" i="2"/>
  <c r="I13" i="2"/>
  <c r="L13" i="2" s="1"/>
  <c r="H13" i="2"/>
  <c r="I12" i="2"/>
  <c r="L12" i="2" s="1"/>
  <c r="H12" i="2"/>
  <c r="I11" i="2"/>
  <c r="J11" i="2" s="1"/>
  <c r="H11" i="2"/>
  <c r="I10" i="2"/>
  <c r="J10" i="2" s="1"/>
  <c r="H10" i="2"/>
  <c r="I9" i="2"/>
  <c r="W7" i="2" s="1"/>
  <c r="H9" i="2"/>
  <c r="I8" i="2"/>
  <c r="L8" i="2" s="1"/>
  <c r="H8" i="2"/>
  <c r="J7" i="2"/>
  <c r="I7" i="2"/>
  <c r="H7" i="2"/>
  <c r="M30" i="1"/>
  <c r="L30" i="1"/>
  <c r="J30" i="1"/>
  <c r="K30" i="1" s="1"/>
  <c r="I30" i="1"/>
  <c r="M29" i="1"/>
  <c r="L29" i="1"/>
  <c r="J29" i="1"/>
  <c r="K29" i="1" s="1"/>
  <c r="I29" i="1"/>
  <c r="M28" i="1"/>
  <c r="L28" i="1"/>
  <c r="J28" i="1"/>
  <c r="K28" i="1" s="1"/>
  <c r="I28" i="1"/>
  <c r="M27" i="1"/>
  <c r="L27" i="1"/>
  <c r="J27" i="1"/>
  <c r="K27" i="1" s="1"/>
  <c r="I27" i="1"/>
  <c r="M26" i="1"/>
  <c r="L26" i="1"/>
  <c r="P27" i="1" s="1"/>
  <c r="J26" i="1"/>
  <c r="K26" i="1" s="1"/>
  <c r="I26" i="1"/>
  <c r="M22" i="1"/>
  <c r="L22" i="1"/>
  <c r="J22" i="1"/>
  <c r="K22" i="1" s="1"/>
  <c r="I22" i="1"/>
  <c r="M21" i="1"/>
  <c r="L21" i="1"/>
  <c r="J21" i="1"/>
  <c r="K21" i="1" s="1"/>
  <c r="I21" i="1"/>
  <c r="M20" i="1"/>
  <c r="L20" i="1"/>
  <c r="J20" i="1"/>
  <c r="K20" i="1" s="1"/>
  <c r="I20" i="1"/>
  <c r="M19" i="1"/>
  <c r="L19" i="1"/>
  <c r="P19" i="1" s="1"/>
  <c r="P22" i="1" s="1" a="1"/>
  <c r="P22" i="1" s="1"/>
  <c r="J19" i="1"/>
  <c r="K19" i="1" s="1"/>
  <c r="I19" i="1"/>
  <c r="M18" i="1"/>
  <c r="L18" i="1"/>
  <c r="J18" i="1"/>
  <c r="I18" i="1"/>
  <c r="K18" i="1" s="1"/>
  <c r="M14" i="1"/>
  <c r="K14" i="1"/>
  <c r="J14" i="1"/>
  <c r="L14" i="1" s="1"/>
  <c r="I14" i="1"/>
  <c r="M13" i="1"/>
  <c r="K13" i="1"/>
  <c r="J13" i="1"/>
  <c r="L13" i="1" s="1"/>
  <c r="I13" i="1"/>
  <c r="M12" i="1"/>
  <c r="L12" i="1"/>
  <c r="K12" i="1"/>
  <c r="J12" i="1"/>
  <c r="I12" i="1"/>
  <c r="M11" i="1"/>
  <c r="K11" i="1"/>
  <c r="J11" i="1"/>
  <c r="L11" i="1" s="1"/>
  <c r="I11" i="1"/>
  <c r="M10" i="1"/>
  <c r="K10" i="1"/>
  <c r="J10" i="1"/>
  <c r="L10" i="1" s="1"/>
  <c r="I10" i="1"/>
  <c r="M6" i="1"/>
  <c r="K6" i="1"/>
  <c r="L6" i="1" s="1"/>
  <c r="J6" i="1"/>
  <c r="I6" i="1"/>
  <c r="M5" i="1"/>
  <c r="K5" i="1"/>
  <c r="J5" i="1"/>
  <c r="L5" i="1" s="1"/>
  <c r="I5" i="1"/>
  <c r="M4" i="1"/>
  <c r="K4" i="1"/>
  <c r="J4" i="1"/>
  <c r="L4" i="1" s="1"/>
  <c r="I4" i="1"/>
  <c r="M3" i="1"/>
  <c r="P3" i="1" s="1"/>
  <c r="P6" i="1" s="1" a="1"/>
  <c r="P6" i="1" s="1"/>
  <c r="K3" i="1"/>
  <c r="J3" i="1"/>
  <c r="L3" i="1" s="1"/>
  <c r="I3" i="1"/>
  <c r="M2" i="1"/>
  <c r="K2" i="1"/>
  <c r="J2" i="1"/>
  <c r="L2" i="1" s="1"/>
  <c r="I2" i="1"/>
  <c r="N12" i="2" l="1"/>
  <c r="N13" i="2"/>
  <c r="P10" i="1"/>
  <c r="P13" i="1" a="1"/>
  <c r="P13" i="1" s="1"/>
  <c r="P26" i="1"/>
  <c r="P29" i="1" s="1" a="1"/>
  <c r="P29" i="1" s="1"/>
  <c r="L7" i="2"/>
  <c r="L10" i="2"/>
  <c r="P2" i="1"/>
  <c r="P5" i="1" s="1" a="1"/>
  <c r="P5" i="1" s="1"/>
  <c r="P21" i="1" a="1"/>
  <c r="P21" i="1" s="1"/>
  <c r="P18" i="1"/>
  <c r="P14" i="1" a="1"/>
  <c r="P14" i="1" s="1"/>
  <c r="N8" i="2"/>
  <c r="J12" i="2"/>
  <c r="J9" i="2"/>
  <c r="J22" i="2"/>
  <c r="Y7" i="2"/>
  <c r="L11" i="2"/>
  <c r="P11" i="1"/>
  <c r="J8" i="2"/>
  <c r="X7" i="2" s="1"/>
  <c r="L23" i="2"/>
  <c r="P30" i="1" a="1"/>
  <c r="P30" i="1" s="1"/>
  <c r="L9" i="2"/>
  <c r="J20" i="2"/>
  <c r="J13" i="2"/>
  <c r="J25" i="2"/>
  <c r="M11" i="2" l="1"/>
  <c r="M10" i="2"/>
  <c r="M7" i="2"/>
  <c r="N9" i="2"/>
  <c r="Z7" i="2"/>
  <c r="N23" i="2"/>
  <c r="L21" i="2"/>
  <c r="L19" i="2"/>
  <c r="O7" i="2"/>
  <c r="N7" i="2"/>
  <c r="M22" i="2"/>
  <c r="M9" i="2"/>
  <c r="O9" i="2" s="1"/>
  <c r="L24" i="2"/>
  <c r="L22" i="2"/>
  <c r="M12" i="2"/>
  <c r="O12" i="2" s="1"/>
  <c r="L25" i="2"/>
  <c r="L20" i="2"/>
  <c r="M13" i="2"/>
  <c r="O13" i="2" s="1"/>
  <c r="M8" i="2"/>
  <c r="O8" i="2" s="1"/>
  <c r="O11" i="2"/>
  <c r="N11" i="2"/>
  <c r="O10" i="2"/>
  <c r="N10" i="2"/>
  <c r="T10" i="2" l="1"/>
  <c r="U7" i="2"/>
  <c r="N19" i="2"/>
  <c r="N21" i="2"/>
  <c r="M24" i="2"/>
  <c r="O24" i="2" s="1"/>
  <c r="M19" i="2"/>
  <c r="O19" i="2" s="1"/>
  <c r="M21" i="2"/>
  <c r="O21" i="2" s="1"/>
  <c r="M23" i="2"/>
  <c r="O23" i="2" s="1"/>
  <c r="N20" i="2"/>
  <c r="M25" i="2"/>
  <c r="M20" i="2"/>
  <c r="O20" i="2" s="1"/>
  <c r="O25" i="2"/>
  <c r="N25" i="2"/>
  <c r="O22" i="2"/>
  <c r="N22" i="2"/>
  <c r="N24" i="2"/>
  <c r="U10" i="2" l="1"/>
  <c r="T7" i="2"/>
  <c r="X9" i="2"/>
  <c r="V8" i="2"/>
  <c r="Q11" i="2" l="1"/>
  <c r="R11" i="2" s="1"/>
  <c r="Q10" i="2"/>
  <c r="R10" i="2" s="1"/>
  <c r="Q7" i="2"/>
  <c r="R7" i="2" s="1"/>
  <c r="Q12" i="2"/>
  <c r="R12" i="2" s="1"/>
  <c r="Q13" i="2"/>
  <c r="R13" i="2" s="1"/>
  <c r="Q8" i="2"/>
  <c r="R8" i="2" s="1"/>
  <c r="Q9" i="2"/>
  <c r="R9" i="2" s="1"/>
  <c r="V11" i="2"/>
  <c r="Z9" i="2"/>
  <c r="Q24" i="2" l="1"/>
  <c r="R24" i="2" s="1"/>
  <c r="Q21" i="2"/>
  <c r="R21" i="2" s="1"/>
  <c r="Q23" i="2"/>
  <c r="R23" i="2" s="1"/>
  <c r="Q19" i="2"/>
  <c r="R19" i="2" s="1"/>
  <c r="Q20" i="2"/>
  <c r="R20" i="2" s="1"/>
  <c r="Q25" i="2"/>
  <c r="R25" i="2" s="1"/>
  <c r="Q22" i="2"/>
  <c r="R22" i="2" s="1"/>
  <c r="W9" i="2"/>
  <c r="V7" i="2" s="1"/>
  <c r="Y9" i="2" l="1"/>
  <c r="V10" i="2" s="1"/>
</calcChain>
</file>

<file path=xl/sharedStrings.xml><?xml version="1.0" encoding="utf-8"?>
<sst xmlns="http://schemas.openxmlformats.org/spreadsheetml/2006/main" count="149" uniqueCount="65">
  <si>
    <t>№</t>
  </si>
  <si>
    <t>m1</t>
  </si>
  <si>
    <t>m2</t>
  </si>
  <si>
    <t>v10x</t>
  </si>
  <si>
    <t>v1x</t>
  </si>
  <si>
    <t>v2x</t>
  </si>
  <si>
    <t>№ опыта</t>
  </si>
  <si>
    <t>среднее δp =</t>
  </si>
  <si>
    <t>Коэффицент стьюдента =</t>
  </si>
  <si>
    <t>среднее δW =</t>
  </si>
  <si>
    <t>∆δp =</t>
  </si>
  <si>
    <t>∆δW =</t>
  </si>
  <si>
    <t>Таблица 1</t>
  </si>
  <si>
    <t>Таблица 7</t>
  </si>
  <si>
    <t>Таблица 2</t>
  </si>
  <si>
    <t>Таблица 8</t>
  </si>
  <si>
    <t>v10</t>
  </si>
  <si>
    <t>v</t>
  </si>
  <si>
    <t>p10, мН*с</t>
  </si>
  <si>
    <t>p, мН*с</t>
  </si>
  <si>
    <t>δp</t>
  </si>
  <si>
    <t>δW (э)</t>
  </si>
  <si>
    <t>δW (Т)</t>
  </si>
  <si>
    <t>Таблица 3</t>
  </si>
  <si>
    <t>Таблица 9</t>
  </si>
  <si>
    <t>Таблица 4</t>
  </si>
  <si>
    <t>Таблица 10</t>
  </si>
  <si>
    <t>Состав гирьки</t>
  </si>
  <si>
    <t>m</t>
  </si>
  <si>
    <t>v1</t>
  </si>
  <si>
    <t>v2</t>
  </si>
  <si>
    <t>подвеска</t>
  </si>
  <si>
    <t>подвеска +1</t>
  </si>
  <si>
    <t>подвеска +2</t>
  </si>
  <si>
    <t>подвеска +3</t>
  </si>
  <si>
    <t>подвеска +4</t>
  </si>
  <si>
    <t>подвеска +5</t>
  </si>
  <si>
    <t>подвеска +6</t>
  </si>
  <si>
    <t>Таблица 5</t>
  </si>
  <si>
    <t>Таблица 6</t>
  </si>
  <si>
    <t>m, г</t>
  </si>
  <si>
    <t>v1, м/с</t>
  </si>
  <si>
    <t>v2, м/с</t>
  </si>
  <si>
    <t>a, м/с^2</t>
  </si>
  <si>
    <t>T, мН</t>
  </si>
  <si>
    <t>Разн х</t>
  </si>
  <si>
    <t>Разн у</t>
  </si>
  <si>
    <t>Квадраты разн х</t>
  </si>
  <si>
    <t>Произв разн у и х</t>
  </si>
  <si>
    <t>d i</t>
  </si>
  <si>
    <t>(d i)^2</t>
  </si>
  <si>
    <t>D</t>
  </si>
  <si>
    <t>M1</t>
  </si>
  <si>
    <t>∆M1</t>
  </si>
  <si>
    <t>Среднее а</t>
  </si>
  <si>
    <t>Среднее T</t>
  </si>
  <si>
    <t>F трения 1 =</t>
  </si>
  <si>
    <t>СКО M1</t>
  </si>
  <si>
    <t>Коэффицент a</t>
  </si>
  <si>
    <t>СКО M2</t>
  </si>
  <si>
    <t>M2</t>
  </si>
  <si>
    <t>∆M2</t>
  </si>
  <si>
    <t>F трения 2 =</t>
  </si>
  <si>
    <t>Значения из таблицы 6.1</t>
  </si>
  <si>
    <t>Значения из таблицы 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</si>
</sst>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_ "/>
    <numFmt numFmtId="169" formatCode="0.000000_ 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6">
    <xf numFmtId="0" fontId="0" fillId="0" borderId="0" xfId="0">
      <alignment vertical="center"/>
    </xf>
    <xf numFmtId="0" fontId="1" fillId="0" borderId="0" xfId="0" applyFont="1" applyAlignment="1"/>
    <xf numFmtId="0" fontId="0" fillId="0" borderId="1" xfId="0" applyBorder="1">
      <alignment vertical="center"/>
    </xf>
    <xf numFmtId="0" fontId="1" fillId="0" borderId="1" xfId="0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1" xfId="0" applyFont="1" applyBorder="1" applyAlignment="1"/>
    <xf numFmtId="167" fontId="3" fillId="0" borderId="1" xfId="0" applyNumberFormat="1" applyFont="1" applyBorder="1" applyAlignment="1">
      <alignment horizontal="right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right" wrapText="1"/>
    </xf>
    <xf numFmtId="0" fontId="2" fillId="0" borderId="0" xfId="0" applyFont="1">
      <alignment vertical="center"/>
    </xf>
    <xf numFmtId="167" fontId="0" fillId="0" borderId="1" xfId="0" applyNumberFormat="1" applyBorder="1">
      <alignment vertical="center"/>
    </xf>
    <xf numFmtId="167" fontId="0" fillId="0" borderId="0" xfId="0" applyNumberFormat="1">
      <alignment vertical="center"/>
    </xf>
    <xf numFmtId="167" fontId="0" fillId="0" borderId="1" xfId="0" applyNumberFormat="1" applyBorder="1" applyAlignment="1"/>
    <xf numFmtId="169" fontId="0" fillId="0" borderId="1" xfId="0" applyNumberFormat="1" applyBorder="1">
      <alignment vertical="center"/>
    </xf>
    <xf numFmtId="167" fontId="2" fillId="0" borderId="1" xfId="1" applyNumberFormat="1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 wrapText="1"/>
    </xf>
    <xf numFmtId="167" fontId="2" fillId="0" borderId="1" xfId="1" applyNumberFormat="1" applyFont="1" applyBorder="1" applyAlignment="1">
      <alignment vertical="center" wrapText="1"/>
    </xf>
    <xf numFmtId="0" fontId="0" fillId="0" borderId="1" xfId="0" applyBorder="1" applyAlignment="1"/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1" xfId="0" applyFont="1" applyBorder="1" applyAlignment="1">
      <alignment wrapText="1"/>
    </xf>
    <xf numFmtId="0" fontId="0" fillId="0" borderId="0" xfId="0" applyBorder="1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2" xfId="0" applyFont="1" applyBorder="1" applyAlignment="1">
      <alignment wrapText="1"/>
    </xf>
  </cellXfs>
  <cellStyles count="2">
    <cellStyle name="Обычный" xfId="0" builtinId="0"/>
    <cellStyle name="Обычный 2" xfId="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</a:t>
            </a:r>
            <a:r>
              <a:rPr lang="ru-RU" baseline="0"/>
              <a:t> таблице 6.1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29380716144232E-2"/>
          <c:y val="0.136914273609202"/>
          <c:w val="0.90708420320111305"/>
          <c:h val="0.7146709323583180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Ходжаев_2!$A$4:$A$10</c:f>
              <c:numCache>
                <c:formatCode>General</c:formatCode>
                <c:ptCount val="7"/>
                <c:pt idx="0">
                  <c:v>0.27</c:v>
                </c:pt>
                <c:pt idx="1">
                  <c:v>0.38</c:v>
                </c:pt>
                <c:pt idx="2">
                  <c:v>0.54</c:v>
                </c:pt>
                <c:pt idx="3">
                  <c:v>0.67</c:v>
                </c:pt>
                <c:pt idx="4">
                  <c:v>0.78</c:v>
                </c:pt>
                <c:pt idx="5">
                  <c:v>0.93</c:v>
                </c:pt>
                <c:pt idx="6">
                  <c:v>0.97</c:v>
                </c:pt>
              </c:numCache>
            </c:numRef>
          </c:xVal>
          <c:yVal>
            <c:numRef>
              <c:f>Ходжаев_2!$B$4:$B$10</c:f>
              <c:numCache>
                <c:formatCode>General</c:formatCode>
                <c:ptCount val="7"/>
                <c:pt idx="0">
                  <c:v>17.86</c:v>
                </c:pt>
                <c:pt idx="1">
                  <c:v>25.58</c:v>
                </c:pt>
                <c:pt idx="2">
                  <c:v>30.81</c:v>
                </c:pt>
                <c:pt idx="3">
                  <c:v>37.880000000000003</c:v>
                </c:pt>
                <c:pt idx="4">
                  <c:v>45.38</c:v>
                </c:pt>
                <c:pt idx="5">
                  <c:v>52.18</c:v>
                </c:pt>
                <c:pt idx="6">
                  <c:v>51.17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61-43C5-AA9B-6E75CF0B2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60252"/>
        <c:axId val="46127548"/>
      </c:scatterChart>
      <c:valAx>
        <c:axId val="4630602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27548"/>
        <c:crosses val="autoZero"/>
        <c:crossBetween val="midCat"/>
      </c:valAx>
      <c:valAx>
        <c:axId val="461275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0602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</a:t>
            </a:r>
            <a:r>
              <a:rPr lang="ru-RU" baseline="0"/>
              <a:t> таблтце 6.2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2553931802365998E-2"/>
          <c:y val="0.15409000531174599"/>
          <c:w val="0.90708420320111305"/>
          <c:h val="0.7146709323583180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Ходжаев_2!$A$13:$A$19</c:f>
              <c:numCache>
                <c:formatCode>General</c:formatCode>
                <c:ptCount val="7"/>
                <c:pt idx="0">
                  <c:v>0.04</c:v>
                </c:pt>
                <c:pt idx="1">
                  <c:v>7.0000000000000007E-2</c:v>
                </c:pt>
                <c:pt idx="2">
                  <c:v>0.14000000000000001</c:v>
                </c:pt>
                <c:pt idx="3">
                  <c:v>0.17</c:v>
                </c:pt>
                <c:pt idx="4">
                  <c:v>0.23</c:v>
                </c:pt>
                <c:pt idx="5">
                  <c:v>0.25</c:v>
                </c:pt>
                <c:pt idx="6">
                  <c:v>0.28000000000000003</c:v>
                </c:pt>
              </c:numCache>
            </c:numRef>
          </c:xVal>
          <c:yVal>
            <c:numRef>
              <c:f>Ходжаев_2!$B$13:$B$19</c:f>
              <c:numCache>
                <c:formatCode>General</c:formatCode>
                <c:ptCount val="7"/>
                <c:pt idx="0">
                  <c:v>18.29</c:v>
                </c:pt>
                <c:pt idx="1">
                  <c:v>26.42</c:v>
                </c:pt>
                <c:pt idx="2">
                  <c:v>32.14</c:v>
                </c:pt>
                <c:pt idx="3">
                  <c:v>39.950000000000003</c:v>
                </c:pt>
                <c:pt idx="4">
                  <c:v>48.14</c:v>
                </c:pt>
                <c:pt idx="5">
                  <c:v>56.18</c:v>
                </c:pt>
                <c:pt idx="6">
                  <c:v>61.63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94-47E8-B59F-C8028E254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230794"/>
        <c:axId val="387060301"/>
      </c:scatterChart>
      <c:valAx>
        <c:axId val="92323079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7060301"/>
        <c:crosses val="autoZero"/>
        <c:crossBetween val="midCat"/>
      </c:valAx>
      <c:valAx>
        <c:axId val="3870603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323079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42545</xdr:colOff>
      <xdr:row>0</xdr:row>
      <xdr:rowOff>23495</xdr:rowOff>
    </xdr:from>
    <xdr:to>
      <xdr:col>8</xdr:col>
      <xdr:colOff>680085</xdr:colOff>
      <xdr:row>0</xdr:row>
      <xdr:rowOff>156845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6255" y="23495"/>
          <a:ext cx="63754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34290</xdr:colOff>
      <xdr:row>0</xdr:row>
      <xdr:rowOff>29210</xdr:rowOff>
    </xdr:from>
    <xdr:to>
      <xdr:col>9</xdr:col>
      <xdr:colOff>624840</xdr:colOff>
      <xdr:row>0</xdr:row>
      <xdr:rowOff>157480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0470" y="29210"/>
          <a:ext cx="590550" cy="1282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14605</xdr:colOff>
      <xdr:row>0</xdr:row>
      <xdr:rowOff>19685</xdr:rowOff>
    </xdr:from>
    <xdr:to>
      <xdr:col>10</xdr:col>
      <xdr:colOff>673100</xdr:colOff>
      <xdr:row>0</xdr:row>
      <xdr:rowOff>147955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26580" y="19685"/>
          <a:ext cx="658495" cy="1282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372110</xdr:colOff>
      <xdr:row>0</xdr:row>
      <xdr:rowOff>635</xdr:rowOff>
    </xdr:from>
    <xdr:to>
      <xdr:col>11</xdr:col>
      <xdr:colOff>594360</xdr:colOff>
      <xdr:row>0</xdr:row>
      <xdr:rowOff>158115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7980" y="635"/>
          <a:ext cx="222250" cy="157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238125</xdr:colOff>
      <xdr:row>0</xdr:row>
      <xdr:rowOff>635</xdr:rowOff>
    </xdr:from>
    <xdr:to>
      <xdr:col>12</xdr:col>
      <xdr:colOff>433705</xdr:colOff>
      <xdr:row>0</xdr:row>
      <xdr:rowOff>137160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29040" y="635"/>
          <a:ext cx="195580" cy="13652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8</xdr:col>
      <xdr:colOff>42545</xdr:colOff>
      <xdr:row>8</xdr:row>
      <xdr:rowOff>23495</xdr:rowOff>
    </xdr:from>
    <xdr:ext cx="637540" cy="133350"/>
    <xdr:pic>
      <xdr:nvPicPr>
        <xdr:cNvPr id="14" name="Pictur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6255" y="1471295"/>
          <a:ext cx="637540" cy="13335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9</xdr:col>
      <xdr:colOff>34290</xdr:colOff>
      <xdr:row>8</xdr:row>
      <xdr:rowOff>29210</xdr:rowOff>
    </xdr:from>
    <xdr:ext cx="590550" cy="128270"/>
    <xdr:pic>
      <xdr:nvPicPr>
        <xdr:cNvPr id="15" name="Picture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0470" y="1477010"/>
          <a:ext cx="590550" cy="12827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10</xdr:col>
      <xdr:colOff>14605</xdr:colOff>
      <xdr:row>8</xdr:row>
      <xdr:rowOff>19685</xdr:rowOff>
    </xdr:from>
    <xdr:ext cx="658495" cy="128270"/>
    <xdr:pic>
      <xdr:nvPicPr>
        <xdr:cNvPr id="16" name="Pictur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26580" y="1467485"/>
          <a:ext cx="658495" cy="12827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11</xdr:col>
      <xdr:colOff>372110</xdr:colOff>
      <xdr:row>8</xdr:row>
      <xdr:rowOff>635</xdr:rowOff>
    </xdr:from>
    <xdr:ext cx="222250" cy="157480"/>
    <xdr:pic>
      <xdr:nvPicPr>
        <xdr:cNvPr id="17" name="Picture 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7980" y="1448435"/>
          <a:ext cx="222250" cy="15748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12</xdr:col>
      <xdr:colOff>333375</xdr:colOff>
      <xdr:row>8</xdr:row>
      <xdr:rowOff>29210</xdr:rowOff>
    </xdr:from>
    <xdr:ext cx="195580" cy="136525"/>
    <xdr:pic>
      <xdr:nvPicPr>
        <xdr:cNvPr id="18" name="Pictur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24290" y="1477010"/>
          <a:ext cx="195580" cy="1365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592273</xdr:colOff>
      <xdr:row>2</xdr:row>
      <xdr:rowOff>157298</xdr:rowOff>
    </xdr:from>
    <xdr:to>
      <xdr:col>10</xdr:col>
      <xdr:colOff>629013</xdr:colOff>
      <xdr:row>17</xdr:row>
      <xdr:rowOff>59327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15875</xdr:colOff>
      <xdr:row>2</xdr:row>
      <xdr:rowOff>191135</xdr:rowOff>
    </xdr:from>
    <xdr:to>
      <xdr:col>19</xdr:col>
      <xdr:colOff>53975</xdr:colOff>
      <xdr:row>17</xdr:row>
      <xdr:rowOff>86360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workbookViewId="0">
      <selection activeCell="G40" sqref="G40"/>
    </sheetView>
  </sheetViews>
  <sheetFormatPr defaultColWidth="9" defaultRowHeight="14.25"/>
  <cols>
    <col min="2" max="2" width="13.265625" customWidth="1"/>
    <col min="8" max="8" width="10.1328125" customWidth="1"/>
    <col min="9" max="9" width="9.9296875" customWidth="1"/>
    <col min="11" max="11" width="9.53125" customWidth="1"/>
    <col min="12" max="13" width="13.86328125"/>
    <col min="15" max="15" width="12.3984375" customWidth="1"/>
    <col min="16" max="16" width="22.86328125" customWidth="1"/>
    <col min="18" max="18" width="23.59765625" customWidth="1"/>
  </cols>
  <sheetData>
    <row r="1" spans="1:19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H1" s="2" t="s">
        <v>6</v>
      </c>
      <c r="I1" s="2"/>
      <c r="J1" s="2"/>
      <c r="K1" s="2"/>
      <c r="L1" s="2"/>
      <c r="M1" s="2"/>
    </row>
    <row r="2" spans="1:19">
      <c r="A2" s="14">
        <v>1</v>
      </c>
      <c r="B2" s="14">
        <v>50.56</v>
      </c>
      <c r="C2" s="14">
        <v>48.12</v>
      </c>
      <c r="D2" s="14">
        <v>0.48</v>
      </c>
      <c r="E2" s="14">
        <v>0.08</v>
      </c>
      <c r="F2" s="14">
        <v>0.3</v>
      </c>
      <c r="H2" s="2">
        <v>1</v>
      </c>
      <c r="I2" s="23">
        <f>B2*D2</f>
        <v>24.268799999999999</v>
      </c>
      <c r="J2" s="23">
        <f t="shared" ref="J2:K6" si="0">B2*E2</f>
        <v>4.0448000000000004</v>
      </c>
      <c r="K2" s="23">
        <f t="shared" si="0"/>
        <v>14.435999999999998</v>
      </c>
      <c r="L2" s="23">
        <f>((J2+K2)/I2)-1</f>
        <v>-0.23849551687763715</v>
      </c>
      <c r="M2" s="23">
        <f>((B2*E2^2+C2*F2^2)/B2*D2^2)-1</f>
        <v>-0.97879014886075955</v>
      </c>
      <c r="N2" s="24"/>
      <c r="O2" s="25" t="s">
        <v>7</v>
      </c>
      <c r="P2" s="23">
        <f>SUM(L2:L6)/5</f>
        <v>-0.24740515843276864</v>
      </c>
      <c r="R2" s="30" t="s">
        <v>8</v>
      </c>
      <c r="S2" s="30">
        <v>2.8</v>
      </c>
    </row>
    <row r="3" spans="1:19">
      <c r="A3" s="14">
        <v>2</v>
      </c>
      <c r="B3" s="14">
        <v>50.56</v>
      </c>
      <c r="C3" s="14">
        <v>48.12</v>
      </c>
      <c r="D3" s="14">
        <v>0.46</v>
      </c>
      <c r="E3" s="14">
        <v>7.0000000000000007E-2</v>
      </c>
      <c r="F3" s="14">
        <v>0.28999999999999998</v>
      </c>
      <c r="H3" s="2">
        <v>2</v>
      </c>
      <c r="I3" s="23">
        <f>B3*D3</f>
        <v>23.257600000000004</v>
      </c>
      <c r="J3" s="23">
        <f t="shared" si="0"/>
        <v>3.5392000000000006</v>
      </c>
      <c r="K3" s="23">
        <f t="shared" si="0"/>
        <v>13.954799999999999</v>
      </c>
      <c r="L3" s="23">
        <f>((J3+K3)/I3)-1</f>
        <v>-0.24781576774903702</v>
      </c>
      <c r="M3" s="23">
        <f>((B3*E3^2+C3*F3^2)/B3*D3^2)-1</f>
        <v>-0.98202640471518987</v>
      </c>
      <c r="N3" s="24"/>
      <c r="O3" s="25" t="s">
        <v>9</v>
      </c>
      <c r="P3" s="23">
        <f>SUM(M2:M6)/5</f>
        <v>-0.98039494882911382</v>
      </c>
    </row>
    <row r="4" spans="1:19">
      <c r="A4" s="14">
        <v>3</v>
      </c>
      <c r="B4" s="14">
        <v>50.56</v>
      </c>
      <c r="C4" s="14">
        <v>48.12</v>
      </c>
      <c r="D4" s="14">
        <v>0.47</v>
      </c>
      <c r="E4" s="14">
        <v>7.0000000000000007E-2</v>
      </c>
      <c r="F4" s="14">
        <v>0.3</v>
      </c>
      <c r="H4" s="2">
        <v>3</v>
      </c>
      <c r="I4" s="23">
        <f>B4*D4</f>
        <v>23.763200000000001</v>
      </c>
      <c r="J4" s="23">
        <f t="shared" si="0"/>
        <v>3.5392000000000006</v>
      </c>
      <c r="K4" s="23">
        <f t="shared" si="0"/>
        <v>14.435999999999998</v>
      </c>
      <c r="L4" s="23">
        <f>((J4+K4)/I4)-1</f>
        <v>-0.24356988957716152</v>
      </c>
      <c r="M4" s="23">
        <f>((B4*E4^2+C4*F4^2)/B4*D4^2)-1</f>
        <v>-0.97999603699367088</v>
      </c>
      <c r="N4" s="24"/>
      <c r="O4" s="24"/>
      <c r="P4" s="24"/>
    </row>
    <row r="5" spans="1:19">
      <c r="A5" s="14">
        <v>4</v>
      </c>
      <c r="B5" s="14">
        <v>50.56</v>
      </c>
      <c r="C5" s="14">
        <v>48.12</v>
      </c>
      <c r="D5" s="14">
        <v>0.48</v>
      </c>
      <c r="E5" s="14">
        <v>7.0000000000000007E-2</v>
      </c>
      <c r="F5" s="14">
        <v>0.3</v>
      </c>
      <c r="H5" s="2">
        <v>4</v>
      </c>
      <c r="I5" s="23">
        <f>B5*D5</f>
        <v>24.268799999999999</v>
      </c>
      <c r="J5" s="23">
        <f t="shared" si="0"/>
        <v>3.5392000000000006</v>
      </c>
      <c r="K5" s="23">
        <f t="shared" si="0"/>
        <v>14.435999999999998</v>
      </c>
      <c r="L5" s="23">
        <f>((J5+K5)/I5)-1</f>
        <v>-0.25932885021097052</v>
      </c>
      <c r="M5" s="23">
        <f>((B5*E5^2+C5*F5^2)/B5*D5^2)-1</f>
        <v>-0.97913574886075949</v>
      </c>
      <c r="N5" s="24"/>
      <c r="O5" s="23" t="s">
        <v>10</v>
      </c>
      <c r="P5" s="26">
        <f t="array" ref="P5">$S$2*SQRT(((SUM(((L2:L6)-$P$2)^2))/(5*(5-1))))</f>
        <v>9.6305882056895754E-3</v>
      </c>
    </row>
    <row r="6" spans="1:19">
      <c r="A6" s="14">
        <v>5</v>
      </c>
      <c r="B6" s="14">
        <v>50.56</v>
      </c>
      <c r="C6" s="14">
        <v>48.12</v>
      </c>
      <c r="D6" s="14">
        <v>0.46</v>
      </c>
      <c r="E6" s="14">
        <v>7.0000000000000007E-2</v>
      </c>
      <c r="F6" s="14">
        <v>0.28999999999999998</v>
      </c>
      <c r="H6" s="2">
        <v>5</v>
      </c>
      <c r="I6" s="23">
        <f>B6*D6</f>
        <v>23.257600000000004</v>
      </c>
      <c r="J6" s="23">
        <f t="shared" si="0"/>
        <v>3.5392000000000006</v>
      </c>
      <c r="K6" s="23">
        <f t="shared" si="0"/>
        <v>13.954799999999999</v>
      </c>
      <c r="L6" s="23">
        <f>((J6+K6)/I6)-1</f>
        <v>-0.24781576774903702</v>
      </c>
      <c r="M6" s="23">
        <f>((B6*E6^2+C6*F6^2)/B6*D6^2)-1</f>
        <v>-0.98202640471518987</v>
      </c>
      <c r="N6" s="24"/>
      <c r="O6" s="23" t="s">
        <v>11</v>
      </c>
      <c r="P6" s="26">
        <f t="array" ref="P6">$S$2*SQRT(((SUM(((M2:M6)-$P$3)^2))/(5*(5-1))))</f>
        <v>1.9442764075369504E-3</v>
      </c>
    </row>
    <row r="7" spans="1:19">
      <c r="A7" t="s">
        <v>12</v>
      </c>
      <c r="H7" t="s">
        <v>13</v>
      </c>
      <c r="I7" s="24"/>
      <c r="J7" s="24"/>
      <c r="K7" s="24"/>
      <c r="L7" s="24"/>
      <c r="M7" s="24"/>
      <c r="N7" s="24"/>
      <c r="O7" s="24"/>
      <c r="P7" s="24"/>
    </row>
    <row r="8" spans="1:19">
      <c r="I8" s="24"/>
      <c r="J8" s="24"/>
      <c r="K8" s="24"/>
      <c r="L8" s="24"/>
      <c r="M8" s="24"/>
      <c r="N8" s="24"/>
      <c r="O8" s="24"/>
      <c r="P8" s="24"/>
    </row>
    <row r="9" spans="1:19">
      <c r="A9" s="18" t="s">
        <v>0</v>
      </c>
      <c r="B9" s="18" t="s">
        <v>1</v>
      </c>
      <c r="C9" s="18" t="s">
        <v>2</v>
      </c>
      <c r="D9" s="18" t="s">
        <v>3</v>
      </c>
      <c r="E9" s="18" t="s">
        <v>4</v>
      </c>
      <c r="F9" s="18" t="s">
        <v>5</v>
      </c>
      <c r="H9" s="2" t="s">
        <v>6</v>
      </c>
      <c r="I9" s="23"/>
      <c r="J9" s="23"/>
      <c r="K9" s="23"/>
      <c r="L9" s="23"/>
      <c r="M9" s="23"/>
      <c r="N9" s="24"/>
      <c r="O9" s="24"/>
      <c r="P9" s="24"/>
    </row>
    <row r="10" spans="1:19">
      <c r="A10" s="14">
        <v>1</v>
      </c>
      <c r="B10" s="14">
        <v>48.12</v>
      </c>
      <c r="C10" s="14">
        <v>97.07</v>
      </c>
      <c r="D10" s="14">
        <v>0.48</v>
      </c>
      <c r="E10" s="14">
        <v>-0.04</v>
      </c>
      <c r="F10" s="14">
        <v>0.17</v>
      </c>
      <c r="H10" s="2">
        <v>1</v>
      </c>
      <c r="I10" s="23">
        <f>B10*D10</f>
        <v>23.097599999999996</v>
      </c>
      <c r="J10" s="23">
        <f t="shared" ref="J10:J14" si="1">B10*E10</f>
        <v>-1.9247999999999998</v>
      </c>
      <c r="K10" s="23">
        <f t="shared" ref="K10:K14" si="2">C10*F10</f>
        <v>16.501899999999999</v>
      </c>
      <c r="L10" s="23">
        <f>((J10+K10)/I10)-1</f>
        <v>-0.36889114020504288</v>
      </c>
      <c r="M10" s="23">
        <f>((B10*E10^2+C10*F10^2)/B10*D10^2)-1</f>
        <v>-0.98619938952618458</v>
      </c>
      <c r="N10" s="24"/>
      <c r="O10" s="25" t="s">
        <v>7</v>
      </c>
      <c r="P10" s="23">
        <f>SUM(L10:L14)/5</f>
        <v>-0.32912427175435582</v>
      </c>
    </row>
    <row r="11" spans="1:19">
      <c r="A11" s="14">
        <v>2</v>
      </c>
      <c r="B11" s="14">
        <v>48.12</v>
      </c>
      <c r="C11" s="14">
        <v>97.07</v>
      </c>
      <c r="D11" s="14">
        <v>0.47</v>
      </c>
      <c r="E11" s="19">
        <v>0</v>
      </c>
      <c r="F11" s="14">
        <v>0.15</v>
      </c>
      <c r="H11" s="2">
        <v>2</v>
      </c>
      <c r="I11" s="23">
        <f>B11*D11</f>
        <v>22.616399999999999</v>
      </c>
      <c r="J11" s="23">
        <f t="shared" si="1"/>
        <v>0</v>
      </c>
      <c r="K11" s="23">
        <f t="shared" si="2"/>
        <v>14.560499999999998</v>
      </c>
      <c r="L11" s="23">
        <f>((J11+K11)/I11)-1</f>
        <v>-0.35619727277550806</v>
      </c>
      <c r="M11" s="23">
        <f>((B11*E11^2+C11*F11^2)/B11*D11^2)-1</f>
        <v>-0.98997377041770573</v>
      </c>
      <c r="N11" s="24"/>
      <c r="O11" s="25" t="s">
        <v>9</v>
      </c>
      <c r="P11" s="23">
        <f>SUM(M10:M14)/5</f>
        <v>-0.9860872411766417</v>
      </c>
    </row>
    <row r="12" spans="1:19">
      <c r="A12" s="14">
        <v>3</v>
      </c>
      <c r="B12" s="14">
        <v>48.12</v>
      </c>
      <c r="C12" s="14">
        <v>97.07</v>
      </c>
      <c r="D12" s="14">
        <v>0.45</v>
      </c>
      <c r="E12" s="14">
        <v>-0.05</v>
      </c>
      <c r="F12" s="14">
        <v>0.19</v>
      </c>
      <c r="H12" s="2">
        <v>3</v>
      </c>
      <c r="I12" s="23">
        <f>B12*D12</f>
        <v>21.654</v>
      </c>
      <c r="J12" s="23">
        <f t="shared" si="1"/>
        <v>-2.4060000000000001</v>
      </c>
      <c r="K12" s="23">
        <f t="shared" si="2"/>
        <v>18.443300000000001</v>
      </c>
      <c r="L12" s="23">
        <f>((J12+K12)/I12)-1</f>
        <v>-0.25938394753856087</v>
      </c>
      <c r="M12" s="23">
        <f>((B12*E12^2+C12*F12^2)/B12*D12^2)-1</f>
        <v>-0.98474715882169572</v>
      </c>
      <c r="N12" s="24"/>
      <c r="O12" s="24"/>
      <c r="P12" s="24"/>
    </row>
    <row r="13" spans="1:19">
      <c r="A13" s="14">
        <v>4</v>
      </c>
      <c r="B13" s="14">
        <v>48.12</v>
      </c>
      <c r="C13" s="14">
        <v>97.07</v>
      </c>
      <c r="D13" s="14">
        <v>0.49</v>
      </c>
      <c r="E13" s="14">
        <v>-0.05</v>
      </c>
      <c r="F13" s="14">
        <v>0.19</v>
      </c>
      <c r="H13" s="2">
        <v>4</v>
      </c>
      <c r="I13" s="23">
        <f>B13*D13</f>
        <v>23.578799999999998</v>
      </c>
      <c r="J13" s="23">
        <f t="shared" si="1"/>
        <v>-2.4060000000000001</v>
      </c>
      <c r="K13" s="23">
        <f t="shared" si="2"/>
        <v>18.443300000000001</v>
      </c>
      <c r="L13" s="23">
        <f>((J13+K13)/I13)-1</f>
        <v>-0.31984240080071913</v>
      </c>
      <c r="M13" s="23">
        <f>((B13*E13^2+C13*F13^2)/B13*D13^2)-1</f>
        <v>-0.98191502633624272</v>
      </c>
      <c r="N13" s="24"/>
      <c r="O13" s="23" t="s">
        <v>10</v>
      </c>
      <c r="P13" s="26">
        <f t="array" ref="P13">$S$2*SQRT(((SUM(((L10:L14)-$P$10)^2))/(5*(5-1))))</f>
        <v>5.3905004204760437E-2</v>
      </c>
    </row>
    <row r="14" spans="1:19">
      <c r="A14" s="14">
        <v>5</v>
      </c>
      <c r="B14" s="14">
        <v>48.12</v>
      </c>
      <c r="C14" s="14">
        <v>97.07</v>
      </c>
      <c r="D14" s="14">
        <v>0.49</v>
      </c>
      <c r="E14" s="19">
        <v>0</v>
      </c>
      <c r="F14" s="14">
        <v>0.16</v>
      </c>
      <c r="H14" s="2">
        <v>5</v>
      </c>
      <c r="I14" s="23">
        <f>B14*D14</f>
        <v>23.578799999999998</v>
      </c>
      <c r="J14" s="23">
        <f t="shared" si="1"/>
        <v>0</v>
      </c>
      <c r="K14" s="23">
        <f t="shared" si="2"/>
        <v>15.5312</v>
      </c>
      <c r="L14" s="23">
        <f>((J14+K14)/I14)-1</f>
        <v>-0.34130659745194825</v>
      </c>
      <c r="M14" s="23">
        <f>((B14*E14^2+C14*F14^2)/B14*D14^2)-1</f>
        <v>-0.98760086078137987</v>
      </c>
      <c r="N14" s="24"/>
      <c r="O14" s="23" t="s">
        <v>11</v>
      </c>
      <c r="P14" s="26">
        <f t="array" ref="P14">$S$2*SQRT(((SUM(((M10:M14)-$P$11)^2))/(5*(5-1))))</f>
        <v>3.7883869878562342E-3</v>
      </c>
    </row>
    <row r="15" spans="1:19">
      <c r="A15" t="s">
        <v>14</v>
      </c>
      <c r="H15" t="s">
        <v>15</v>
      </c>
      <c r="I15" s="24"/>
      <c r="J15" s="24"/>
      <c r="K15" s="24"/>
      <c r="L15" s="24"/>
      <c r="M15" s="24"/>
      <c r="N15" s="24"/>
      <c r="O15" s="24"/>
      <c r="P15" s="24"/>
    </row>
    <row r="16" spans="1:19">
      <c r="I16" s="24"/>
      <c r="J16" s="24"/>
      <c r="K16" s="24"/>
      <c r="L16" s="24"/>
      <c r="M16" s="24"/>
      <c r="N16" s="24"/>
      <c r="O16" s="24"/>
      <c r="P16" s="24"/>
    </row>
    <row r="17" spans="1:16">
      <c r="A17" s="18" t="s">
        <v>0</v>
      </c>
      <c r="B17" s="18" t="s">
        <v>1</v>
      </c>
      <c r="C17" s="18" t="s">
        <v>2</v>
      </c>
      <c r="D17" s="18" t="s">
        <v>16</v>
      </c>
      <c r="E17" s="18" t="s">
        <v>17</v>
      </c>
      <c r="H17" s="20" t="s">
        <v>6</v>
      </c>
      <c r="I17" s="27" t="s">
        <v>18</v>
      </c>
      <c r="J17" s="27" t="s">
        <v>19</v>
      </c>
      <c r="K17" s="27" t="s">
        <v>20</v>
      </c>
      <c r="L17" s="27" t="s">
        <v>21</v>
      </c>
      <c r="M17" s="27" t="s">
        <v>22</v>
      </c>
      <c r="N17" s="24"/>
      <c r="O17" s="24"/>
      <c r="P17" s="24"/>
    </row>
    <row r="18" spans="1:16">
      <c r="A18" s="14">
        <v>1</v>
      </c>
      <c r="B18" s="14">
        <v>50.64</v>
      </c>
      <c r="C18" s="14">
        <v>53.78</v>
      </c>
      <c r="D18" s="14">
        <v>0.47</v>
      </c>
      <c r="E18" s="14">
        <v>0.22</v>
      </c>
      <c r="H18" s="21">
        <v>1</v>
      </c>
      <c r="I18" s="28">
        <f>B18*D18</f>
        <v>23.800799999999999</v>
      </c>
      <c r="J18" s="28">
        <f>(B18+C18)*E18</f>
        <v>22.9724</v>
      </c>
      <c r="K18" s="28">
        <f>(J18/I18)-1</f>
        <v>-3.4805552754529234E-2</v>
      </c>
      <c r="L18" s="28">
        <f>(((B18+C18)*E18^2)/B18*D18^2)-1</f>
        <v>-0.97795393571879941</v>
      </c>
      <c r="M18" s="29">
        <f>-C18/(B18+C18)</f>
        <v>-0.51503543382493777</v>
      </c>
      <c r="N18" s="24"/>
      <c r="O18" s="25" t="s">
        <v>7</v>
      </c>
      <c r="P18" s="23">
        <f>SUM(K18:K22)/5</f>
        <v>-1.3840020316777358E-2</v>
      </c>
    </row>
    <row r="19" spans="1:16">
      <c r="A19" s="14">
        <v>2</v>
      </c>
      <c r="B19" s="14">
        <v>50.64</v>
      </c>
      <c r="C19" s="14">
        <v>53.78</v>
      </c>
      <c r="D19" s="14">
        <v>0.45</v>
      </c>
      <c r="E19" s="14">
        <v>0.21</v>
      </c>
      <c r="H19" s="21">
        <v>2</v>
      </c>
      <c r="I19" s="28">
        <f t="shared" ref="I19:I22" si="3">B19*D19</f>
        <v>22.788</v>
      </c>
      <c r="J19" s="28">
        <f t="shared" ref="J19:J22" si="4">(B19+C19)*E19</f>
        <v>21.9282</v>
      </c>
      <c r="K19" s="28">
        <f t="shared" ref="K19:K22" si="5">(J19/I19)-1</f>
        <v>-3.7730384412848816E-2</v>
      </c>
      <c r="L19" s="28">
        <f t="shared" ref="L19:L22" si="6">(((B19+C19)*E19^2)/B19*D19^2)-1</f>
        <v>-0.98158576806872033</v>
      </c>
      <c r="M19" s="29">
        <f t="shared" ref="M19:M22" si="7">-C19/(B19+C19)</f>
        <v>-0.51503543382493777</v>
      </c>
      <c r="N19" s="24"/>
      <c r="O19" s="25" t="s">
        <v>9</v>
      </c>
      <c r="P19" s="23">
        <f>SUM(L18:L22)/5</f>
        <v>-0.9788232528388624</v>
      </c>
    </row>
    <row r="20" spans="1:16">
      <c r="A20" s="14">
        <v>3</v>
      </c>
      <c r="B20" s="14">
        <v>50.64</v>
      </c>
      <c r="C20" s="14">
        <v>53.78</v>
      </c>
      <c r="D20" s="14">
        <v>0.45</v>
      </c>
      <c r="E20" s="14">
        <v>0.22</v>
      </c>
      <c r="H20" s="21">
        <v>3</v>
      </c>
      <c r="I20" s="28">
        <f t="shared" si="3"/>
        <v>22.788</v>
      </c>
      <c r="J20" s="28">
        <f t="shared" si="4"/>
        <v>22.9724</v>
      </c>
      <c r="K20" s="28">
        <f t="shared" si="5"/>
        <v>8.0919782341584146E-3</v>
      </c>
      <c r="L20" s="28">
        <f t="shared" si="6"/>
        <v>-0.97979027606635072</v>
      </c>
      <c r="M20" s="29">
        <f t="shared" si="7"/>
        <v>-0.51503543382493777</v>
      </c>
      <c r="N20" s="24"/>
      <c r="O20" s="24"/>
      <c r="P20" s="24"/>
    </row>
    <row r="21" spans="1:16">
      <c r="A21" s="14">
        <v>4</v>
      </c>
      <c r="B21" s="14">
        <v>50.64</v>
      </c>
      <c r="C21" s="14">
        <v>53.78</v>
      </c>
      <c r="D21" s="14">
        <v>0.46</v>
      </c>
      <c r="E21" s="14">
        <v>0.22</v>
      </c>
      <c r="H21" s="21">
        <v>4</v>
      </c>
      <c r="I21" s="28">
        <f t="shared" si="3"/>
        <v>23.2944</v>
      </c>
      <c r="J21" s="28">
        <f t="shared" si="4"/>
        <v>22.9724</v>
      </c>
      <c r="K21" s="28">
        <f t="shared" si="5"/>
        <v>-1.3823064770931981E-2</v>
      </c>
      <c r="L21" s="28">
        <f t="shared" si="6"/>
        <v>-0.97888208600315951</v>
      </c>
      <c r="M21" s="29">
        <f t="shared" si="7"/>
        <v>-0.51503543382493777</v>
      </c>
      <c r="N21" s="24"/>
      <c r="O21" s="23" t="s">
        <v>10</v>
      </c>
      <c r="P21" s="26">
        <f t="array" ref="P21">$S$2*SQRT(((SUM(((K18:K22)-$P$18)^2))/(5*(5-1))))</f>
        <v>2.8112083015303962E-2</v>
      </c>
    </row>
    <row r="22" spans="1:16">
      <c r="A22" s="14">
        <v>5</v>
      </c>
      <c r="B22" s="14">
        <v>50.64</v>
      </c>
      <c r="C22" s="14">
        <v>53.78</v>
      </c>
      <c r="D22" s="14">
        <v>0.47</v>
      </c>
      <c r="E22" s="14">
        <v>0.23</v>
      </c>
      <c r="H22" s="21">
        <v>5</v>
      </c>
      <c r="I22" s="28">
        <f t="shared" si="3"/>
        <v>23.800799999999999</v>
      </c>
      <c r="J22" s="28">
        <f t="shared" si="4"/>
        <v>24.0166</v>
      </c>
      <c r="K22" s="28">
        <f t="shared" si="5"/>
        <v>9.0669221202648309E-3</v>
      </c>
      <c r="L22" s="28">
        <f t="shared" si="6"/>
        <v>-0.97590419833728281</v>
      </c>
      <c r="M22" s="29">
        <f t="shared" si="7"/>
        <v>-0.51503543382493777</v>
      </c>
      <c r="N22" s="24"/>
      <c r="O22" s="23" t="s">
        <v>11</v>
      </c>
      <c r="P22" s="26">
        <f t="array" ref="P22">$S$2*SQRT(((SUM(((L18:L22)-$P$19)^2))/(5*(5-1))))</f>
        <v>2.6449758830960931E-3</v>
      </c>
    </row>
    <row r="23" spans="1:16">
      <c r="A23" t="s">
        <v>23</v>
      </c>
      <c r="H23" t="s">
        <v>24</v>
      </c>
    </row>
    <row r="25" spans="1:16">
      <c r="A25" s="18" t="s">
        <v>0</v>
      </c>
      <c r="B25" s="18" t="s">
        <v>1</v>
      </c>
      <c r="C25" s="18" t="s">
        <v>2</v>
      </c>
      <c r="D25" s="18" t="s">
        <v>16</v>
      </c>
      <c r="E25" s="18" t="s">
        <v>17</v>
      </c>
      <c r="H25" s="20" t="s">
        <v>6</v>
      </c>
      <c r="I25" s="27" t="s">
        <v>18</v>
      </c>
      <c r="J25" s="27" t="s">
        <v>19</v>
      </c>
      <c r="K25" s="27" t="s">
        <v>20</v>
      </c>
      <c r="L25" s="27" t="s">
        <v>21</v>
      </c>
      <c r="M25" s="27" t="s">
        <v>22</v>
      </c>
    </row>
    <row r="26" spans="1:16">
      <c r="A26" s="14">
        <v>1</v>
      </c>
      <c r="B26" s="14">
        <v>50.64</v>
      </c>
      <c r="C26" s="14">
        <v>99.61</v>
      </c>
      <c r="D26" s="14">
        <v>0.47</v>
      </c>
      <c r="E26" s="14">
        <v>0.06</v>
      </c>
      <c r="H26" s="21">
        <v>1</v>
      </c>
      <c r="I26" s="28">
        <f>B26*D26</f>
        <v>23.800799999999999</v>
      </c>
      <c r="J26" s="28">
        <f>(B26+C26)*E26</f>
        <v>9.0149999999999988</v>
      </c>
      <c r="K26" s="28">
        <f>(J26/I26)-1</f>
        <v>-0.62123121911868506</v>
      </c>
      <c r="L26" s="28">
        <f>(((B26+C26)*E26^2)/B26*D26^2)-1</f>
        <v>-0.99764050533175352</v>
      </c>
      <c r="M26" s="28">
        <f>-C26/(B26+C26)</f>
        <v>-0.66296173044925122</v>
      </c>
      <c r="O26" s="25" t="s">
        <v>7</v>
      </c>
      <c r="P26" s="23">
        <f>SUM(K26:K30)/5</f>
        <v>-0.32889831631089733</v>
      </c>
    </row>
    <row r="27" spans="1:16">
      <c r="A27" s="14">
        <v>2</v>
      </c>
      <c r="B27" s="14">
        <v>50.64</v>
      </c>
      <c r="C27" s="14">
        <v>99.61</v>
      </c>
      <c r="D27" s="14">
        <v>0.41</v>
      </c>
      <c r="E27" s="14">
        <v>0.08</v>
      </c>
      <c r="H27" s="21">
        <v>2</v>
      </c>
      <c r="I27" s="28">
        <f t="shared" ref="I27:I30" si="8">B27*D27</f>
        <v>20.7624</v>
      </c>
      <c r="J27" s="28">
        <f t="shared" ref="J27:J30" si="9">(B27+C27)*E27</f>
        <v>12.02</v>
      </c>
      <c r="K27" s="28">
        <f t="shared" ref="K27:K30" si="10">(J27/I27)-1</f>
        <v>-0.42106885523831539</v>
      </c>
      <c r="L27" s="28">
        <f t="shared" ref="L27:L30" si="11">(((B27+C27)*E27^2)/B27*D27^2)-1</f>
        <v>-0.99680795892575036</v>
      </c>
      <c r="M27" s="28">
        <f t="shared" ref="M27:M30" si="12">-C27/(B27+C27)</f>
        <v>-0.66296173044925122</v>
      </c>
      <c r="O27" s="25" t="s">
        <v>9</v>
      </c>
      <c r="P27" s="23">
        <f>SUM(L26:L30)/5</f>
        <v>-0.99274422455568723</v>
      </c>
    </row>
    <row r="28" spans="1:16">
      <c r="A28" s="14">
        <v>3</v>
      </c>
      <c r="B28" s="14">
        <v>50.64</v>
      </c>
      <c r="C28" s="14">
        <v>99.61</v>
      </c>
      <c r="D28" s="14">
        <v>0.47</v>
      </c>
      <c r="E28" s="14">
        <v>0.11</v>
      </c>
      <c r="H28" s="21">
        <v>3</v>
      </c>
      <c r="I28" s="28">
        <f t="shared" si="8"/>
        <v>23.800799999999999</v>
      </c>
      <c r="J28" s="28">
        <f t="shared" si="9"/>
        <v>16.5275</v>
      </c>
      <c r="K28" s="28">
        <f t="shared" si="10"/>
        <v>-0.30559056838425591</v>
      </c>
      <c r="L28" s="28">
        <f t="shared" si="11"/>
        <v>-0.99206947625394948</v>
      </c>
      <c r="M28" s="28">
        <f t="shared" si="12"/>
        <v>-0.66296173044925122</v>
      </c>
      <c r="O28" s="24"/>
    </row>
    <row r="29" spans="1:16">
      <c r="A29" s="14">
        <v>4</v>
      </c>
      <c r="B29" s="14">
        <v>50.64</v>
      </c>
      <c r="C29" s="14">
        <v>99.61</v>
      </c>
      <c r="D29" s="14">
        <v>0.44</v>
      </c>
      <c r="E29" s="14">
        <v>0.09</v>
      </c>
      <c r="H29" s="21">
        <v>4</v>
      </c>
      <c r="I29" s="28">
        <f t="shared" si="8"/>
        <v>22.281600000000001</v>
      </c>
      <c r="J29" s="28">
        <f t="shared" si="9"/>
        <v>13.522499999999999</v>
      </c>
      <c r="K29" s="28">
        <f t="shared" si="10"/>
        <v>-0.39310911245152957</v>
      </c>
      <c r="L29" s="28">
        <f t="shared" si="11"/>
        <v>-0.99534723459715635</v>
      </c>
      <c r="M29" s="28">
        <f t="shared" si="12"/>
        <v>-0.66296173044925122</v>
      </c>
      <c r="O29" s="23" t="s">
        <v>10</v>
      </c>
      <c r="P29" s="26">
        <f t="array" ref="P29">$S$2*SQRT(((SUM(((K26:K30)-$P$26)^2))/(5*(5-1))))</f>
        <v>0.33105834868579243</v>
      </c>
    </row>
    <row r="30" spans="1:16">
      <c r="A30" s="14">
        <v>5</v>
      </c>
      <c r="B30" s="14">
        <v>50.64</v>
      </c>
      <c r="C30" s="14">
        <v>99.61</v>
      </c>
      <c r="D30" s="14">
        <v>0.46</v>
      </c>
      <c r="E30" s="14">
        <v>0.17</v>
      </c>
      <c r="H30" s="21">
        <v>5</v>
      </c>
      <c r="I30" s="28">
        <f t="shared" si="8"/>
        <v>23.2944</v>
      </c>
      <c r="J30" s="28">
        <f t="shared" si="9"/>
        <v>25.5425</v>
      </c>
      <c r="K30" s="28">
        <f t="shared" si="10"/>
        <v>9.6508173638299333E-2</v>
      </c>
      <c r="L30" s="28">
        <f t="shared" si="11"/>
        <v>-0.9818559476698262</v>
      </c>
      <c r="M30" s="28">
        <f t="shared" si="12"/>
        <v>-0.66296173044925122</v>
      </c>
      <c r="O30" s="23" t="s">
        <v>11</v>
      </c>
      <c r="P30" s="26">
        <f t="array" ref="P30">$S$2*SQRT(((SUM(((L26:L30)-$P$27)^2))/(5*(5-1))))</f>
        <v>8.0733527634361153E-3</v>
      </c>
    </row>
    <row r="31" spans="1:16">
      <c r="A31" t="s">
        <v>25</v>
      </c>
      <c r="H31" s="22" t="s">
        <v>26</v>
      </c>
    </row>
    <row r="33" spans="1:5">
      <c r="A33" s="18" t="s">
        <v>0</v>
      </c>
      <c r="B33" s="18" t="s">
        <v>27</v>
      </c>
      <c r="C33" s="18" t="s">
        <v>28</v>
      </c>
      <c r="D33" s="18" t="s">
        <v>29</v>
      </c>
      <c r="E33" s="18" t="s">
        <v>30</v>
      </c>
    </row>
    <row r="34" spans="1:5">
      <c r="A34" s="14">
        <v>1</v>
      </c>
      <c r="B34" s="18" t="s">
        <v>31</v>
      </c>
      <c r="C34" s="14">
        <v>1.87</v>
      </c>
      <c r="D34" s="14">
        <v>0.27</v>
      </c>
      <c r="E34" s="14">
        <v>0.65</v>
      </c>
    </row>
    <row r="35" spans="1:5">
      <c r="A35" s="14">
        <v>2</v>
      </c>
      <c r="B35" s="18" t="s">
        <v>32</v>
      </c>
      <c r="C35" s="14">
        <v>2.71</v>
      </c>
      <c r="D35" s="14">
        <v>0.33</v>
      </c>
      <c r="E35" s="14">
        <v>0.78</v>
      </c>
    </row>
    <row r="36" spans="1:5">
      <c r="A36" s="14">
        <v>3</v>
      </c>
      <c r="B36" s="18" t="s">
        <v>33</v>
      </c>
      <c r="C36" s="14">
        <v>3.32</v>
      </c>
      <c r="D36" s="14">
        <v>0.41</v>
      </c>
      <c r="E36" s="14">
        <v>0.93</v>
      </c>
    </row>
    <row r="37" spans="1:5">
      <c r="A37" s="14">
        <v>4</v>
      </c>
      <c r="B37" s="18" t="s">
        <v>34</v>
      </c>
      <c r="C37" s="14">
        <v>4.1399999999999997</v>
      </c>
      <c r="D37" s="14">
        <v>0.44</v>
      </c>
      <c r="E37" s="14">
        <v>1.03</v>
      </c>
    </row>
    <row r="38" spans="1:5">
      <c r="A38" s="14">
        <v>5</v>
      </c>
      <c r="B38" s="18" t="s">
        <v>35</v>
      </c>
      <c r="C38" s="14">
        <v>5.0199999999999996</v>
      </c>
      <c r="D38" s="14">
        <v>0.47</v>
      </c>
      <c r="E38" s="14">
        <v>1.1100000000000001</v>
      </c>
    </row>
    <row r="39" spans="1:5">
      <c r="A39" s="14">
        <v>6</v>
      </c>
      <c r="B39" s="18" t="s">
        <v>36</v>
      </c>
      <c r="C39" s="14">
        <v>5.87</v>
      </c>
      <c r="D39" s="14">
        <v>0.51</v>
      </c>
      <c r="E39" s="14">
        <v>1.21</v>
      </c>
    </row>
    <row r="40" spans="1:5">
      <c r="A40" s="14">
        <v>7</v>
      </c>
      <c r="B40" s="18" t="s">
        <v>37</v>
      </c>
      <c r="C40" s="14">
        <v>6.46</v>
      </c>
      <c r="D40" s="14">
        <v>0.52</v>
      </c>
      <c r="E40" s="14">
        <v>1.24</v>
      </c>
    </row>
    <row r="41" spans="1:5">
      <c r="A41" t="s">
        <v>38</v>
      </c>
    </row>
    <row r="43" spans="1:5">
      <c r="A43" s="18" t="s">
        <v>0</v>
      </c>
      <c r="B43" s="18" t="s">
        <v>27</v>
      </c>
      <c r="C43" s="18" t="s">
        <v>28</v>
      </c>
      <c r="D43" s="18" t="s">
        <v>29</v>
      </c>
      <c r="E43" s="18" t="s">
        <v>30</v>
      </c>
    </row>
    <row r="44" spans="1:5">
      <c r="A44" s="14">
        <v>1</v>
      </c>
      <c r="B44" s="18" t="s">
        <v>31</v>
      </c>
      <c r="C44" s="14">
        <v>1.87</v>
      </c>
      <c r="D44" s="14">
        <v>0.16</v>
      </c>
      <c r="E44" s="14">
        <v>0.27</v>
      </c>
    </row>
    <row r="45" spans="1:5">
      <c r="A45" s="14">
        <v>2</v>
      </c>
      <c r="B45" s="18" t="s">
        <v>32</v>
      </c>
      <c r="C45" s="14">
        <v>2.71</v>
      </c>
      <c r="D45" s="14">
        <v>0.19</v>
      </c>
      <c r="E45" s="14">
        <v>0.35</v>
      </c>
    </row>
    <row r="46" spans="1:5">
      <c r="A46" s="14">
        <v>3</v>
      </c>
      <c r="B46" s="18" t="s">
        <v>33</v>
      </c>
      <c r="C46" s="14">
        <v>3.32</v>
      </c>
      <c r="D46" s="14">
        <v>0.21</v>
      </c>
      <c r="E46" s="14">
        <v>0.48</v>
      </c>
    </row>
    <row r="47" spans="1:5">
      <c r="A47" s="14">
        <v>4</v>
      </c>
      <c r="B47" s="18" t="s">
        <v>34</v>
      </c>
      <c r="C47" s="14">
        <v>4.1399999999999997</v>
      </c>
      <c r="D47" s="14">
        <v>0.22</v>
      </c>
      <c r="E47" s="14">
        <v>0.52</v>
      </c>
    </row>
    <row r="48" spans="1:5">
      <c r="A48" s="14">
        <v>5</v>
      </c>
      <c r="B48" s="18" t="s">
        <v>35</v>
      </c>
      <c r="C48" s="14">
        <v>5.0199999999999996</v>
      </c>
      <c r="D48" s="14">
        <v>0.26</v>
      </c>
      <c r="E48" s="14">
        <v>0.61</v>
      </c>
    </row>
    <row r="49" spans="1:5">
      <c r="A49" s="14">
        <v>6</v>
      </c>
      <c r="B49" s="18" t="s">
        <v>36</v>
      </c>
      <c r="C49" s="14">
        <v>5.87</v>
      </c>
      <c r="D49" s="14">
        <v>0.27</v>
      </c>
      <c r="E49" s="14">
        <v>0.63</v>
      </c>
    </row>
    <row r="50" spans="1:5">
      <c r="A50" s="14">
        <v>7</v>
      </c>
      <c r="B50" s="18" t="s">
        <v>37</v>
      </c>
      <c r="C50" s="14">
        <v>6.46</v>
      </c>
      <c r="D50" s="14">
        <v>0.28999999999999998</v>
      </c>
      <c r="E50" s="14">
        <v>0.67</v>
      </c>
    </row>
    <row r="51" spans="1:5">
      <c r="A51" t="s">
        <v>39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"/>
  <sheetViews>
    <sheetView topLeftCell="A10" zoomScale="70" zoomScaleNormal="70" workbookViewId="0">
      <selection activeCell="V15" sqref="V15"/>
    </sheetView>
  </sheetViews>
  <sheetFormatPr defaultColWidth="9" defaultRowHeight="14.25"/>
  <cols>
    <col min="1" max="18" width="10.73046875" customWidth="1"/>
    <col min="20" max="27" width="12.796875"/>
  </cols>
  <sheetData>
    <row r="1" spans="1:26" ht="11.65" customHeight="1">
      <c r="A1" s="1"/>
      <c r="B1" s="1"/>
      <c r="C1" s="1"/>
      <c r="D1" s="1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1"/>
      <c r="T1" s="1"/>
    </row>
    <row r="2" spans="1:26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6">
      <c r="A3" s="9"/>
      <c r="B3" s="9"/>
      <c r="C3" s="9"/>
      <c r="D3" s="9"/>
      <c r="E3" s="9"/>
      <c r="F3" s="10"/>
      <c r="G3" s="10"/>
      <c r="H3" s="10"/>
      <c r="I3" s="10"/>
      <c r="J3" s="10"/>
      <c r="K3" s="10"/>
      <c r="L3" s="1"/>
      <c r="M3" s="1"/>
      <c r="N3" s="1"/>
      <c r="O3" s="1"/>
      <c r="P3" s="1"/>
      <c r="Q3" s="1"/>
      <c r="R3" s="1"/>
      <c r="S3" s="1"/>
      <c r="T3" s="1"/>
    </row>
    <row r="4" spans="1:26">
      <c r="A4" s="9"/>
      <c r="B4" s="9"/>
      <c r="C4" s="9"/>
      <c r="D4" s="9"/>
      <c r="E4" s="9"/>
      <c r="F4" s="10"/>
      <c r="G4" s="10"/>
      <c r="H4" s="10"/>
      <c r="I4" s="10"/>
      <c r="J4" s="10"/>
      <c r="K4" s="10"/>
      <c r="L4" s="1"/>
      <c r="M4" s="1"/>
      <c r="N4" s="1"/>
      <c r="O4" s="1"/>
      <c r="P4" s="1"/>
      <c r="Q4" s="1"/>
      <c r="R4" s="1"/>
      <c r="S4" s="1"/>
      <c r="T4" s="1"/>
    </row>
    <row r="5" spans="1:26" ht="14.65" thickBot="1">
      <c r="A5" s="10"/>
      <c r="B5" s="11"/>
      <c r="C5" s="12"/>
      <c r="D5" s="12"/>
      <c r="E5" s="12"/>
      <c r="F5" s="13"/>
      <c r="G5" s="12"/>
      <c r="H5" s="12"/>
      <c r="I5" s="12"/>
      <c r="J5" s="12"/>
      <c r="K5" s="10"/>
      <c r="L5" s="1"/>
      <c r="M5" s="1"/>
      <c r="N5" s="1"/>
      <c r="O5" s="1"/>
      <c r="P5" s="1"/>
      <c r="Q5" s="1"/>
      <c r="R5" s="1"/>
      <c r="S5" s="1"/>
      <c r="T5" s="1"/>
    </row>
    <row r="6" spans="1:26" ht="32" customHeight="1" thickBot="1">
      <c r="A6" s="36" t="s">
        <v>6</v>
      </c>
      <c r="B6" s="36" t="s">
        <v>27</v>
      </c>
      <c r="C6" s="36" t="s">
        <v>40</v>
      </c>
      <c r="D6" s="36" t="s">
        <v>41</v>
      </c>
      <c r="E6" s="36" t="s">
        <v>42</v>
      </c>
      <c r="F6" s="38"/>
      <c r="G6" s="36" t="s">
        <v>6</v>
      </c>
      <c r="H6" s="36" t="s">
        <v>40</v>
      </c>
      <c r="I6" s="36" t="s">
        <v>43</v>
      </c>
      <c r="J6" s="36" t="s">
        <v>44</v>
      </c>
      <c r="K6" s="33"/>
      <c r="L6" s="36" t="s">
        <v>45</v>
      </c>
      <c r="M6" s="36" t="s">
        <v>46</v>
      </c>
      <c r="N6" s="36" t="s">
        <v>47</v>
      </c>
      <c r="O6" s="36" t="s">
        <v>48</v>
      </c>
      <c r="Q6" s="3" t="s">
        <v>49</v>
      </c>
      <c r="R6" s="3" t="s">
        <v>50</v>
      </c>
      <c r="T6" s="44" t="s">
        <v>51</v>
      </c>
      <c r="U6" s="40" t="s">
        <v>52</v>
      </c>
      <c r="V6" s="41" t="s">
        <v>53</v>
      </c>
      <c r="W6" s="43" t="s">
        <v>54</v>
      </c>
      <c r="X6" s="3" t="s">
        <v>55</v>
      </c>
      <c r="Y6" s="3" t="s">
        <v>54</v>
      </c>
      <c r="Z6" s="3" t="s">
        <v>55</v>
      </c>
    </row>
    <row r="7" spans="1:26" ht="30" customHeight="1" thickBot="1">
      <c r="A7" s="37">
        <v>1</v>
      </c>
      <c r="B7" s="18" t="s">
        <v>31</v>
      </c>
      <c r="C7" s="14">
        <v>1.87</v>
      </c>
      <c r="D7" s="14">
        <v>0.27</v>
      </c>
      <c r="E7" s="14">
        <v>0.65</v>
      </c>
      <c r="F7" s="38"/>
      <c r="G7" s="37">
        <v>1</v>
      </c>
      <c r="H7" s="37">
        <f t="shared" ref="H7:H13" si="0">C7</f>
        <v>1.87</v>
      </c>
      <c r="I7" s="37">
        <f>ROUND(((E7)^2-(D7)^2)/(2*(0.8-0.15)),2)</f>
        <v>0.27</v>
      </c>
      <c r="J7" s="37">
        <f t="shared" ref="J7:J13" si="1">ROUND(C7*(9.82-I7),2)</f>
        <v>17.86</v>
      </c>
      <c r="K7" s="17"/>
      <c r="L7" s="3">
        <f t="shared" ref="L7:L13" si="2">ROUND(I7-$W$7,2)</f>
        <v>-0.38</v>
      </c>
      <c r="M7" s="3">
        <f t="shared" ref="M7:M13" si="3">ROUND(J7-$X$7,2)</f>
        <v>-20.260000000000002</v>
      </c>
      <c r="N7" s="3">
        <f t="shared" ref="N7:N13" si="4">L7^2</f>
        <v>0.1444</v>
      </c>
      <c r="O7" s="3">
        <f t="shared" ref="O7:O13" si="5">L7*M7</f>
        <v>7.6988000000000003</v>
      </c>
      <c r="Q7" s="3">
        <f t="shared" ref="Q7:Q13" si="6">ROUND(J7-($X$9+$U$7*I7),3)</f>
        <v>0.06</v>
      </c>
      <c r="R7" s="3">
        <f t="shared" ref="R7:R13" si="7">Q7*Q7</f>
        <v>3.5999999999999999E-3</v>
      </c>
      <c r="T7" s="44">
        <f>SUM(N19:N25)</f>
        <v>4.99E-2</v>
      </c>
      <c r="U7" s="40">
        <f>SUM(O7:O13)/SUM(N7:N13)</f>
        <v>53.474853801169594</v>
      </c>
      <c r="V7" s="40">
        <f>2*W9</f>
        <v>4.7472631204203255</v>
      </c>
      <c r="W7" s="43">
        <f>ROUND(AVERAGE(I7:I13),2)</f>
        <v>0.65</v>
      </c>
      <c r="X7" s="3">
        <f>ROUND(AVERAGE(J7:J13),2)</f>
        <v>38.119999999999997</v>
      </c>
      <c r="Y7" s="3">
        <f>ROUND(AVERAGE(I19:I25),2)</f>
        <v>0.17</v>
      </c>
      <c r="Z7" s="3">
        <f>ROUND(AVERAGE(J19:J25),2)</f>
        <v>40.39</v>
      </c>
    </row>
    <row r="8" spans="1:26" ht="30" customHeight="1" thickBot="1">
      <c r="A8" s="37">
        <v>2</v>
      </c>
      <c r="B8" s="18" t="s">
        <v>32</v>
      </c>
      <c r="C8" s="14">
        <v>2.71</v>
      </c>
      <c r="D8" s="14">
        <v>0.33</v>
      </c>
      <c r="E8" s="14">
        <v>0.78</v>
      </c>
      <c r="F8" s="38"/>
      <c r="G8" s="37">
        <v>2</v>
      </c>
      <c r="H8" s="37">
        <f t="shared" si="0"/>
        <v>2.71</v>
      </c>
      <c r="I8" s="37">
        <f t="shared" ref="I8:I13" si="8">ROUND(((E8)^2-(D8)^2)/(2*(0.8-0.15)),2)</f>
        <v>0.38</v>
      </c>
      <c r="J8" s="37">
        <f t="shared" si="1"/>
        <v>25.58</v>
      </c>
      <c r="K8" s="17"/>
      <c r="L8" s="3">
        <f t="shared" si="2"/>
        <v>-0.27</v>
      </c>
      <c r="M8" s="3">
        <f t="shared" si="3"/>
        <v>-12.54</v>
      </c>
      <c r="N8" s="3">
        <f t="shared" si="4"/>
        <v>7.2900000000000006E-2</v>
      </c>
      <c r="O8" s="3">
        <f t="shared" si="5"/>
        <v>3.3858000000000001</v>
      </c>
      <c r="Q8" s="3">
        <f t="shared" si="6"/>
        <v>1.8979999999999999</v>
      </c>
      <c r="R8" s="3">
        <f t="shared" si="7"/>
        <v>3.6024039999999995</v>
      </c>
      <c r="T8" s="39"/>
      <c r="U8" s="40" t="s">
        <v>56</v>
      </c>
      <c r="V8" s="40">
        <f>X7-(U7*W7)</f>
        <v>3.3613450292397573</v>
      </c>
      <c r="W8" s="45" t="s">
        <v>57</v>
      </c>
      <c r="X8" s="3" t="s">
        <v>58</v>
      </c>
      <c r="Y8" s="42" t="s">
        <v>59</v>
      </c>
      <c r="Z8" s="3" t="s">
        <v>58</v>
      </c>
    </row>
    <row r="9" spans="1:26" ht="30" customHeight="1" thickBot="1">
      <c r="A9" s="37">
        <v>3</v>
      </c>
      <c r="B9" s="18" t="s">
        <v>33</v>
      </c>
      <c r="C9" s="14">
        <v>3.32</v>
      </c>
      <c r="D9" s="14">
        <v>0.41</v>
      </c>
      <c r="E9" s="14">
        <v>0.93</v>
      </c>
      <c r="F9" s="38"/>
      <c r="G9" s="37">
        <v>3</v>
      </c>
      <c r="H9" s="37">
        <f t="shared" si="0"/>
        <v>3.32</v>
      </c>
      <c r="I9" s="37">
        <f t="shared" si="8"/>
        <v>0.54</v>
      </c>
      <c r="J9" s="37">
        <f t="shared" si="1"/>
        <v>30.81</v>
      </c>
      <c r="K9" s="17"/>
      <c r="L9" s="3">
        <f t="shared" si="2"/>
        <v>-0.11</v>
      </c>
      <c r="M9" s="3">
        <f t="shared" si="3"/>
        <v>-7.31</v>
      </c>
      <c r="N9" s="3">
        <f t="shared" si="4"/>
        <v>1.21E-2</v>
      </c>
      <c r="O9" s="3">
        <f t="shared" si="5"/>
        <v>0.80409999999999993</v>
      </c>
      <c r="Q9" s="3">
        <f t="shared" si="6"/>
        <v>-1.4279999999999999</v>
      </c>
      <c r="R9" s="3">
        <f t="shared" si="7"/>
        <v>2.0391839999999997</v>
      </c>
      <c r="T9" s="44" t="s">
        <v>51</v>
      </c>
      <c r="U9" s="40" t="s">
        <v>60</v>
      </c>
      <c r="V9" s="41" t="s">
        <v>61</v>
      </c>
      <c r="W9" s="43">
        <f>SQRT(SUM(R7:R13)/5/T10)</f>
        <v>2.3736315602101627</v>
      </c>
      <c r="X9" s="3">
        <f>X7-U7*W7</f>
        <v>3.3613450292397573</v>
      </c>
      <c r="Y9" s="3">
        <f>SQRT(SUM(R19:R25)/5/T7)</f>
        <v>12.070453001911018</v>
      </c>
      <c r="Z9" s="3">
        <f>Z7-U10*Y7</f>
        <v>11.152384769539076</v>
      </c>
    </row>
    <row r="10" spans="1:26" ht="30" customHeight="1" thickBot="1">
      <c r="A10" s="37">
        <v>4</v>
      </c>
      <c r="B10" s="18" t="s">
        <v>34</v>
      </c>
      <c r="C10" s="14">
        <v>4.1399999999999997</v>
      </c>
      <c r="D10" s="14">
        <v>0.44</v>
      </c>
      <c r="E10" s="14">
        <v>1.03</v>
      </c>
      <c r="F10" s="38"/>
      <c r="G10" s="37">
        <v>4</v>
      </c>
      <c r="H10" s="37">
        <f t="shared" si="0"/>
        <v>4.1399999999999997</v>
      </c>
      <c r="I10" s="37">
        <f t="shared" si="8"/>
        <v>0.67</v>
      </c>
      <c r="J10" s="37">
        <f t="shared" si="1"/>
        <v>37.880000000000003</v>
      </c>
      <c r="K10" s="17"/>
      <c r="L10" s="3">
        <f t="shared" si="2"/>
        <v>0.02</v>
      </c>
      <c r="M10" s="3">
        <f t="shared" si="3"/>
        <v>-0.24</v>
      </c>
      <c r="N10" s="3">
        <f t="shared" si="4"/>
        <v>4.0000000000000002E-4</v>
      </c>
      <c r="O10" s="3">
        <f t="shared" si="5"/>
        <v>-4.7999999999999996E-3</v>
      </c>
      <c r="Q10" s="3">
        <f t="shared" si="6"/>
        <v>-1.3089999999999999</v>
      </c>
      <c r="R10" s="3">
        <f t="shared" si="7"/>
        <v>1.7134809999999998</v>
      </c>
      <c r="T10" s="44">
        <f>SUM(N7:N13)</f>
        <v>0.42749999999999999</v>
      </c>
      <c r="U10" s="40">
        <f>SUM(O19:O25)/SUM(N19:N25)</f>
        <v>171.98597194388779</v>
      </c>
      <c r="V10" s="40">
        <f>2*Y9</f>
        <v>24.140906003822035</v>
      </c>
    </row>
    <row r="11" spans="1:26" ht="30" customHeight="1" thickBot="1">
      <c r="A11" s="37">
        <v>5</v>
      </c>
      <c r="B11" s="18" t="s">
        <v>35</v>
      </c>
      <c r="C11" s="14">
        <v>5.0199999999999996</v>
      </c>
      <c r="D11" s="14">
        <v>0.47</v>
      </c>
      <c r="E11" s="14">
        <v>1.1100000000000001</v>
      </c>
      <c r="F11" s="38"/>
      <c r="G11" s="37">
        <v>5</v>
      </c>
      <c r="H11" s="37">
        <f t="shared" si="0"/>
        <v>5.0199999999999996</v>
      </c>
      <c r="I11" s="37">
        <f t="shared" si="8"/>
        <v>0.78</v>
      </c>
      <c r="J11" s="37">
        <f t="shared" si="1"/>
        <v>45.38</v>
      </c>
      <c r="K11" s="17"/>
      <c r="L11" s="3">
        <f t="shared" si="2"/>
        <v>0.13</v>
      </c>
      <c r="M11" s="3">
        <f t="shared" si="3"/>
        <v>7.26</v>
      </c>
      <c r="N11" s="3">
        <f t="shared" si="4"/>
        <v>1.6900000000000002E-2</v>
      </c>
      <c r="O11" s="3">
        <f t="shared" si="5"/>
        <v>0.94379999999999997</v>
      </c>
      <c r="Q11" s="3">
        <f t="shared" si="6"/>
        <v>0.308</v>
      </c>
      <c r="R11" s="3">
        <f t="shared" si="7"/>
        <v>9.4864000000000004E-2</v>
      </c>
      <c r="U11" s="40" t="s">
        <v>62</v>
      </c>
      <c r="V11" s="40">
        <f>Z7-(U10*Y7)</f>
        <v>11.152384769539076</v>
      </c>
    </row>
    <row r="12" spans="1:26" ht="30" customHeight="1" thickBot="1">
      <c r="A12" s="37">
        <v>6</v>
      </c>
      <c r="B12" s="18" t="s">
        <v>36</v>
      </c>
      <c r="C12" s="14">
        <v>5.87</v>
      </c>
      <c r="D12" s="14">
        <v>0.51</v>
      </c>
      <c r="E12" s="14">
        <v>1.21</v>
      </c>
      <c r="F12" s="38"/>
      <c r="G12" s="37">
        <v>6</v>
      </c>
      <c r="H12" s="37">
        <f t="shared" si="0"/>
        <v>5.87</v>
      </c>
      <c r="I12" s="37">
        <f t="shared" si="8"/>
        <v>0.93</v>
      </c>
      <c r="J12" s="37">
        <f t="shared" si="1"/>
        <v>52.18</v>
      </c>
      <c r="K12" s="17"/>
      <c r="L12" s="3">
        <f t="shared" si="2"/>
        <v>0.28000000000000003</v>
      </c>
      <c r="M12" s="3">
        <f t="shared" si="3"/>
        <v>14.06</v>
      </c>
      <c r="N12" s="3">
        <f t="shared" si="4"/>
        <v>7.8400000000000011E-2</v>
      </c>
      <c r="O12" s="3">
        <f t="shared" si="5"/>
        <v>3.9368000000000003</v>
      </c>
      <c r="Q12" s="3">
        <f t="shared" si="6"/>
        <v>-0.91300000000000003</v>
      </c>
      <c r="R12" s="3">
        <f t="shared" si="7"/>
        <v>0.83356900000000012</v>
      </c>
    </row>
    <row r="13" spans="1:26" ht="30" customHeight="1">
      <c r="A13" s="37">
        <v>7</v>
      </c>
      <c r="B13" s="18" t="s">
        <v>37</v>
      </c>
      <c r="C13" s="14">
        <v>6.46</v>
      </c>
      <c r="D13" s="14">
        <v>0.52</v>
      </c>
      <c r="E13" s="14">
        <v>1.24</v>
      </c>
      <c r="F13" s="38"/>
      <c r="G13" s="37">
        <v>7</v>
      </c>
      <c r="H13" s="37">
        <f t="shared" si="0"/>
        <v>6.46</v>
      </c>
      <c r="I13" s="37">
        <f t="shared" si="8"/>
        <v>0.97</v>
      </c>
      <c r="J13" s="37">
        <f t="shared" si="1"/>
        <v>57.17</v>
      </c>
      <c r="K13" s="17"/>
      <c r="L13" s="3">
        <f t="shared" si="2"/>
        <v>0.32</v>
      </c>
      <c r="M13" s="3">
        <f t="shared" si="3"/>
        <v>19.05</v>
      </c>
      <c r="N13" s="3">
        <f t="shared" si="4"/>
        <v>0.1024</v>
      </c>
      <c r="O13" s="3">
        <f t="shared" si="5"/>
        <v>6.0960000000000001</v>
      </c>
      <c r="Q13" s="3">
        <f t="shared" si="6"/>
        <v>1.9379999999999999</v>
      </c>
      <c r="R13" s="3">
        <f t="shared" si="7"/>
        <v>3.7558439999999997</v>
      </c>
    </row>
    <row r="14" spans="1:26">
      <c r="A14" s="1"/>
      <c r="B14" s="1"/>
      <c r="C14" s="15"/>
      <c r="D14" s="15"/>
      <c r="E14" s="15"/>
      <c r="F14" s="16"/>
      <c r="G14" s="15"/>
      <c r="H14" s="15"/>
      <c r="I14" s="15"/>
      <c r="J14" s="15"/>
      <c r="K14" s="10"/>
      <c r="L14" s="1"/>
      <c r="M14" s="1"/>
      <c r="N14" s="1"/>
      <c r="O14" s="1"/>
      <c r="Q14" s="1"/>
      <c r="R14" s="1"/>
      <c r="S14" s="1"/>
      <c r="T14" s="1"/>
    </row>
    <row r="15" spans="1:26">
      <c r="A15" s="33"/>
      <c r="B15" s="34"/>
      <c r="C15" s="33"/>
      <c r="D15" s="33"/>
      <c r="E15" s="33"/>
      <c r="F15" s="33"/>
      <c r="G15" s="33"/>
      <c r="H15" s="33"/>
      <c r="I15" s="33"/>
      <c r="J15" s="33"/>
      <c r="K15" s="10"/>
      <c r="L15" s="1"/>
      <c r="M15" s="1"/>
      <c r="N15" s="1"/>
      <c r="O15" s="1"/>
      <c r="P15" s="1"/>
      <c r="Q15" s="1"/>
      <c r="R15" s="1"/>
      <c r="S15" s="1"/>
      <c r="T15" s="1"/>
    </row>
    <row r="16" spans="1:2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10"/>
      <c r="L16" s="1"/>
      <c r="M16" s="1"/>
      <c r="N16" s="1"/>
      <c r="O16" s="1"/>
      <c r="R16" s="1"/>
      <c r="S16" s="1"/>
      <c r="T16" s="1"/>
    </row>
    <row r="17" spans="1:20">
      <c r="K17" s="10"/>
      <c r="L17" s="1"/>
      <c r="M17" s="1"/>
      <c r="N17" s="1"/>
      <c r="O17" s="1"/>
      <c r="P17" s="1"/>
      <c r="Q17" s="1"/>
      <c r="R17" s="1"/>
      <c r="S17" s="1"/>
      <c r="T17" s="1"/>
    </row>
    <row r="18" spans="1:20" ht="28.5">
      <c r="A18" s="36" t="s">
        <v>6</v>
      </c>
      <c r="B18" s="36" t="s">
        <v>27</v>
      </c>
      <c r="C18" s="36" t="s">
        <v>40</v>
      </c>
      <c r="D18" s="36" t="s">
        <v>41</v>
      </c>
      <c r="E18" s="36" t="s">
        <v>42</v>
      </c>
      <c r="F18" s="38"/>
      <c r="G18" s="36" t="s">
        <v>6</v>
      </c>
      <c r="H18" s="36" t="s">
        <v>40</v>
      </c>
      <c r="I18" s="36" t="s">
        <v>43</v>
      </c>
      <c r="J18" s="36" t="s">
        <v>44</v>
      </c>
      <c r="K18" s="33"/>
      <c r="L18" s="36" t="s">
        <v>45</v>
      </c>
      <c r="M18" s="36" t="s">
        <v>46</v>
      </c>
      <c r="N18" s="36" t="s">
        <v>47</v>
      </c>
      <c r="O18" s="36" t="s">
        <v>48</v>
      </c>
      <c r="Q18" s="3" t="s">
        <v>49</v>
      </c>
      <c r="R18" s="3" t="s">
        <v>50</v>
      </c>
    </row>
    <row r="19" spans="1:20" ht="30" customHeight="1">
      <c r="A19" s="37">
        <v>1</v>
      </c>
      <c r="B19" s="18" t="s">
        <v>31</v>
      </c>
      <c r="C19" s="14">
        <v>1.87</v>
      </c>
      <c r="D19" s="14">
        <v>0.16</v>
      </c>
      <c r="E19" s="14">
        <v>0.27</v>
      </c>
      <c r="F19" s="38"/>
      <c r="G19" s="37">
        <v>1</v>
      </c>
      <c r="H19" s="37">
        <f t="shared" ref="H19:H25" si="9">C19</f>
        <v>1.87</v>
      </c>
      <c r="I19" s="37">
        <f t="shared" ref="I19:I25" si="10">ROUND(((E19)^2-(D19)^2)/(2*(0.8-0.15)),2)</f>
        <v>0.04</v>
      </c>
      <c r="J19" s="37">
        <f t="shared" ref="J19:J25" si="11">ROUND(C19*(9.82-I19),2)</f>
        <v>18.29</v>
      </c>
      <c r="K19" s="17"/>
      <c r="L19" s="3">
        <f t="shared" ref="L19:L25" si="12">(I19-$Y$7)</f>
        <v>-0.13</v>
      </c>
      <c r="M19" s="3">
        <f t="shared" ref="M19:M25" si="13">(J19-$Z$7)</f>
        <v>-22.1</v>
      </c>
      <c r="N19" s="3">
        <f t="shared" ref="N19:N25" si="14">L19^2</f>
        <v>1.6900000000000002E-2</v>
      </c>
      <c r="O19" s="3">
        <f t="shared" ref="O19:O25" si="15">L19*M19</f>
        <v>2.8730000000000002</v>
      </c>
      <c r="Q19" s="3">
        <f t="shared" ref="Q19:Q25" si="16">ROUND(J19-($Z$9+$U$10*I19),3)</f>
        <v>0.25800000000000001</v>
      </c>
      <c r="R19" s="3">
        <f t="shared" ref="R19:R25" si="17">Q19*Q19</f>
        <v>6.6563999999999998E-2</v>
      </c>
    </row>
    <row r="20" spans="1:20" ht="30" customHeight="1">
      <c r="A20" s="37">
        <v>2</v>
      </c>
      <c r="B20" s="18" t="s">
        <v>32</v>
      </c>
      <c r="C20" s="14">
        <v>2.71</v>
      </c>
      <c r="D20" s="14">
        <v>0.19</v>
      </c>
      <c r="E20" s="14">
        <v>0.35</v>
      </c>
      <c r="F20" s="38"/>
      <c r="G20" s="37">
        <v>2</v>
      </c>
      <c r="H20" s="37">
        <f t="shared" si="9"/>
        <v>2.71</v>
      </c>
      <c r="I20" s="37">
        <f t="shared" si="10"/>
        <v>7.0000000000000007E-2</v>
      </c>
      <c r="J20" s="37">
        <f t="shared" si="11"/>
        <v>26.42</v>
      </c>
      <c r="K20" s="17"/>
      <c r="L20" s="3">
        <f t="shared" si="12"/>
        <v>-0.1</v>
      </c>
      <c r="M20" s="3">
        <f t="shared" si="13"/>
        <v>-13.969999999999999</v>
      </c>
      <c r="N20" s="3">
        <f t="shared" si="14"/>
        <v>1.0000000000000002E-2</v>
      </c>
      <c r="O20" s="3">
        <f t="shared" si="15"/>
        <v>1.397</v>
      </c>
      <c r="Q20" s="3">
        <f t="shared" si="16"/>
        <v>3.2290000000000001</v>
      </c>
      <c r="R20" s="3">
        <f t="shared" si="17"/>
        <v>10.426441000000001</v>
      </c>
    </row>
    <row r="21" spans="1:20" ht="30" customHeight="1">
      <c r="A21" s="37">
        <v>3</v>
      </c>
      <c r="B21" s="18" t="s">
        <v>33</v>
      </c>
      <c r="C21" s="14">
        <v>3.32</v>
      </c>
      <c r="D21" s="14">
        <v>0.21</v>
      </c>
      <c r="E21" s="14">
        <v>0.48</v>
      </c>
      <c r="F21" s="38"/>
      <c r="G21" s="37">
        <v>3</v>
      </c>
      <c r="H21" s="37">
        <f t="shared" si="9"/>
        <v>3.32</v>
      </c>
      <c r="I21" s="37">
        <f t="shared" si="10"/>
        <v>0.14000000000000001</v>
      </c>
      <c r="J21" s="37">
        <f t="shared" si="11"/>
        <v>32.14</v>
      </c>
      <c r="K21" s="17"/>
      <c r="L21" s="3">
        <f t="shared" si="12"/>
        <v>-0.03</v>
      </c>
      <c r="M21" s="3">
        <f t="shared" si="13"/>
        <v>-8.25</v>
      </c>
      <c r="N21" s="3">
        <f t="shared" si="14"/>
        <v>8.9999999999999998E-4</v>
      </c>
      <c r="O21" s="3">
        <f t="shared" si="15"/>
        <v>0.2475</v>
      </c>
      <c r="Q21" s="3">
        <f t="shared" si="16"/>
        <v>-3.09</v>
      </c>
      <c r="R21" s="3">
        <f t="shared" si="17"/>
        <v>9.5480999999999998</v>
      </c>
    </row>
    <row r="22" spans="1:20" ht="30" customHeight="1">
      <c r="A22" s="37">
        <v>4</v>
      </c>
      <c r="B22" s="18" t="s">
        <v>34</v>
      </c>
      <c r="C22" s="14">
        <v>4.1399999999999997</v>
      </c>
      <c r="D22" s="14">
        <v>0.22</v>
      </c>
      <c r="E22" s="14">
        <v>0.52</v>
      </c>
      <c r="F22" s="38"/>
      <c r="G22" s="37">
        <v>4</v>
      </c>
      <c r="H22" s="37">
        <f t="shared" si="9"/>
        <v>4.1399999999999997</v>
      </c>
      <c r="I22" s="37">
        <f t="shared" si="10"/>
        <v>0.17</v>
      </c>
      <c r="J22" s="37">
        <f t="shared" si="11"/>
        <v>39.950000000000003</v>
      </c>
      <c r="K22" s="17"/>
      <c r="L22" s="3">
        <f t="shared" si="12"/>
        <v>0</v>
      </c>
      <c r="M22" s="3">
        <f t="shared" si="13"/>
        <v>-0.43999999999999773</v>
      </c>
      <c r="N22" s="3">
        <f t="shared" si="14"/>
        <v>0</v>
      </c>
      <c r="O22" s="3">
        <f t="shared" si="15"/>
        <v>0</v>
      </c>
      <c r="Q22" s="3">
        <f t="shared" si="16"/>
        <v>-0.44</v>
      </c>
      <c r="R22" s="3">
        <f t="shared" si="17"/>
        <v>0.19359999999999999</v>
      </c>
    </row>
    <row r="23" spans="1:20" ht="30" customHeight="1">
      <c r="A23" s="37">
        <v>5</v>
      </c>
      <c r="B23" s="18" t="s">
        <v>35</v>
      </c>
      <c r="C23" s="14">
        <v>5.0199999999999996</v>
      </c>
      <c r="D23" s="14">
        <v>0.26</v>
      </c>
      <c r="E23" s="14">
        <v>0.61</v>
      </c>
      <c r="F23" s="38"/>
      <c r="G23" s="37">
        <v>5</v>
      </c>
      <c r="H23" s="37">
        <f t="shared" si="9"/>
        <v>5.0199999999999996</v>
      </c>
      <c r="I23" s="37">
        <f t="shared" si="10"/>
        <v>0.23</v>
      </c>
      <c r="J23" s="37">
        <f t="shared" si="11"/>
        <v>48.14</v>
      </c>
      <c r="K23" s="17"/>
      <c r="L23" s="3">
        <f t="shared" si="12"/>
        <v>0.06</v>
      </c>
      <c r="M23" s="3">
        <f t="shared" si="13"/>
        <v>7.75</v>
      </c>
      <c r="N23" s="3">
        <f t="shared" si="14"/>
        <v>3.5999999999999999E-3</v>
      </c>
      <c r="O23" s="3">
        <f t="shared" si="15"/>
        <v>0.46499999999999997</v>
      </c>
      <c r="Q23" s="3">
        <f t="shared" si="16"/>
        <v>-2.569</v>
      </c>
      <c r="R23" s="3">
        <f t="shared" si="17"/>
        <v>6.599761</v>
      </c>
    </row>
    <row r="24" spans="1:20" ht="30" customHeight="1">
      <c r="A24" s="37">
        <v>6</v>
      </c>
      <c r="B24" s="18" t="s">
        <v>36</v>
      </c>
      <c r="C24" s="14">
        <v>5.87</v>
      </c>
      <c r="D24" s="14">
        <v>0.27</v>
      </c>
      <c r="E24" s="14">
        <v>0.63</v>
      </c>
      <c r="F24" s="38"/>
      <c r="G24" s="37">
        <v>6</v>
      </c>
      <c r="H24" s="37">
        <f t="shared" si="9"/>
        <v>5.87</v>
      </c>
      <c r="I24" s="37">
        <f t="shared" si="10"/>
        <v>0.25</v>
      </c>
      <c r="J24" s="37">
        <f t="shared" si="11"/>
        <v>56.18</v>
      </c>
      <c r="K24" s="17"/>
      <c r="L24" s="3">
        <f t="shared" si="12"/>
        <v>7.9999999999999988E-2</v>
      </c>
      <c r="M24" s="3">
        <f t="shared" si="13"/>
        <v>15.79</v>
      </c>
      <c r="N24" s="3">
        <f t="shared" si="14"/>
        <v>6.3999999999999977E-3</v>
      </c>
      <c r="O24" s="3">
        <f t="shared" si="15"/>
        <v>1.2631999999999997</v>
      </c>
      <c r="Q24" s="3">
        <f t="shared" si="16"/>
        <v>2.0310000000000001</v>
      </c>
      <c r="R24" s="3">
        <f t="shared" si="17"/>
        <v>4.1249610000000008</v>
      </c>
    </row>
    <row r="25" spans="1:20" ht="30" customHeight="1">
      <c r="A25" s="37">
        <v>7</v>
      </c>
      <c r="B25" s="18" t="s">
        <v>37</v>
      </c>
      <c r="C25" s="14">
        <v>6.46</v>
      </c>
      <c r="D25" s="14">
        <v>0.28999999999999998</v>
      </c>
      <c r="E25" s="14">
        <v>0.67</v>
      </c>
      <c r="F25" s="38"/>
      <c r="G25" s="37">
        <v>7</v>
      </c>
      <c r="H25" s="37">
        <f t="shared" si="9"/>
        <v>6.46</v>
      </c>
      <c r="I25" s="37">
        <f t="shared" si="10"/>
        <v>0.28000000000000003</v>
      </c>
      <c r="J25" s="37">
        <f t="shared" si="11"/>
        <v>61.63</v>
      </c>
      <c r="K25" s="17"/>
      <c r="L25" s="3">
        <f t="shared" si="12"/>
        <v>0.11000000000000001</v>
      </c>
      <c r="M25" s="3">
        <f t="shared" si="13"/>
        <v>21.240000000000002</v>
      </c>
      <c r="N25" s="3">
        <f t="shared" si="14"/>
        <v>1.2100000000000003E-2</v>
      </c>
      <c r="O25" s="3">
        <f t="shared" si="15"/>
        <v>2.3364000000000007</v>
      </c>
      <c r="Q25" s="3">
        <f t="shared" si="16"/>
        <v>2.3220000000000001</v>
      </c>
      <c r="R25" s="3">
        <f t="shared" si="17"/>
        <v>5.3916840000000006</v>
      </c>
    </row>
    <row r="26" spans="1:20">
      <c r="A26" s="15"/>
      <c r="B26" s="15"/>
      <c r="C26" s="15"/>
      <c r="D26" s="15"/>
      <c r="E26" s="15"/>
      <c r="F26" s="16"/>
      <c r="G26" s="15"/>
      <c r="H26" s="15"/>
      <c r="I26" s="15"/>
      <c r="J26" s="15"/>
      <c r="K26" s="10"/>
      <c r="L26" s="1"/>
      <c r="M26" s="1"/>
      <c r="N26" s="1"/>
      <c r="O26" s="1"/>
      <c r="Q26" s="1"/>
      <c r="R26" s="1"/>
      <c r="S26" s="1"/>
      <c r="T26" s="1"/>
    </row>
    <row r="27" spans="1:20">
      <c r="A27" s="10"/>
      <c r="B27" s="17"/>
      <c r="C27" s="10"/>
      <c r="D27" s="10"/>
      <c r="E27" s="10"/>
      <c r="F27" s="10"/>
      <c r="G27" s="10"/>
      <c r="H27" s="10"/>
      <c r="I27" s="10"/>
      <c r="J27" s="10"/>
      <c r="K27" s="10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0"/>
      <c r="B28" s="17"/>
      <c r="C28" s="10"/>
      <c r="D28" s="10"/>
      <c r="E28" s="10"/>
      <c r="F28" s="10"/>
      <c r="G28" s="10"/>
      <c r="H28" s="10"/>
      <c r="I28" s="10"/>
      <c r="J28" s="10"/>
      <c r="K28" s="10"/>
      <c r="L28" s="1"/>
      <c r="M28" s="1"/>
      <c r="N28" s="1"/>
      <c r="O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2"/>
  <sheetViews>
    <sheetView tabSelected="1" topLeftCell="A2" zoomScale="70" zoomScaleNormal="70" workbookViewId="0">
      <selection activeCell="L23" sqref="E3:L23"/>
    </sheetView>
  </sheetViews>
  <sheetFormatPr defaultColWidth="9" defaultRowHeight="14.25"/>
  <sheetData>
    <row r="1" spans="1:23" ht="12.75" customHeight="1">
      <c r="A1" s="1"/>
      <c r="B1" s="1"/>
      <c r="C1" s="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1"/>
    </row>
    <row r="2" spans="1:23">
      <c r="A2" s="1"/>
      <c r="B2" s="1"/>
      <c r="C2" s="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1"/>
    </row>
    <row r="3" spans="1:23">
      <c r="A3" s="31" t="s">
        <v>63</v>
      </c>
      <c r="B3" s="31"/>
      <c r="C3" s="3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4">
        <v>0.27</v>
      </c>
      <c r="B4" s="5">
        <v>17.86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6">
        <v>0.38</v>
      </c>
      <c r="B5" s="6">
        <v>25.58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7">
        <v>0.54</v>
      </c>
      <c r="B6" s="7">
        <v>30.81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7">
        <v>0.67</v>
      </c>
      <c r="B7" s="7">
        <v>37.880000000000003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7">
        <v>0.78</v>
      </c>
      <c r="B8" s="7">
        <v>45.38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7">
        <v>0.93</v>
      </c>
      <c r="B9" s="7">
        <v>52.18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7">
        <v>0.97</v>
      </c>
      <c r="B10" s="7">
        <v>51.17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31" t="s">
        <v>64</v>
      </c>
      <c r="B12" s="31"/>
      <c r="C12" s="3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8">
        <v>0.04</v>
      </c>
      <c r="B13" s="8">
        <v>18.29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6">
        <v>7.0000000000000007E-2</v>
      </c>
      <c r="B14" s="6">
        <v>26.42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7">
        <v>0.14000000000000001</v>
      </c>
      <c r="B15" s="7">
        <v>32.14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7">
        <v>0.17</v>
      </c>
      <c r="B16" s="7">
        <v>39.950000000000003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7">
        <v>0.23</v>
      </c>
      <c r="B17" s="7">
        <v>48.14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7">
        <v>0.25</v>
      </c>
      <c r="B18" s="7">
        <v>56.18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7">
        <v>0.28000000000000003</v>
      </c>
      <c r="B19" s="7">
        <v>61.63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</sheetData>
  <mergeCells count="2">
    <mergeCell ref="A3:C3"/>
    <mergeCell ref="A12:C1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C6" rgbClr="DDC3A4"/>
    <comment s:ref="D6" rgbClr="DDC3A4"/>
    <comment s:ref="E6" rgbClr="DDC3A4"/>
    <comment s:ref="H6" rgbClr="DDC3A4"/>
    <comment s:ref="I6" rgbClr="DDC3A4"/>
    <comment s:ref="J6" rgbClr="DDC3A4"/>
    <comment s:ref="L6" rgbClr="DDC3A4"/>
    <comment s:ref="M6" rgbClr="DDC3A4"/>
    <comment s:ref="N6" rgbClr="DDC3A4"/>
    <comment s:ref="O6" rgbClr="DDC3A4"/>
    <comment s:ref="Q6" rgbClr="DDC3A4"/>
    <comment s:ref="R6" rgbClr="DDC3A4"/>
    <comment s:ref="U6" rgbClr="DDC3A4"/>
    <comment s:ref="V6" rgbClr="DDC3A4"/>
    <comment s:ref="W6" rgbClr="DDC3A4"/>
    <comment s:ref="X6" rgbClr="DDC3A4"/>
    <comment s:ref="X8" rgbClr="DDC3A4"/>
    <comment s:ref="T9" rgbClr="DDC3A4"/>
    <comment s:ref="Q18" rgbClr="DDC3A4"/>
    <comment s:ref="R18" rgbClr="DDC3A4"/>
  </commentList>
  <commentList sheetStid="3">
    <comment s:ref="A3" rgbClr="DDC3A4"/>
    <comment s:ref="A12" rgbClr="DDC3A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Ершова</vt:lpstr>
      <vt:lpstr>Ходжаев_1</vt:lpstr>
      <vt:lpstr>Ходжаев_2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Sterva</dc:creator>
  <cp:lastModifiedBy>Ершова Мария Сергеевна</cp:lastModifiedBy>
  <dcterms:created xsi:type="dcterms:W3CDTF">2023-10-21T16:37:00Z</dcterms:created>
  <dcterms:modified xsi:type="dcterms:W3CDTF">2023-10-22T21:29:06Z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204B771876C0413484EA87F005C06EC4</vt:lpwstr>
  </property>
  <property fmtid="{D5CDD505-2E9C-101B-9397-08002B2CF9AE}" pid="3" name="KSOProductBuildVer">
    <vt:lpwstr>1033-11.2.0.11225</vt:lpwstr>
  </property>
</Properties>
</file>