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fi\OneDrive\Рабочий стол\УЧЕБА.УЕБА\ФИЗИКА ЛАБЫ\ЛАБА_3.10\"/>
    </mc:Choice>
  </mc:AlternateContent>
  <xr:revisionPtr revIDLastSave="0" documentId="13_ncr:1_{CEC2B5C6-C5BB-449A-AE00-87C74FCD6178}" xr6:coauthVersionLast="47" xr6:coauthVersionMax="47" xr10:uidLastSave="{00000000-0000-0000-0000-000000000000}"/>
  <bookViews>
    <workbookView xWindow="-98" yWindow="-98" windowWidth="19095" windowHeight="12075" xr2:uid="{BB248775-DF62-42BA-80F4-BC2012F03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63" i="1"/>
  <c r="C63" i="1"/>
  <c r="C35" i="1"/>
  <c r="F28" i="1"/>
  <c r="F26" i="1"/>
  <c r="F25" i="1"/>
  <c r="G28" i="1"/>
  <c r="G26" i="1"/>
  <c r="G25" i="1"/>
  <c r="K3" i="1"/>
  <c r="I3" i="1"/>
  <c r="J3" i="1" s="1"/>
  <c r="J29" i="1"/>
  <c r="K14" i="1"/>
  <c r="L14" i="1" s="1"/>
  <c r="K15" i="1"/>
  <c r="L15" i="1" s="1"/>
  <c r="K16" i="1"/>
  <c r="L16" i="1" s="1"/>
  <c r="J4" i="1"/>
  <c r="J5" i="1"/>
  <c r="J6" i="1"/>
  <c r="B36" i="1"/>
  <c r="C36" i="1" s="1"/>
  <c r="B37" i="1"/>
  <c r="C37" i="1" s="1"/>
  <c r="B35" i="1"/>
  <c r="K4" i="1"/>
  <c r="L4" i="1" s="1"/>
  <c r="B59" i="1" s="1"/>
  <c r="K5" i="1"/>
  <c r="L5" i="1" s="1"/>
  <c r="K6" i="1"/>
  <c r="L6" i="1" s="1"/>
  <c r="K7" i="1"/>
  <c r="L7" i="1" s="1"/>
  <c r="K8" i="1"/>
  <c r="K9" i="1"/>
  <c r="K10" i="1"/>
  <c r="K11" i="1"/>
  <c r="K12" i="1"/>
  <c r="K13" i="1"/>
  <c r="I4" i="1"/>
  <c r="I5" i="1"/>
  <c r="I6" i="1"/>
  <c r="I7" i="1"/>
  <c r="J7" i="1" s="1"/>
  <c r="I8" i="1"/>
  <c r="I9" i="1"/>
  <c r="I10" i="1"/>
  <c r="I11" i="1"/>
  <c r="I12" i="1"/>
  <c r="I13" i="1"/>
  <c r="L13" i="1" s="1"/>
  <c r="I14" i="1"/>
  <c r="J14" i="1" s="1"/>
  <c r="I15" i="1"/>
  <c r="J15" i="1" s="1"/>
  <c r="I16" i="1"/>
  <c r="J16" i="1" s="1"/>
  <c r="L3" i="1" l="1"/>
  <c r="L12" i="1"/>
  <c r="L11" i="1"/>
  <c r="L10" i="1"/>
  <c r="L9" i="1"/>
  <c r="J13" i="1"/>
  <c r="L8" i="1"/>
  <c r="J12" i="1"/>
  <c r="J11" i="1"/>
  <c r="J10" i="1"/>
  <c r="J9" i="1"/>
  <c r="J8" i="1"/>
  <c r="B58" i="1"/>
  <c r="J24" i="1"/>
  <c r="J23" i="1"/>
  <c r="D72" i="1" l="1"/>
  <c r="D73" i="1"/>
  <c r="D74" i="1"/>
  <c r="C74" i="1"/>
  <c r="C73" i="1"/>
  <c r="C72" i="1"/>
  <c r="C71" i="1"/>
  <c r="C64" i="1"/>
  <c r="D64" i="1" s="1"/>
  <c r="C65" i="1"/>
  <c r="D65" i="1" s="1"/>
  <c r="C66" i="1"/>
  <c r="D66" i="1" s="1"/>
  <c r="J25" i="1"/>
  <c r="J27" i="1" s="1"/>
</calcChain>
</file>

<file path=xl/sharedStrings.xml><?xml version="1.0" encoding="utf-8"?>
<sst xmlns="http://schemas.openxmlformats.org/spreadsheetml/2006/main" count="48" uniqueCount="36">
  <si>
    <t>Данные установки</t>
  </si>
  <si>
    <t>Параметр</t>
  </si>
  <si>
    <t>Значение</t>
  </si>
  <si>
    <t>R1, Ом</t>
  </si>
  <si>
    <t>R2, Ом</t>
  </si>
  <si>
    <t>R3, Ом</t>
  </si>
  <si>
    <t>R4, Ом</t>
  </si>
  <si>
    <t>R5, Ом</t>
  </si>
  <si>
    <t>L, мГн</t>
  </si>
  <si>
    <t>С1, мкФ</t>
  </si>
  <si>
    <t>С2, мкФ</t>
  </si>
  <si>
    <t>С3, мкФ</t>
  </si>
  <si>
    <t>С4, мкФ</t>
  </si>
  <si>
    <t>Таблица 1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</si>
  <si>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м</t>
    </r>
    <r>
      <rPr>
        <sz val="11"/>
        <color theme="1"/>
        <rFont val="Calibri"/>
        <family val="2"/>
        <charset val="204"/>
        <scheme val="minor"/>
      </rPr>
      <t>, Ом</t>
    </r>
  </si>
  <si>
    <t>T, мс</t>
  </si>
  <si>
    <t>n</t>
  </si>
  <si>
    <t>λ</t>
  </si>
  <si>
    <t>Q</t>
  </si>
  <si>
    <t>R, Ом</t>
  </si>
  <si>
    <r>
      <t>2U</t>
    </r>
    <r>
      <rPr>
        <vertAlign val="subscript"/>
        <sz val="11"/>
        <color theme="1"/>
        <rFont val="Calibri"/>
        <family val="2"/>
        <charset val="204"/>
        <scheme val="minor"/>
      </rPr>
      <t>i+n</t>
    </r>
    <r>
      <rPr>
        <sz val="11"/>
        <color theme="1"/>
        <rFont val="Calibri"/>
        <family val="2"/>
        <charset val="204"/>
        <scheme val="minor"/>
      </rPr>
      <t>, дел</t>
    </r>
  </si>
  <si>
    <r>
      <t>2U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дел</t>
    </r>
  </si>
  <si>
    <t>Доп. сведения</t>
  </si>
  <si>
    <t>R_0</t>
  </si>
  <si>
    <t>L_ср, мГн</t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</si>
  <si>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  <r>
      <rPr>
        <sz val="11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</si>
  <si>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эксп</t>
    </r>
    <r>
      <rPr>
        <sz val="11"/>
        <color theme="1"/>
        <rFont val="Calibri"/>
        <family val="2"/>
        <charset val="204"/>
        <scheme val="minor"/>
      </rPr>
      <t>, мс</t>
    </r>
  </si>
  <si>
    <t>0,004=tan(x)</t>
  </si>
  <si>
    <t xml:space="preserve"> Наклон:</t>
  </si>
  <si>
    <t>Таблица 2</t>
  </si>
  <si>
    <t>С, мкФ</t>
  </si>
  <si>
    <t>δТ,%</t>
  </si>
  <si>
    <t>Таблица 2.1</t>
  </si>
  <si>
    <t>Т Tомсона, мс</t>
  </si>
  <si>
    <t>Погрешности 2Ui, дел</t>
  </si>
  <si>
    <t>Погрешности 2Ui+n, 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</si>
</sst>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204"/>
      <scheme val="minor"/>
    </font>
    <font>
      <sz val="5"/>
      <color rgb="FF333333"/>
      <name val="Courier New"/>
      <family val="3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6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9" fontId="0" fillId="0" borderId="1" xfId="2" applyFont="1" applyBorder="1"/>
    <xf numFmtId="43" fontId="0" fillId="0" borderId="1" xfId="1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</cellXfs>
  <cellStyles count="4">
    <cellStyle name="Обычный" xfId="0" builtinId="0"/>
    <cellStyle name="Обычный 2" xfId="3" xr:uid="{A7270905-CCDD-4B28-8E31-DA058CC98FA0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зависимости логарифмического декремента </a:t>
            </a:r>
            <a:r>
              <a:rPr lang="el-GR" sz="1400" b="0" i="0" u="none" strike="noStrike" baseline="0">
                <a:effectLst/>
              </a:rPr>
              <a:t>λ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от сопротивления магазина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ru-RU" sz="1400" b="0" i="0" u="none" strike="noStrike" baseline="-25000">
                <a:effectLst/>
              </a:rPr>
              <a:t>м</a:t>
            </a:r>
            <a:endParaRPr lang="ru-RU"/>
          </a:p>
        </c:rich>
      </c:tx>
      <c:layout>
        <c:manualLayout>
          <c:xMode val="edge"/>
          <c:yMode val="edge"/>
          <c:x val="0.138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.79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Лист1!$I$3:$I$13</c:f>
              <c:numCache>
                <c:formatCode>0.00</c:formatCode>
                <c:ptCount val="11"/>
                <c:pt idx="0">
                  <c:v>0.40323793293347421</c:v>
                </c:pt>
                <c:pt idx="1">
                  <c:v>0.41739884881148609</c:v>
                </c:pt>
                <c:pt idx="2">
                  <c:v>0.49369332677894262</c:v>
                </c:pt>
                <c:pt idx="3">
                  <c:v>0.54930614433405478</c:v>
                </c:pt>
                <c:pt idx="4">
                  <c:v>0.54930614433405489</c:v>
                </c:pt>
                <c:pt idx="5">
                  <c:v>0.59812537911601282</c:v>
                </c:pt>
                <c:pt idx="6">
                  <c:v>0.60198640216296806</c:v>
                </c:pt>
                <c:pt idx="7">
                  <c:v>0.66750053336616999</c:v>
                </c:pt>
                <c:pt idx="8">
                  <c:v>0.69314718055994529</c:v>
                </c:pt>
                <c:pt idx="9">
                  <c:v>0.75991287687220666</c:v>
                </c:pt>
                <c:pt idx="10">
                  <c:v>0.82111386762854566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79F-8711-02853EF5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24752"/>
        <c:axId val="772668432"/>
      </c:scatterChart>
      <c:valAx>
        <c:axId val="7799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м</a:t>
                </a:r>
                <a:r>
                  <a:rPr lang="ru-RU" sz="1000" b="0" i="0" u="none" strike="noStrike" baseline="0">
                    <a:effectLst/>
                  </a:rPr>
                  <a:t>, Ом</a:t>
                </a:r>
                <a:r>
                  <a:rPr lang="ru-RU" sz="1000" b="0" i="0" u="none" strike="noStrike" baseline="0"/>
                  <a:t> 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68432"/>
        <c:crosses val="autoZero"/>
        <c:crossBetween val="midCat"/>
      </c:valAx>
      <c:valAx>
        <c:axId val="7726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l-GR" sz="1000" b="0" i="0" u="none" strike="noStrike" baseline="0">
                    <a:effectLst/>
                  </a:rPr>
                  <a:t>λ</a:t>
                </a:r>
                <a:r>
                  <a:rPr lang="el-GR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92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зависимости добротности от сопротивления контура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0462817147856518E-2"/>
                  <c:y val="-9.5458588509769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Лист1!$A$41:$A$54</c:f>
              <c:numCache>
                <c:formatCode>General</c:formatCode>
                <c:ptCount val="14"/>
                <c:pt idx="0">
                  <c:v>100.79</c:v>
                </c:pt>
                <c:pt idx="1">
                  <c:v>110.79</c:v>
                </c:pt>
                <c:pt idx="2">
                  <c:v>120.79</c:v>
                </c:pt>
                <c:pt idx="3">
                  <c:v>130.79</c:v>
                </c:pt>
                <c:pt idx="4">
                  <c:v>140.79</c:v>
                </c:pt>
                <c:pt idx="5">
                  <c:v>150.79</c:v>
                </c:pt>
                <c:pt idx="6">
                  <c:v>160.79</c:v>
                </c:pt>
                <c:pt idx="7">
                  <c:v>170.79</c:v>
                </c:pt>
                <c:pt idx="8">
                  <c:v>180.79</c:v>
                </c:pt>
                <c:pt idx="9">
                  <c:v>190.79</c:v>
                </c:pt>
                <c:pt idx="10">
                  <c:v>200.79</c:v>
                </c:pt>
                <c:pt idx="11">
                  <c:v>300.79000000000002</c:v>
                </c:pt>
                <c:pt idx="12">
                  <c:v>400.79</c:v>
                </c:pt>
                <c:pt idx="13">
                  <c:v>500.79</c:v>
                </c:pt>
              </c:numCache>
            </c:numRef>
          </c:xVal>
          <c:yVal>
            <c:numRef>
              <c:f>Лист1!$B$41:$B$54</c:f>
              <c:numCache>
                <c:formatCode>0.00</c:formatCode>
                <c:ptCount val="14"/>
                <c:pt idx="0" formatCode="General">
                  <c:v>11.35</c:v>
                </c:pt>
                <c:pt idx="1">
                  <c:v>11.1</c:v>
                </c:pt>
                <c:pt idx="2" formatCode="General">
                  <c:v>10.01</c:v>
                </c:pt>
                <c:pt idx="3" formatCode="General">
                  <c:v>9.42</c:v>
                </c:pt>
                <c:pt idx="4" formatCode="General">
                  <c:v>9.42</c:v>
                </c:pt>
                <c:pt idx="5" formatCode="General">
                  <c:v>9.01</c:v>
                </c:pt>
                <c:pt idx="6" formatCode="General">
                  <c:v>8.98</c:v>
                </c:pt>
                <c:pt idx="7" formatCode="General">
                  <c:v>8.5299999999999994</c:v>
                </c:pt>
                <c:pt idx="8" formatCode="General">
                  <c:v>8.3800000000000008</c:v>
                </c:pt>
                <c:pt idx="9" formatCode="General">
                  <c:v>8.0399999999999991</c:v>
                </c:pt>
                <c:pt idx="10" formatCode="General">
                  <c:v>7.79</c:v>
                </c:pt>
                <c:pt idx="11" formatCode="General">
                  <c:v>8.17</c:v>
                </c:pt>
                <c:pt idx="12" formatCode="General">
                  <c:v>7.07</c:v>
                </c:pt>
                <c:pt idx="13" formatCode="General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1-486E-A66F-0D83D87F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91423"/>
        <c:axId val="895109503"/>
      </c:scatterChart>
      <c:valAx>
        <c:axId val="8020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109503"/>
        <c:crosses val="autoZero"/>
        <c:crossBetween val="midCat"/>
      </c:valAx>
      <c:valAx>
        <c:axId val="8951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Q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42851086322543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0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зависимости периодов </a:t>
            </a:r>
            <a:r>
              <a:rPr lang="en-US" sz="1400" b="0" i="0" u="none" strike="noStrike" baseline="0"/>
              <a:t>T</a:t>
            </a:r>
            <a:r>
              <a:rPr lang="ru-RU" sz="1400" b="0" i="0" u="none" strike="noStrike" baseline="0"/>
              <a:t>_теор от ёмкости конденсатора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978346456692919E-2"/>
                  <c:y val="-1.6178186060075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Лист1!$C$71:$C$74</c:f>
              <c:numCache>
                <c:formatCode>0.00</c:formatCode>
                <c:ptCount val="4"/>
                <c:pt idx="0">
                  <c:v>0.11026905892498591</c:v>
                </c:pt>
                <c:pt idx="1">
                  <c:v>0.13518750080666522</c:v>
                </c:pt>
                <c:pt idx="2">
                  <c:v>0.1615423008234611</c:v>
                </c:pt>
                <c:pt idx="3">
                  <c:v>0.53192711507723811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0-45B0-8EE2-86F32A10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137359"/>
        <c:axId val="773087504"/>
      </c:scatterChart>
      <c:valAx>
        <c:axId val="8481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С, мкФ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94884076990375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087504"/>
        <c:crosses val="autoZero"/>
        <c:crossBetween val="midCat"/>
      </c:valAx>
      <c:valAx>
        <c:axId val="7730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</a:t>
                </a:r>
                <a:r>
                  <a:rPr lang="ru-RU" sz="1000" b="0" i="0" u="none" strike="noStrike" baseline="-25000">
                    <a:effectLst/>
                  </a:rPr>
                  <a:t>теор</a:t>
                </a:r>
                <a:r>
                  <a:rPr lang="ru-RU" sz="1000" b="0" i="0" u="none" strike="noStrike" baseline="0">
                    <a:effectLst/>
                  </a:rPr>
                  <a:t>, мс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0.3915547535724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1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 периодов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_эксп от ёмкости конденсатора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238710907245245E-2"/>
                  <c:y val="-6.006444121752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Лист1!$B$71:$B$74</c:f>
              <c:numCache>
                <c:formatCode>General</c:formatCode>
                <c:ptCount val="4"/>
                <c:pt idx="0" formatCode="0.0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3-4F7C-BDEE-B6872164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79087"/>
        <c:axId val="852306079"/>
      </c:scatterChart>
      <c:valAx>
        <c:axId val="6080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С, мкФ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306079"/>
        <c:crosses val="autoZero"/>
        <c:crossBetween val="midCat"/>
      </c:valAx>
      <c:valAx>
        <c:axId val="852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Тэксп,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0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 периодов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_томпсона от ёмкости конденсатора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267358229279135E-2"/>
                  <c:y val="-2.205224733675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Лист1!$D$71:$D$74</c:f>
              <c:numCache>
                <c:formatCode>_(* #,##0.00_);_(* \(#,##0.00\);_(* "-"??_);_(@_)</c:formatCode>
                <c:ptCount val="4"/>
                <c:pt idx="0">
                  <c:v>0.11004791462892517</c:v>
                </c:pt>
                <c:pt idx="1">
                  <c:v>0.13478061904911554</c:v>
                </c:pt>
                <c:pt idx="2">
                  <c:v>0.16084938538982169</c:v>
                </c:pt>
                <c:pt idx="3">
                  <c:v>0.50865041807004729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456F-A032-92FC5711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59807"/>
        <c:axId val="784089120"/>
      </c:scatterChart>
      <c:valAx>
        <c:axId val="11709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С, мкФ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089120"/>
        <c:crosses val="autoZero"/>
        <c:crossBetween val="midCat"/>
      </c:valAx>
      <c:valAx>
        <c:axId val="784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 </a:t>
                </a:r>
                <a:r>
                  <a:rPr lang="en-US" sz="1000" b="0" i="0" u="none" strike="noStrike" baseline="0">
                    <a:effectLst/>
                  </a:rPr>
                  <a:t>T</a:t>
                </a:r>
                <a:r>
                  <a:rPr lang="ru-RU" sz="1000" b="0" i="0" u="none" strike="noStrike" baseline="0">
                    <a:effectLst/>
                  </a:rPr>
                  <a:t>омсона, мс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598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зависимости периодов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_теор, Т_эксп, Т_Томсона от ёмкости конденсатора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T_эксп, мс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987492373784764E-3"/>
                  <c:y val="-3.06900668261732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0,958x + 0,0905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Лист1!$B$71:$B$74</c:f>
              <c:numCache>
                <c:formatCode>General</c:formatCode>
                <c:ptCount val="4"/>
                <c:pt idx="0" formatCode="0.0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4B79-B7EC-3AD88931242F}"/>
            </c:ext>
          </c:extLst>
        </c:ser>
        <c:ser>
          <c:idx val="1"/>
          <c:order val="1"/>
          <c:tx>
            <c:v>T_теор, мс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33296069122068E-2"/>
                  <c:y val="2.6231423457110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y = 0,9113x + 0,1044</a:t>
                    </a:r>
                    <a:endParaRPr lang="en-US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Лист1!$C$71:$C$74</c:f>
              <c:numCache>
                <c:formatCode>0.00</c:formatCode>
                <c:ptCount val="4"/>
                <c:pt idx="0">
                  <c:v>0.11026905892498591</c:v>
                </c:pt>
                <c:pt idx="1">
                  <c:v>0.13518750080666522</c:v>
                </c:pt>
                <c:pt idx="2">
                  <c:v>0.1615423008234611</c:v>
                </c:pt>
                <c:pt idx="3">
                  <c:v>0.53192711507723811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4B79-B7EC-3AD88931242F}"/>
            </c:ext>
          </c:extLst>
        </c:ser>
        <c:ser>
          <c:idx val="2"/>
          <c:order val="2"/>
          <c:tx>
            <c:v>T_томсона, мс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16536094425023E-2"/>
                  <c:y val="0.105450454284170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2">
                            <a:lumMod val="25000"/>
                          </a:schemeClr>
                        </a:solidFill>
                      </a:rPr>
                      <a:t>y = 0,859x + 0,1057</a:t>
                    </a:r>
                    <a:endParaRPr lang="en-US">
                      <a:solidFill>
                        <a:schemeClr val="bg2">
                          <a:lumMod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Лист1!$A$71:$A$74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Лист1!$D$71:$D$74</c:f>
              <c:numCache>
                <c:formatCode>_(* #,##0.00_);_(* \(#,##0.00\);_(* "-"??_);_(@_)</c:formatCode>
                <c:ptCount val="4"/>
                <c:pt idx="0">
                  <c:v>0.11004791462892517</c:v>
                </c:pt>
                <c:pt idx="1">
                  <c:v>0.13478061904911554</c:v>
                </c:pt>
                <c:pt idx="2">
                  <c:v>0.16084938538982169</c:v>
                </c:pt>
                <c:pt idx="3">
                  <c:v>0.50865041807004729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E-4B79-B7EC-3AD88931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33967"/>
        <c:axId val="918336367"/>
      </c:scatterChart>
      <c:valAx>
        <c:axId val="9183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en-US" baseline="0"/>
                  <a:t> </a:t>
                </a:r>
                <a:r>
                  <a:rPr lang="ru-RU" baseline="0"/>
                  <a:t>мкФ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36367"/>
        <c:crosses val="autoZero"/>
        <c:crossBetween val="midCat"/>
      </c:valAx>
      <c:valAx>
        <c:axId val="918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3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2.xml"/><Relationship Id="rId18" Type="http://schemas.openxmlformats.org/officeDocument/2006/relationships/chart" Target="../charts/chart3.xml"/><Relationship Id="rId3" Type="http://schemas.openxmlformats.org/officeDocument/2006/relationships/image" Target="../media/image2.png"/><Relationship Id="rId21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42796</xdr:colOff>
      <xdr:row>33</xdr:row>
      <xdr:rowOff>10365</xdr:rowOff>
    </xdr:from>
    <xdr:to>
      <xdr:col>12</xdr:col>
      <xdr:colOff>333819</xdr:colOff>
      <xdr:row>48</xdr:row>
      <xdr:rowOff>16529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7882FE-7217-D013-9E6A-96F89050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82638</xdr:colOff>
      <xdr:row>1</xdr:row>
      <xdr:rowOff>104663</xdr:rowOff>
    </xdr:from>
    <xdr:to>
      <xdr:col>13</xdr:col>
      <xdr:colOff>96926</xdr:colOff>
      <xdr:row>3</xdr:row>
      <xdr:rowOff>63043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5166B7A-CC29-625B-CD8B-1836FED87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809" y="286504"/>
          <a:ext cx="663720" cy="33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67955</xdr:colOff>
      <xdr:row>3</xdr:row>
      <xdr:rowOff>115957</xdr:rowOff>
    </xdr:from>
    <xdr:to>
      <xdr:col>14</xdr:col>
      <xdr:colOff>45800</xdr:colOff>
      <xdr:row>6</xdr:row>
      <xdr:rowOff>67465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430CE94-A0C1-C149-9C22-EDD0B4DC6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126" y="678798"/>
          <a:ext cx="1276709" cy="497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77933</xdr:colOff>
      <xdr:row>6</xdr:row>
      <xdr:rowOff>108237</xdr:rowOff>
    </xdr:from>
    <xdr:to>
      <xdr:col>13</xdr:col>
      <xdr:colOff>120796</xdr:colOff>
      <xdr:row>9</xdr:row>
      <xdr:rowOff>21647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C639261-2BDD-8281-2C41-73F4B0336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5104" y="1216601"/>
          <a:ext cx="692295" cy="458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58067</xdr:colOff>
      <xdr:row>23</xdr:row>
      <xdr:rowOff>2037</xdr:rowOff>
    </xdr:from>
    <xdr:to>
      <xdr:col>8</xdr:col>
      <xdr:colOff>139030</xdr:colOff>
      <xdr:row>23</xdr:row>
      <xdr:rowOff>161416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A00B498-B9E2-8BF0-D9A9-72900207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1818" y="4327508"/>
          <a:ext cx="80963" cy="159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51955</xdr:colOff>
      <xdr:row>24</xdr:row>
      <xdr:rowOff>0</xdr:rowOff>
    </xdr:from>
    <xdr:to>
      <xdr:col>8</xdr:col>
      <xdr:colOff>190068</xdr:colOff>
      <xdr:row>24</xdr:row>
      <xdr:rowOff>161925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A646490-EAC0-28BE-5E99-542407DB3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0262" y="4563341"/>
          <a:ext cx="138113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82262</xdr:colOff>
      <xdr:row>9</xdr:row>
      <xdr:rowOff>47625</xdr:rowOff>
    </xdr:from>
    <xdr:to>
      <xdr:col>13</xdr:col>
      <xdr:colOff>75768</xdr:colOff>
      <xdr:row>10</xdr:row>
      <xdr:rowOff>41997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09E0981-A237-56DF-D0C3-E3CA0F454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433" y="1701511"/>
          <a:ext cx="642938" cy="176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60613</xdr:colOff>
      <xdr:row>25</xdr:row>
      <xdr:rowOff>168853</xdr:rowOff>
    </xdr:from>
    <xdr:to>
      <xdr:col>8</xdr:col>
      <xdr:colOff>213013</xdr:colOff>
      <xdr:row>26</xdr:row>
      <xdr:rowOff>148937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F2B93A7-0EF3-FD01-C997-6DD402393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920" y="491403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</xdr:colOff>
      <xdr:row>24</xdr:row>
      <xdr:rowOff>173181</xdr:rowOff>
    </xdr:from>
    <xdr:to>
      <xdr:col>8</xdr:col>
      <xdr:colOff>295275</xdr:colOff>
      <xdr:row>26</xdr:row>
      <xdr:rowOff>15153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B2CC396-E20B-C1EC-0B71-5546159DE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5932" y="4736522"/>
          <a:ext cx="247650" cy="20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29</xdr:row>
      <xdr:rowOff>12987</xdr:rowOff>
    </xdr:from>
    <xdr:to>
      <xdr:col>1</xdr:col>
      <xdr:colOff>342034</xdr:colOff>
      <xdr:row>31</xdr:row>
      <xdr:rowOff>174913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016D35D-C12F-E55B-9979-E28D3BC42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303692"/>
          <a:ext cx="943841" cy="52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25977</xdr:colOff>
      <xdr:row>27</xdr:row>
      <xdr:rowOff>164523</xdr:rowOff>
    </xdr:from>
    <xdr:to>
      <xdr:col>1</xdr:col>
      <xdr:colOff>177511</xdr:colOff>
      <xdr:row>28</xdr:row>
      <xdr:rowOff>144607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00AF6AB-06F3-92E1-E816-AE5C6C045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7" y="5091546"/>
          <a:ext cx="80096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113567</xdr:colOff>
      <xdr:row>10</xdr:row>
      <xdr:rowOff>161192</xdr:rowOff>
    </xdr:from>
    <xdr:to>
      <xdr:col>14</xdr:col>
      <xdr:colOff>113567</xdr:colOff>
      <xdr:row>13</xdr:row>
      <xdr:rowOff>115032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E650D3E1-A26E-1AE8-A267-D1F81F3CA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7548" y="1978269"/>
          <a:ext cx="1296865" cy="492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635934</xdr:colOff>
      <xdr:row>33</xdr:row>
      <xdr:rowOff>22413</xdr:rowOff>
    </xdr:from>
    <xdr:to>
      <xdr:col>7</xdr:col>
      <xdr:colOff>1030941</xdr:colOff>
      <xdr:row>58</xdr:row>
      <xdr:rowOff>22413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DD9003D9-513B-C847-4E82-2E8977DC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280147</xdr:colOff>
      <xdr:row>55</xdr:row>
      <xdr:rowOff>156881</xdr:rowOff>
    </xdr:from>
    <xdr:to>
      <xdr:col>4</xdr:col>
      <xdr:colOff>280147</xdr:colOff>
      <xdr:row>58</xdr:row>
      <xdr:rowOff>110721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D7A3F69-CC70-4D32-8146-570936EAC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29" y="10062881"/>
          <a:ext cx="1299883" cy="491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84044</xdr:colOff>
      <xdr:row>13</xdr:row>
      <xdr:rowOff>173691</xdr:rowOff>
    </xdr:from>
    <xdr:to>
      <xdr:col>13</xdr:col>
      <xdr:colOff>155482</xdr:colOff>
      <xdr:row>16</xdr:row>
      <xdr:rowOff>127746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51649E5-33F4-1C95-9519-69180626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2526926"/>
          <a:ext cx="721379" cy="49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39221</xdr:colOff>
      <xdr:row>28</xdr:row>
      <xdr:rowOff>162485</xdr:rowOff>
    </xdr:from>
    <xdr:to>
      <xdr:col>8</xdr:col>
      <xdr:colOff>244009</xdr:colOff>
      <xdr:row>29</xdr:row>
      <xdr:rowOff>162485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64CAB7F-FE88-4872-5398-90EE543A4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2" y="5384426"/>
          <a:ext cx="204788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39221</xdr:colOff>
      <xdr:row>27</xdr:row>
      <xdr:rowOff>168087</xdr:rowOff>
    </xdr:from>
    <xdr:to>
      <xdr:col>8</xdr:col>
      <xdr:colOff>491659</xdr:colOff>
      <xdr:row>28</xdr:row>
      <xdr:rowOff>168087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6837212-7597-EB12-3922-030D581C9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2" y="5210734"/>
          <a:ext cx="452438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145677</xdr:colOff>
      <xdr:row>62</xdr:row>
      <xdr:rowOff>168087</xdr:rowOff>
    </xdr:from>
    <xdr:to>
      <xdr:col>5</xdr:col>
      <xdr:colOff>440086</xdr:colOff>
      <xdr:row>65</xdr:row>
      <xdr:rowOff>150719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401E4C19-2853-4891-A08C-050099112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442" y="11351558"/>
          <a:ext cx="944350" cy="52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212912</xdr:colOff>
      <xdr:row>69</xdr:row>
      <xdr:rowOff>5603</xdr:rowOff>
    </xdr:from>
    <xdr:to>
      <xdr:col>5</xdr:col>
      <xdr:colOff>248771</xdr:colOff>
      <xdr:row>69</xdr:row>
      <xdr:rowOff>191341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BBD7D6FD-62BB-26AC-CF41-0ACF7FC3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206" y="12444132"/>
          <a:ext cx="685800" cy="185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832037</xdr:colOff>
      <xdr:row>59</xdr:row>
      <xdr:rowOff>145676</xdr:rowOff>
    </xdr:from>
    <xdr:to>
      <xdr:col>11</xdr:col>
      <xdr:colOff>263337</xdr:colOff>
      <xdr:row>73</xdr:row>
      <xdr:rowOff>96930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BF9BCDF8-12EA-3F7A-F4CA-15BE60771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798422</xdr:colOff>
      <xdr:row>74</xdr:row>
      <xdr:rowOff>39221</xdr:rowOff>
    </xdr:from>
    <xdr:to>
      <xdr:col>11</xdr:col>
      <xdr:colOff>280148</xdr:colOff>
      <xdr:row>88</xdr:row>
      <xdr:rowOff>24091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45E97D8F-AFCF-3A0C-F994-FC61FF65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778809</xdr:colOff>
      <xdr:row>88</xdr:row>
      <xdr:rowOff>140072</xdr:rowOff>
    </xdr:from>
    <xdr:to>
      <xdr:col>11</xdr:col>
      <xdr:colOff>296955</xdr:colOff>
      <xdr:row>102</xdr:row>
      <xdr:rowOff>162485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4D9F773F-5400-208C-6238-CD834C39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193300</xdr:colOff>
      <xdr:row>60</xdr:row>
      <xdr:rowOff>15128</xdr:rowOff>
    </xdr:from>
    <xdr:to>
      <xdr:col>23</xdr:col>
      <xdr:colOff>162484</xdr:colOff>
      <xdr:row>84</xdr:row>
      <xdr:rowOff>61632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EC3C1C2-AD1C-C82C-2DE7-CC346709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F1FF-F840-4283-A4BF-C8CB87FE148C}">
  <dimension ref="A1:N74"/>
  <sheetViews>
    <sheetView tabSelected="1" topLeftCell="A57" zoomScale="85" zoomScaleNormal="85" workbookViewId="0">
      <selection activeCell="D71" sqref="D71"/>
    </sheetView>
  </sheetViews>
  <sheetFormatPr defaultRowHeight="14.25"/>
  <cols>
    <col min="4" max="4" width="12.53125" bestFit="1" customWidth="1"/>
    <col min="6" max="6" width="19.33203125" bestFit="1" customWidth="1"/>
    <col min="7" max="7" width="21.33203125" bestFit="1" customWidth="1"/>
    <col min="8" max="8" width="16.86328125" bestFit="1" customWidth="1"/>
    <col min="9" max="9" width="17.33203125" bestFit="1" customWidth="1"/>
    <col min="10" max="11" width="17" bestFit="1" customWidth="1"/>
    <col min="12" max="12" width="12.19921875" bestFit="1" customWidth="1"/>
    <col min="14" max="14" width="8.59765625" customWidth="1"/>
    <col min="15" max="15" width="16.59765625" bestFit="1" customWidth="1"/>
    <col min="16" max="16" width="17.33203125" bestFit="1" customWidth="1"/>
    <col min="17" max="17" width="17" bestFit="1" customWidth="1"/>
  </cols>
  <sheetData>
    <row r="1" spans="1:14">
      <c r="A1" s="20" t="s">
        <v>0</v>
      </c>
      <c r="B1" s="20"/>
      <c r="D1" s="17" t="s">
        <v>13</v>
      </c>
      <c r="E1" s="18"/>
      <c r="F1" s="18"/>
      <c r="G1" s="18"/>
      <c r="H1" s="18"/>
      <c r="I1" s="18"/>
      <c r="J1" s="18"/>
      <c r="K1" s="18"/>
      <c r="L1" s="19"/>
    </row>
    <row r="2" spans="1:14" ht="15.75">
      <c r="A2" s="1" t="s">
        <v>1</v>
      </c>
      <c r="B2" s="1" t="s">
        <v>2</v>
      </c>
      <c r="D2" s="1" t="s">
        <v>14</v>
      </c>
      <c r="E2" s="3" t="s">
        <v>15</v>
      </c>
      <c r="F2" s="4" t="s">
        <v>21</v>
      </c>
      <c r="G2" s="4" t="s">
        <v>20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8</v>
      </c>
    </row>
    <row r="3" spans="1:14">
      <c r="A3" s="1" t="s">
        <v>3</v>
      </c>
      <c r="B3" s="1">
        <v>68</v>
      </c>
      <c r="D3" s="1">
        <v>0</v>
      </c>
      <c r="E3" s="1">
        <v>0.09</v>
      </c>
      <c r="F3" s="5">
        <v>5.6</v>
      </c>
      <c r="G3" s="5">
        <v>2.5</v>
      </c>
      <c r="H3" s="2">
        <v>2</v>
      </c>
      <c r="I3" s="7">
        <f>(1/H3)*LN(F3/G3)</f>
        <v>0.40323793293347421</v>
      </c>
      <c r="J3" s="7">
        <f>(2*PI())/(1-EXP(-2*I3))</f>
        <v>11.350270232324414</v>
      </c>
      <c r="K3" s="1">
        <f>$J$22+D3</f>
        <v>100.79</v>
      </c>
      <c r="L3" s="7">
        <f>(((PI()^2))*((K3)^2)*$B$9*1000)/(1000000*I3^2)</f>
        <v>13.565460995688291</v>
      </c>
    </row>
    <row r="4" spans="1:14">
      <c r="A4" s="1" t="s">
        <v>4</v>
      </c>
      <c r="B4" s="1">
        <v>150</v>
      </c>
      <c r="D4" s="1">
        <v>10</v>
      </c>
      <c r="E4" s="1">
        <v>0.09</v>
      </c>
      <c r="F4" s="5">
        <v>5.3</v>
      </c>
      <c r="G4" s="5">
        <v>2.2999999999999998</v>
      </c>
      <c r="H4" s="2">
        <v>2</v>
      </c>
      <c r="I4" s="7">
        <f t="shared" ref="I4:I16" si="0">(1/H4)*LN(F4/G4)</f>
        <v>0.41739884881148609</v>
      </c>
      <c r="J4" s="7">
        <f t="shared" ref="J4:J16" si="1">(2*PI())/(1-EXP(-2*I4))</f>
        <v>11.100294042683934</v>
      </c>
      <c r="K4" s="1">
        <f>$J$22+D4</f>
        <v>110.79</v>
      </c>
      <c r="L4" s="7">
        <f t="shared" ref="L4:L16" si="2">(((PI()^2))*((K4)^2)*$B$9*1000)/(1000000*I4^2)</f>
        <v>15.297520965021489</v>
      </c>
    </row>
    <row r="5" spans="1:14">
      <c r="A5" s="1" t="s">
        <v>5</v>
      </c>
      <c r="B5" s="1">
        <v>680</v>
      </c>
      <c r="D5" s="1">
        <v>20</v>
      </c>
      <c r="E5" s="1">
        <v>0.09</v>
      </c>
      <c r="F5" s="5">
        <v>5.0999999999999996</v>
      </c>
      <c r="G5" s="5">
        <v>1.9</v>
      </c>
      <c r="H5" s="2">
        <v>2</v>
      </c>
      <c r="I5" s="7">
        <f t="shared" si="0"/>
        <v>0.49369332677894262</v>
      </c>
      <c r="J5" s="7">
        <f t="shared" si="1"/>
        <v>10.013826583317465</v>
      </c>
      <c r="K5" s="1">
        <f>$J$22+D5</f>
        <v>120.79</v>
      </c>
      <c r="L5" s="7">
        <f t="shared" si="2"/>
        <v>12.997800741911934</v>
      </c>
    </row>
    <row r="6" spans="1:14">
      <c r="A6" s="1" t="s">
        <v>6</v>
      </c>
      <c r="B6" s="1">
        <v>820</v>
      </c>
      <c r="D6" s="1">
        <v>30</v>
      </c>
      <c r="E6" s="1">
        <v>0.09</v>
      </c>
      <c r="F6" s="5">
        <v>4.8</v>
      </c>
      <c r="G6" s="5">
        <v>1.6</v>
      </c>
      <c r="H6" s="2">
        <v>2</v>
      </c>
      <c r="I6" s="7">
        <f t="shared" si="0"/>
        <v>0.54930614433405478</v>
      </c>
      <c r="J6" s="7">
        <f t="shared" si="1"/>
        <v>9.4247779607693793</v>
      </c>
      <c r="K6" s="1">
        <f>$J$22+D6</f>
        <v>130.79000000000002</v>
      </c>
      <c r="L6" s="7">
        <f t="shared" si="2"/>
        <v>12.309561769155122</v>
      </c>
    </row>
    <row r="7" spans="1:14">
      <c r="A7" s="1" t="s">
        <v>7</v>
      </c>
      <c r="B7" s="1">
        <v>470000</v>
      </c>
      <c r="D7" s="1">
        <v>40</v>
      </c>
      <c r="E7" s="1">
        <v>0.09</v>
      </c>
      <c r="F7" s="5">
        <v>4.5</v>
      </c>
      <c r="G7" s="5">
        <v>1.5</v>
      </c>
      <c r="H7" s="2">
        <v>2</v>
      </c>
      <c r="I7" s="7">
        <f t="shared" si="0"/>
        <v>0.54930614433405489</v>
      </c>
      <c r="J7" s="7">
        <f t="shared" si="1"/>
        <v>9.4247779607693776</v>
      </c>
      <c r="K7" s="1">
        <f>$J$22+D7</f>
        <v>140.79000000000002</v>
      </c>
      <c r="L7" s="7">
        <f t="shared" si="2"/>
        <v>14.263862058763115</v>
      </c>
    </row>
    <row r="8" spans="1:14">
      <c r="A8" s="1" t="s">
        <v>8</v>
      </c>
      <c r="B8" s="1">
        <v>10</v>
      </c>
      <c r="D8" s="1">
        <v>50</v>
      </c>
      <c r="E8" s="1">
        <v>0.09</v>
      </c>
      <c r="F8" s="5">
        <v>4.3</v>
      </c>
      <c r="G8" s="5">
        <v>1.3</v>
      </c>
      <c r="H8" s="2">
        <v>2</v>
      </c>
      <c r="I8" s="7">
        <f t="shared" si="0"/>
        <v>0.59812537911601282</v>
      </c>
      <c r="J8" s="7">
        <f t="shared" si="1"/>
        <v>9.0058989402907415</v>
      </c>
      <c r="K8" s="1">
        <f>$J$22+D8</f>
        <v>150.79000000000002</v>
      </c>
      <c r="L8" s="7">
        <f t="shared" si="2"/>
        <v>13.800125878016299</v>
      </c>
    </row>
    <row r="9" spans="1:14">
      <c r="A9" s="1" t="s">
        <v>9</v>
      </c>
      <c r="B9" s="1">
        <v>2.1999999999999999E-2</v>
      </c>
      <c r="D9" s="1">
        <v>60</v>
      </c>
      <c r="E9" s="1">
        <v>0.09</v>
      </c>
      <c r="F9" s="5">
        <v>4</v>
      </c>
      <c r="G9" s="5">
        <v>1.2</v>
      </c>
      <c r="H9" s="2">
        <v>2</v>
      </c>
      <c r="I9" s="7">
        <f t="shared" si="0"/>
        <v>0.60198640216296806</v>
      </c>
      <c r="J9" s="7">
        <f t="shared" si="1"/>
        <v>8.9759790102565518</v>
      </c>
      <c r="K9" s="1">
        <f>$J$22+D9</f>
        <v>160.79000000000002</v>
      </c>
      <c r="L9" s="7">
        <f t="shared" si="2"/>
        <v>15.490560555630692</v>
      </c>
    </row>
    <row r="10" spans="1:14">
      <c r="A10" s="1" t="s">
        <v>10</v>
      </c>
      <c r="B10" s="1">
        <v>3.3000000000000002E-2</v>
      </c>
      <c r="D10" s="1">
        <v>70</v>
      </c>
      <c r="E10" s="1">
        <v>0.09</v>
      </c>
      <c r="F10" s="5">
        <v>3.8</v>
      </c>
      <c r="G10" s="5">
        <v>1</v>
      </c>
      <c r="H10" s="2">
        <v>2</v>
      </c>
      <c r="I10" s="7">
        <f t="shared" si="0"/>
        <v>0.66750053336616999</v>
      </c>
      <c r="J10" s="7">
        <f t="shared" si="1"/>
        <v>8.5271800597437242</v>
      </c>
      <c r="K10" s="1">
        <f>$J$22+D10</f>
        <v>170.79000000000002</v>
      </c>
      <c r="L10" s="7">
        <f t="shared" si="2"/>
        <v>14.214908520618511</v>
      </c>
    </row>
    <row r="11" spans="1:14">
      <c r="A11" s="1" t="s">
        <v>11</v>
      </c>
      <c r="B11" s="1">
        <v>4.7E-2</v>
      </c>
      <c r="D11" s="1">
        <v>80</v>
      </c>
      <c r="E11" s="1">
        <v>0.09</v>
      </c>
      <c r="F11" s="5">
        <v>3.6</v>
      </c>
      <c r="G11" s="5">
        <v>0.9</v>
      </c>
      <c r="H11" s="2">
        <v>2</v>
      </c>
      <c r="I11" s="7">
        <f t="shared" si="0"/>
        <v>0.69314718055994529</v>
      </c>
      <c r="J11" s="7">
        <f t="shared" si="1"/>
        <v>8.3775804095727811</v>
      </c>
      <c r="K11" s="1">
        <f>$J$22+D11</f>
        <v>180.79000000000002</v>
      </c>
      <c r="L11" s="7">
        <f t="shared" si="2"/>
        <v>14.771354251019135</v>
      </c>
    </row>
    <row r="12" spans="1:14">
      <c r="A12" s="1" t="s">
        <v>12</v>
      </c>
      <c r="B12" s="1">
        <v>0.47</v>
      </c>
      <c r="D12" s="1">
        <v>90</v>
      </c>
      <c r="E12" s="1">
        <v>0.09</v>
      </c>
      <c r="F12" s="5">
        <v>3.2</v>
      </c>
      <c r="G12" s="5">
        <v>0.7</v>
      </c>
      <c r="H12" s="2">
        <v>2</v>
      </c>
      <c r="I12" s="7">
        <f t="shared" si="0"/>
        <v>0.75991287687220666</v>
      </c>
      <c r="J12" s="7">
        <f t="shared" si="1"/>
        <v>8.0424771931898711</v>
      </c>
      <c r="K12" s="1">
        <f>$J$22+D12</f>
        <v>190.79000000000002</v>
      </c>
      <c r="L12" s="7">
        <f t="shared" si="2"/>
        <v>13.686929639104452</v>
      </c>
    </row>
    <row r="13" spans="1:14">
      <c r="D13" s="1">
        <v>100</v>
      </c>
      <c r="E13" s="1">
        <v>0.09</v>
      </c>
      <c r="F13" s="5">
        <v>3.1</v>
      </c>
      <c r="G13" s="5">
        <v>0.6</v>
      </c>
      <c r="H13" s="2">
        <v>2</v>
      </c>
      <c r="I13" s="7">
        <f t="shared" si="0"/>
        <v>0.82111386762854566</v>
      </c>
      <c r="J13" s="7">
        <f t="shared" si="1"/>
        <v>7.7911497809026873</v>
      </c>
      <c r="K13" s="1">
        <f>$J$22+D13</f>
        <v>200.79000000000002</v>
      </c>
      <c r="L13" s="7">
        <f t="shared" si="2"/>
        <v>12.983740051104483</v>
      </c>
    </row>
    <row r="14" spans="1:14">
      <c r="D14" s="1">
        <v>200</v>
      </c>
      <c r="E14" s="1">
        <v>0.09</v>
      </c>
      <c r="F14" s="5">
        <v>1.3</v>
      </c>
      <c r="G14" s="5">
        <v>0.3</v>
      </c>
      <c r="H14" s="2">
        <v>2</v>
      </c>
      <c r="I14" s="7">
        <f t="shared" si="0"/>
        <v>0.73316853439671359</v>
      </c>
      <c r="J14" s="7">
        <f t="shared" si="1"/>
        <v>8.1681408993334621</v>
      </c>
      <c r="K14" s="1">
        <f>$J$22+D14</f>
        <v>300.79000000000002</v>
      </c>
      <c r="L14" s="7">
        <f t="shared" si="2"/>
        <v>36.546145396983938</v>
      </c>
    </row>
    <row r="15" spans="1:14">
      <c r="D15" s="1">
        <v>300</v>
      </c>
      <c r="E15" s="1">
        <v>0.09</v>
      </c>
      <c r="F15" s="5">
        <v>0.9</v>
      </c>
      <c r="G15" s="5">
        <v>0.1</v>
      </c>
      <c r="H15" s="2">
        <v>2</v>
      </c>
      <c r="I15" s="7">
        <f t="shared" si="0"/>
        <v>1.0986122886681098</v>
      </c>
      <c r="J15" s="7">
        <f t="shared" si="1"/>
        <v>7.0685834705770336</v>
      </c>
      <c r="K15" s="1">
        <f>$J$22+D15</f>
        <v>400.79</v>
      </c>
      <c r="L15" s="7">
        <f t="shared" si="2"/>
        <v>28.897965958384574</v>
      </c>
    </row>
    <row r="16" spans="1:14">
      <c r="D16" s="1">
        <v>400</v>
      </c>
      <c r="E16" s="1">
        <v>0.09</v>
      </c>
      <c r="F16" s="5">
        <v>0.6</v>
      </c>
      <c r="G16" s="5">
        <v>0.05</v>
      </c>
      <c r="H16" s="2">
        <v>2</v>
      </c>
      <c r="I16" s="7">
        <f t="shared" si="0"/>
        <v>1.2424533248940002</v>
      </c>
      <c r="J16" s="7">
        <f t="shared" si="1"/>
        <v>6.8543839714686401</v>
      </c>
      <c r="K16" s="1">
        <f>$J$22+D16</f>
        <v>500.79</v>
      </c>
      <c r="L16" s="7">
        <f t="shared" si="2"/>
        <v>35.27553078035767</v>
      </c>
      <c r="N16" s="6"/>
    </row>
    <row r="21" spans="6:11">
      <c r="I21" s="20" t="s">
        <v>22</v>
      </c>
      <c r="J21" s="20"/>
    </row>
    <row r="22" spans="6:11">
      <c r="I22" s="1" t="s">
        <v>23</v>
      </c>
      <c r="J22" s="1">
        <v>100.79</v>
      </c>
    </row>
    <row r="23" spans="6:11">
      <c r="I23" s="1" t="s">
        <v>24</v>
      </c>
      <c r="J23" s="7">
        <f>AVERAGE(L3:L13)</f>
        <v>13.943802311457596</v>
      </c>
    </row>
    <row r="24" spans="6:11">
      <c r="F24" s="1" t="s">
        <v>34</v>
      </c>
      <c r="G24" s="1" t="s">
        <v>35</v>
      </c>
      <c r="H24" s="21"/>
      <c r="I24" s="1"/>
      <c r="J24" s="7">
        <f>(1/11)*(SUM(L3:L13))</f>
        <v>13.943802311457596</v>
      </c>
      <c r="K24" s="21"/>
    </row>
    <row r="25" spans="6:11">
      <c r="F25" s="7">
        <f>(1/14)*(SUM(F3:F16))</f>
        <v>3.5785714285714278</v>
      </c>
      <c r="G25" s="7">
        <f>(1/14)*(SUM(G3:G16))</f>
        <v>1.1392857142857142</v>
      </c>
      <c r="H25" s="22"/>
      <c r="I25" s="1"/>
      <c r="J25" s="7">
        <f>SQRT((SUM((L3-$J$23)^2,(L4-$J$23)^2,(L5-$J$23)^2,(L6-$J$23)^2,(L7-$J$23)^2,(L8-$J$23)^2,(L9-$J$23)^2,(L10-$J$23)^2,(L11-$J$23)^2,(L12-$J$23)^2,(L13-$J$23)^2)/(11*(11-1))))</f>
        <v>0.29852582638503961</v>
      </c>
      <c r="K25" s="22"/>
    </row>
    <row r="26" spans="6:11">
      <c r="F26" s="7">
        <f>SQRT((SUM((F3-F25)^2,(F4-F25)^2,(F5-F25)^2,(F6-F25)^2,(F7-F25)^2,(F8-F25)^2,(F9-F25)^2,(F10-F25)^2,(F11-F25)^2,(F12-F25)^2,(F13-F25)^2,(F14-F25)^2,(F15-F25)^2,(F16-F25)^2)/(14*(14-1))))</f>
        <v>0.43262279225298111</v>
      </c>
      <c r="G26" s="7">
        <f>SQRT((SUM((G3-G25)^2,(G4-G25)^2,(G5-G25)^2,(G6-G25)^2,(G7-G25)^2,(G8-G25)^2,(G9-G25)^2,(G10-G25)^2,(G11-G25)^2,(G12-G25)^2,(G13-G25)^2,(G14-G25)^2,(G15-G25)^2,(G16-G25)^2)/(14*(14-1))))</f>
        <v>0.20543297692016105</v>
      </c>
      <c r="H26" s="22"/>
      <c r="I26" s="1"/>
      <c r="J26" s="7">
        <v>2.2281388519649301</v>
      </c>
      <c r="K26" s="22"/>
    </row>
    <row r="27" spans="6:11">
      <c r="F27" s="7">
        <v>2.16</v>
      </c>
      <c r="G27" s="7">
        <v>2.16</v>
      </c>
      <c r="H27" s="22"/>
      <c r="I27" s="1"/>
      <c r="J27" s="7">
        <f>J26*J25</f>
        <v>0.66515699208344414</v>
      </c>
      <c r="K27" s="23"/>
    </row>
    <row r="28" spans="6:11">
      <c r="F28" s="7">
        <f>F27*F26</f>
        <v>0.93446523126643932</v>
      </c>
      <c r="G28" s="7">
        <f>G27*G26</f>
        <v>0.4437352301475479</v>
      </c>
      <c r="H28" s="22"/>
      <c r="I28" s="1" t="s">
        <v>28</v>
      </c>
      <c r="J28" s="8" t="s">
        <v>27</v>
      </c>
      <c r="K28" s="22"/>
    </row>
    <row r="29" spans="6:11">
      <c r="H29" s="21"/>
      <c r="I29" s="1"/>
      <c r="J29" s="7">
        <f>2*(B8/(B9/1000))^(1/2)</f>
        <v>1348.3997249264842</v>
      </c>
    </row>
    <row r="30" spans="6:11">
      <c r="I30" s="1"/>
      <c r="J30" s="1">
        <v>1000</v>
      </c>
    </row>
    <row r="34" spans="1:4" ht="15.75">
      <c r="A34" s="9" t="s">
        <v>14</v>
      </c>
      <c r="B34" s="9" t="s">
        <v>19</v>
      </c>
      <c r="C34" s="9" t="s">
        <v>25</v>
      </c>
      <c r="D34" s="9" t="s">
        <v>26</v>
      </c>
    </row>
    <row r="35" spans="1:4">
      <c r="A35" s="1">
        <v>0</v>
      </c>
      <c r="B35" s="1">
        <f>A35+$J$22</f>
        <v>100.79</v>
      </c>
      <c r="C35" s="7">
        <f>(2*PI())/((1/(B8*(B9/1000)))-(B35^2/(4*B8^2)))^(1/2)</f>
        <v>9.3456145551197509E-2</v>
      </c>
      <c r="D35" s="1">
        <v>0.09</v>
      </c>
    </row>
    <row r="36" spans="1:4">
      <c r="A36" s="1">
        <v>200</v>
      </c>
      <c r="B36" s="1">
        <f>A36+$J$22</f>
        <v>300.79000000000002</v>
      </c>
      <c r="C36" s="7">
        <f>(2*PI())/((1/(B8*(B9/1000)))-(B36^2/(4*B8^2)))^(1/2)</f>
        <v>9.5603720425611535E-2</v>
      </c>
      <c r="D36" s="1">
        <v>0.09</v>
      </c>
    </row>
    <row r="37" spans="1:4">
      <c r="A37" s="1">
        <v>400</v>
      </c>
      <c r="B37" s="1">
        <f>A37+$J$22</f>
        <v>500.79</v>
      </c>
      <c r="C37" s="7">
        <f>(2*PI())/((1/(B8*(B9/1000)))-(B37^2/(4*B8^2)))^(1/2)</f>
        <v>0.1003739841068066</v>
      </c>
      <c r="D37" s="1">
        <v>0.09</v>
      </c>
    </row>
    <row r="40" spans="1:4">
      <c r="A40" s="11" t="s">
        <v>19</v>
      </c>
      <c r="B40" s="12" t="s">
        <v>18</v>
      </c>
    </row>
    <row r="41" spans="1:4">
      <c r="A41" s="10">
        <v>100.79</v>
      </c>
      <c r="B41" s="13">
        <v>11.35</v>
      </c>
    </row>
    <row r="42" spans="1:4">
      <c r="A42" s="10">
        <v>110.79</v>
      </c>
      <c r="B42" s="14">
        <v>11.1</v>
      </c>
    </row>
    <row r="43" spans="1:4">
      <c r="A43" s="10">
        <v>120.79</v>
      </c>
      <c r="B43" s="13">
        <v>10.01</v>
      </c>
    </row>
    <row r="44" spans="1:4">
      <c r="A44" s="10">
        <v>130.79</v>
      </c>
      <c r="B44" s="13">
        <v>9.42</v>
      </c>
    </row>
    <row r="45" spans="1:4">
      <c r="A45" s="10">
        <v>140.79</v>
      </c>
      <c r="B45" s="13">
        <v>9.42</v>
      </c>
    </row>
    <row r="46" spans="1:4">
      <c r="A46" s="10">
        <v>150.79</v>
      </c>
      <c r="B46" s="13">
        <v>9.01</v>
      </c>
    </row>
    <row r="47" spans="1:4">
      <c r="A47" s="10">
        <v>160.79</v>
      </c>
      <c r="B47" s="13">
        <v>8.98</v>
      </c>
    </row>
    <row r="48" spans="1:4">
      <c r="A48" s="10">
        <v>170.79</v>
      </c>
      <c r="B48" s="13">
        <v>8.5299999999999994</v>
      </c>
    </row>
    <row r="49" spans="1:4">
      <c r="A49" s="10">
        <v>180.79</v>
      </c>
      <c r="B49" s="13">
        <v>8.3800000000000008</v>
      </c>
    </row>
    <row r="50" spans="1:4">
      <c r="A50" s="10">
        <v>190.79</v>
      </c>
      <c r="B50" s="13">
        <v>8.0399999999999991</v>
      </c>
    </row>
    <row r="51" spans="1:4">
      <c r="A51" s="10">
        <v>200.79</v>
      </c>
      <c r="B51" s="13">
        <v>7.79</v>
      </c>
    </row>
    <row r="52" spans="1:4">
      <c r="A52" s="10">
        <v>300.79000000000002</v>
      </c>
      <c r="B52" s="13">
        <v>8.17</v>
      </c>
    </row>
    <row r="53" spans="1:4">
      <c r="A53" s="10">
        <v>400.79</v>
      </c>
      <c r="B53" s="13">
        <v>7.07</v>
      </c>
    </row>
    <row r="54" spans="1:4">
      <c r="A54" s="10">
        <v>500.79</v>
      </c>
      <c r="B54" s="13">
        <v>6.85</v>
      </c>
    </row>
    <row r="57" spans="1:4">
      <c r="A57" s="11" t="s">
        <v>19</v>
      </c>
      <c r="B57" s="11" t="s">
        <v>18</v>
      </c>
    </row>
    <row r="58" spans="1:4">
      <c r="A58" s="10">
        <v>100.79</v>
      </c>
      <c r="B58" s="7">
        <f>(1/A58)*(L3*1000000/($B$9*1000))^(1/2)</f>
        <v>7.7909154794424795</v>
      </c>
    </row>
    <row r="59" spans="1:4">
      <c r="A59" s="10">
        <v>110.79</v>
      </c>
      <c r="B59" s="7">
        <f>(1/A59)*(L4*1000000/($B$9*1000))^(1/2)</f>
        <v>7.526596353907677</v>
      </c>
    </row>
    <row r="61" spans="1:4">
      <c r="A61" s="17" t="s">
        <v>29</v>
      </c>
      <c r="B61" s="18"/>
      <c r="C61" s="18"/>
      <c r="D61" s="19"/>
    </row>
    <row r="62" spans="1:4" ht="15.75">
      <c r="A62" s="1" t="s">
        <v>30</v>
      </c>
      <c r="B62" s="1" t="s">
        <v>26</v>
      </c>
      <c r="C62" s="1" t="s">
        <v>25</v>
      </c>
      <c r="D62" s="1" t="s">
        <v>31</v>
      </c>
    </row>
    <row r="63" spans="1:4">
      <c r="A63" s="1">
        <v>2.1999999999999999E-2</v>
      </c>
      <c r="B63" s="7">
        <v>0.1</v>
      </c>
      <c r="C63" s="7">
        <f>(2*PI())/(1/($J$23*A63*0.001)-($J$22^2/(4*$J$23^2)))^(1/2)</f>
        <v>0.11026905892498591</v>
      </c>
      <c r="D63" s="15">
        <f>(B63-C63)/C63</f>
        <v>-9.3127292688439139E-2</v>
      </c>
    </row>
    <row r="64" spans="1:4">
      <c r="A64" s="1">
        <v>3.3000000000000002E-2</v>
      </c>
      <c r="B64" s="1">
        <v>0.12</v>
      </c>
      <c r="C64" s="7">
        <f>(2*PI())/(1/($J$23*A64*0.001)-($J$22^2/(4*$J$23^2)))^(1/2)</f>
        <v>0.13518750080666522</v>
      </c>
      <c r="D64" s="15">
        <f t="shared" ref="D64:D66" si="3">(B64-C64)/C64</f>
        <v>-0.11234397200955157</v>
      </c>
    </row>
    <row r="65" spans="1:4">
      <c r="A65" s="1">
        <v>4.7E-2</v>
      </c>
      <c r="B65" s="1">
        <v>0.15</v>
      </c>
      <c r="C65" s="7">
        <f>(2*PI())/(1/($J$23*A65*0.001)-($J$22^2/(4*$J$23^2)))^(1/2)</f>
        <v>0.1615423008234611</v>
      </c>
      <c r="D65" s="15">
        <f t="shared" si="3"/>
        <v>-7.1450640263412663E-2</v>
      </c>
    </row>
    <row r="66" spans="1:4">
      <c r="A66" s="1">
        <v>0.47</v>
      </c>
      <c r="B66" s="1">
        <v>0.54</v>
      </c>
      <c r="C66" s="7">
        <f>(2*PI())/(1/($J$23*A66*0.001)-($J$22^2/(4*$J$23^2)))^(1/2)</f>
        <v>0.53192711507723811</v>
      </c>
      <c r="D66" s="15">
        <f t="shared" si="3"/>
        <v>1.5176674950269657E-2</v>
      </c>
    </row>
    <row r="69" spans="1:4">
      <c r="A69" s="17" t="s">
        <v>32</v>
      </c>
      <c r="B69" s="18"/>
      <c r="C69" s="18"/>
      <c r="D69" s="19"/>
    </row>
    <row r="70" spans="1:4" ht="15.75">
      <c r="A70" s="1" t="s">
        <v>30</v>
      </c>
      <c r="B70" s="1" t="s">
        <v>26</v>
      </c>
      <c r="C70" s="1" t="s">
        <v>25</v>
      </c>
      <c r="D70" s="1" t="s">
        <v>33</v>
      </c>
    </row>
    <row r="71" spans="1:4">
      <c r="A71" s="1">
        <v>2.1999999999999999E-2</v>
      </c>
      <c r="B71" s="7">
        <v>0.1</v>
      </c>
      <c r="C71" s="7">
        <f>(2*PI())/(1/($J$23*A71*0.001)-($J$22^2/(4*$J$23^2)))^(1/2)</f>
        <v>0.11026905892498591</v>
      </c>
      <c r="D71" s="16">
        <f>2*PI()*(A71*0.001*$J$23)^(1/2)</f>
        <v>0.11004791462892517</v>
      </c>
    </row>
    <row r="72" spans="1:4">
      <c r="A72" s="1">
        <v>3.3000000000000002E-2</v>
      </c>
      <c r="B72" s="1">
        <v>0.12</v>
      </c>
      <c r="C72" s="7">
        <f>(2*PI())/(1/($J$23*A72*0.001)-($J$22^2/(4*$J$23^2)))^(1/2)</f>
        <v>0.13518750080666522</v>
      </c>
      <c r="D72" s="16">
        <f>2*PI()*(A72*0.001*$J$23)^(1/2)</f>
        <v>0.13478061904911554</v>
      </c>
    </row>
    <row r="73" spans="1:4">
      <c r="A73" s="1">
        <v>4.7E-2</v>
      </c>
      <c r="B73" s="1">
        <v>0.15</v>
      </c>
      <c r="C73" s="7">
        <f>(2*PI())/(1/($J$23*A73*0.001)-($J$22^2/(4*$J$23^2)))^(1/2)</f>
        <v>0.1615423008234611</v>
      </c>
      <c r="D73" s="16">
        <f>2*PI()*(A73*0.001*$J$23)^(1/2)</f>
        <v>0.16084938538982169</v>
      </c>
    </row>
    <row r="74" spans="1:4">
      <c r="A74" s="1">
        <v>0.47</v>
      </c>
      <c r="B74" s="1">
        <v>0.54</v>
      </c>
      <c r="C74" s="7">
        <f>(2*PI())/(1/($J$23*A74*0.001)-($J$22^2/(4*$J$23^2)))^(1/2)</f>
        <v>0.53192711507723811</v>
      </c>
      <c r="D74" s="16">
        <f>2*PI()*(A74*0.001*$J$23)^(1/2)</f>
        <v>0.50865041807004729</v>
      </c>
    </row>
  </sheetData>
  <mergeCells count="5">
    <mergeCell ref="A69:D69"/>
    <mergeCell ref="A1:B1"/>
    <mergeCell ref="D1:L1"/>
    <mergeCell ref="I21:J21"/>
    <mergeCell ref="A61:D6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6D66377CEBE4B97D4049C38F06275" ma:contentTypeVersion="4" ma:contentTypeDescription="Создание документа." ma:contentTypeScope="" ma:versionID="7290e5edba734dc21b58a6a18f45074e">
  <xsd:schema xmlns:xsd="http://www.w3.org/2001/XMLSchema" xmlns:xs="http://www.w3.org/2001/XMLSchema" xmlns:p="http://schemas.microsoft.com/office/2006/metadata/properties" xmlns:ns3="a76ed5b6-a19c-425d-9a06-665f3bfd2b55" targetNamespace="http://schemas.microsoft.com/office/2006/metadata/properties" ma:root="true" ma:fieldsID="3e1c90cdc97d6dda325dbe566fab7dd9" ns3:_="">
    <xsd:import namespace="a76ed5b6-a19c-425d-9a06-665f3bfd2b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ed5b6-a19c-425d-9a06-665f3bfd2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E8ECFC-5E4D-4736-92D1-5725B8A16DE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76ed5b6-a19c-425d-9a06-665f3bfd2b5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4EF7D3-A13A-4424-9BDC-F2C9377B0F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E2D92-8FCE-4D3E-9D1C-2A3C7121B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6ed5b6-a19c-425d-9a06-665f3bfd2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Мария Сергеевна</dc:creator>
  <cp:lastModifiedBy>Ершова Мария Сергеевна</cp:lastModifiedBy>
  <dcterms:created xsi:type="dcterms:W3CDTF">2024-02-22T15:48:27Z</dcterms:created>
  <dcterms:modified xsi:type="dcterms:W3CDTF">2024-03-20T11:03:17Z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0x0101007AB6D66377CEBE4B97D4049C38F06275</vt:lpwstr>
  </property>
</Properties>
</file>