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ownloads\bi\"/>
    </mc:Choice>
  </mc:AlternateContent>
  <xr:revisionPtr revIDLastSave="0" documentId="13_ncr:1_{74DBE99E-9AE6-4462-BAA3-098579C5A4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Risk Register" sheetId="9" r:id="rId9"/>
    <sheet name="Retrospective Follow-up" sheetId="10" r:id="rId10"/>
    <sheet name="Dashboard" sheetId="11" r:id="rId11"/>
    <sheet name="Total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2" l="1" a="1"/>
  <c r="V7" i="12" s="1"/>
  <c r="V6" i="12" a="1"/>
  <c r="V6" i="12" s="1"/>
  <c r="V5" i="12"/>
  <c r="V4" i="12" a="1"/>
  <c r="V4" i="12" s="1"/>
  <c r="V3" i="12" a="1"/>
  <c r="V3" i="12" s="1"/>
  <c r="V2" i="12" a="1"/>
  <c r="V2" i="12" s="1"/>
  <c r="V7" i="7"/>
  <c r="V8" i="12" s="1" a="1"/>
  <c r="V8" i="12" s="1"/>
  <c r="V5" i="8"/>
  <c r="V9" i="12" s="1" a="1"/>
  <c r="V9" i="12" s="1"/>
  <c r="V5" i="6"/>
  <c r="B45" i="6" s="1"/>
  <c r="V5" i="5"/>
  <c r="B54" i="5" s="1"/>
  <c r="V5" i="4"/>
  <c r="V5" i="3"/>
  <c r="V5" i="2"/>
  <c r="V6" i="1"/>
  <c r="B53" i="2"/>
  <c r="L5" i="8"/>
  <c r="N5" i="8" s="1"/>
  <c r="P5" i="8" s="1"/>
  <c r="L7" i="7"/>
  <c r="N7" i="7" s="1"/>
  <c r="P7" i="7" s="1"/>
  <c r="L5" i="6"/>
  <c r="N5" i="6" s="1"/>
  <c r="P5" i="6" s="1"/>
  <c r="L5" i="5"/>
  <c r="N5" i="5" s="1"/>
  <c r="P5" i="5" s="1"/>
  <c r="L5" i="4"/>
  <c r="N5" i="4" s="1"/>
  <c r="P5" i="4" s="1"/>
  <c r="L5" i="3"/>
  <c r="N5" i="3" s="1"/>
  <c r="P5" i="3" s="1"/>
  <c r="L5" i="2"/>
  <c r="N5" i="2" s="1"/>
  <c r="P5" i="2" s="1"/>
  <c r="L6" i="1"/>
  <c r="N6" i="1" s="1"/>
  <c r="R6" i="1" s="1"/>
  <c r="B49" i="7" l="1"/>
  <c r="B47" i="8"/>
  <c r="R5" i="8"/>
  <c r="T5" i="8" s="1"/>
  <c r="Q5" i="8"/>
  <c r="R7" i="7"/>
  <c r="T7" i="7" s="1"/>
  <c r="Q7" i="7"/>
  <c r="Q5" i="6"/>
  <c r="R5" i="6"/>
  <c r="T5" i="6" s="1"/>
  <c r="R5" i="5"/>
  <c r="T5" i="5" s="1"/>
  <c r="Q5" i="5"/>
  <c r="R5" i="4"/>
  <c r="T5" i="4" s="1"/>
  <c r="Q5" i="4"/>
  <c r="R5" i="3"/>
  <c r="T5" i="3" s="1"/>
  <c r="Q5" i="3"/>
  <c r="R5" i="2"/>
  <c r="T5" i="2" s="1"/>
  <c r="Q5" i="2"/>
  <c r="T6" i="1"/>
  <c r="P6" i="1"/>
  <c r="Q6" i="1" s="1"/>
  <c r="B44" i="3" l="1"/>
  <c r="B43" i="4"/>
  <c r="S5" i="8"/>
  <c r="U5" i="8" s="1"/>
  <c r="S7" i="7"/>
  <c r="U7" i="7" s="1"/>
  <c r="S5" i="6"/>
  <c r="U5" i="6" s="1"/>
  <c r="S5" i="5"/>
  <c r="U5" i="5" s="1"/>
  <c r="S5" i="4"/>
  <c r="U5" i="4" s="1"/>
  <c r="S5" i="3"/>
  <c r="U5" i="3" s="1"/>
  <c r="S5" i="2"/>
  <c r="U5" i="2" s="1"/>
  <c r="S6" i="1"/>
  <c r="U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<sst xmlns="http://schemas.openxmlformats.org/spreadsheetml/2006/main" count="2086" uniqueCount="293">
  <si>
    <t>Sprint Number</t>
  </si>
  <si>
    <t>Sprint Start Date</t>
  </si>
  <si>
    <t>Sprint End Date</t>
  </si>
  <si>
    <t>Sprint Duration</t>
  </si>
  <si>
    <t>Sprint Goal</t>
  </si>
  <si>
    <t>Budget Allocated (Rs)</t>
  </si>
  <si>
    <t>BA Salary (Rs)</t>
  </si>
  <si>
    <t>Python Dev 1 Salary (Rs)</t>
  </si>
  <si>
    <t>Python Dev 2 Salary (Rs)</t>
  </si>
  <si>
    <t>Tester Salary (Rs)</t>
  </si>
  <si>
    <t>Data Analyst Salary (Rs)</t>
  </si>
  <si>
    <t>Total Salary Expense (Rs)</t>
  </si>
  <si>
    <t>Operational Cost (Rs)</t>
  </si>
  <si>
    <t>Total Cost (Rs)</t>
  </si>
  <si>
    <t>Contingency (%)</t>
  </si>
  <si>
    <t>Contingency Amount (Rs)</t>
  </si>
  <si>
    <t>Revised Total Cost (Rs)</t>
  </si>
  <si>
    <t>Profit (Rs)</t>
  </si>
  <si>
    <t>Revised Profit (Rs)</t>
  </si>
  <si>
    <t>Revenue (Rs)</t>
  </si>
  <si>
    <t>Revised Revenue (Rs)</t>
  </si>
  <si>
    <t>Velocity (Story Points Completed)</t>
  </si>
  <si>
    <t>2023-01-01</t>
  </si>
  <si>
    <t>2023-01-14</t>
  </si>
  <si>
    <t>14 Days</t>
  </si>
  <si>
    <t>Implement core user authentication and initial dashboard setup</t>
  </si>
  <si>
    <t>ID</t>
  </si>
  <si>
    <t>User Story</t>
  </si>
  <si>
    <t>Description</t>
  </si>
  <si>
    <t>Priority</t>
  </si>
  <si>
    <t>Status</t>
  </si>
  <si>
    <t>Estimation (Story Points)</t>
  </si>
  <si>
    <t>Planned Sprint</t>
  </si>
  <si>
    <t>Acceptance Criteria</t>
  </si>
  <si>
    <t>Tasks</t>
  </si>
  <si>
    <t>Dependencies</t>
  </si>
  <si>
    <t>Risks</t>
  </si>
  <si>
    <t>Notes</t>
  </si>
  <si>
    <t>User Login</t>
  </si>
  <si>
    <t>Allow users to log in securely</t>
  </si>
  <si>
    <t>High</t>
  </si>
  <si>
    <t>To Do</t>
  </si>
  <si>
    <t>Sprint 1</t>
  </si>
  <si>
    <t>User can log in using email and password; proper error messages are shown.</t>
  </si>
  <si>
    <t>Design UI, Implement authentication, Test login flow</t>
  </si>
  <si>
    <t>None</t>
  </si>
  <si>
    <t>Low</t>
  </si>
  <si>
    <t>Requires UI review</t>
  </si>
  <si>
    <t>Dashboard Overview</t>
  </si>
  <si>
    <t>Display summary of inventory and alerts</t>
  </si>
  <si>
    <t>Dashboard displays key metrics and alerts in real time.</t>
  </si>
  <si>
    <t>Layout design, Data integration, UI testing</t>
  </si>
  <si>
    <t>User Login must be complete</t>
  </si>
  <si>
    <t>Medium</t>
  </si>
  <si>
    <t>Waiting for design input</t>
  </si>
  <si>
    <t>Date</t>
  </si>
  <si>
    <t>Day</t>
  </si>
  <si>
    <t>Week</t>
  </si>
  <si>
    <t>BA Attendance</t>
  </si>
  <si>
    <t>BA Hours</t>
  </si>
  <si>
    <t>Python Dev 1 Attendance</t>
  </si>
  <si>
    <t>Python Dev 1 Hours</t>
  </si>
  <si>
    <t>Python Dev 2 Attendance</t>
  </si>
  <si>
    <t>Python Dev 2 Hours</t>
  </si>
  <si>
    <t>Tester Attendance</t>
  </si>
  <si>
    <t>Tester Hours</t>
  </si>
  <si>
    <t>Data Analyst Attendance</t>
  </si>
  <si>
    <t>Data Analyst Hours</t>
  </si>
  <si>
    <t>Sunday</t>
  </si>
  <si>
    <t>Holiday</t>
  </si>
  <si>
    <t>2023-01-02</t>
  </si>
  <si>
    <t>Monday</t>
  </si>
  <si>
    <t>Present</t>
  </si>
  <si>
    <t>Absent</t>
  </si>
  <si>
    <t>2023-01-03</t>
  </si>
  <si>
    <t>Tuesday</t>
  </si>
  <si>
    <t>2023-01-04</t>
  </si>
  <si>
    <t>Wednesday</t>
  </si>
  <si>
    <t>2023-01-05</t>
  </si>
  <si>
    <t>Thursday</t>
  </si>
  <si>
    <t>2023-01-06</t>
  </si>
  <si>
    <t>Friday</t>
  </si>
  <si>
    <t>2023-01-07</t>
  </si>
  <si>
    <t>Saturday</t>
  </si>
  <si>
    <t>2023-01-08</t>
  </si>
  <si>
    <t>2023-01-09</t>
  </si>
  <si>
    <t>2023-01-10</t>
  </si>
  <si>
    <t>2023-01-11</t>
  </si>
  <si>
    <t>2023-01-12</t>
  </si>
  <si>
    <t>2023-01-13</t>
  </si>
  <si>
    <t>Worker</t>
  </si>
  <si>
    <t>BA</t>
  </si>
  <si>
    <t>Python Dev 1</t>
  </si>
  <si>
    <t>Python Dev 2</t>
  </si>
  <si>
    <t>Tester</t>
  </si>
  <si>
    <t>Data Analyst</t>
  </si>
  <si>
    <t>Metric</t>
  </si>
  <si>
    <t>Value</t>
  </si>
  <si>
    <t>Total Estimated Story Points</t>
  </si>
  <si>
    <t>Remaining Story Points</t>
  </si>
  <si>
    <t>2023-01-15</t>
  </si>
  <si>
    <t>Sprint</t>
  </si>
  <si>
    <t>What Went Well</t>
  </si>
  <si>
    <t>What Didn't Go Well</t>
  </si>
  <si>
    <t>Action Items</t>
  </si>
  <si>
    <t>Team collaboration was excellent</t>
  </si>
  <si>
    <t>Need to refine our process</t>
  </si>
  <si>
    <t>Schedule daily stand-ups</t>
  </si>
  <si>
    <t>2023-01-28</t>
  </si>
  <si>
    <t>Develop sales processing and stock refill functionalities</t>
  </si>
  <si>
    <t>Sell Medicine Feature</t>
  </si>
  <si>
    <t>Record medicine sales with validation</t>
  </si>
  <si>
    <t>Sprint 2</t>
  </si>
  <si>
    <t>Sales can be recorded with proper validation and error handling.</t>
  </si>
  <si>
    <t>Design sale form, Implement validation, Integrate with DB</t>
  </si>
  <si>
    <t>Confirmed with client</t>
  </si>
  <si>
    <t>Refill Stock Feature</t>
  </si>
  <si>
    <t>Update stock levels and add new medicines</t>
  </si>
  <si>
    <t>Stock levels update correctly and new medicines are added.</t>
  </si>
  <si>
    <t>Design stock update module, Develop refill logic, Testing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</si>
  <si>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</si>
  <si>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</si>
  <si>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</si>
  <si>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</si>
  <si>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</si>
  <si>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</si>
  <si>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</si>
  <si>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</si>
  <si>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</si>
  <si>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</si>
  <si>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</si>
  <si>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</si>
  <si>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2023-01-29</t>
  </si>
  <si>
    <t>All tasks were completed on time</t>
  </si>
  <si>
    <t>2023-02-11</t>
  </si>
  <si>
    <t>Integrate low stock alerts and notification system</t>
  </si>
  <si>
    <t>Low Stock Alerts</t>
  </si>
  <si>
    <t>Automatically flag items below reorder level</t>
  </si>
  <si>
    <t>Sprint 3</t>
  </si>
  <si>
    <t>Alerts are triggered when stock falls below threshold.</t>
  </si>
  <si>
    <t>Define thresholds, Implement alert mechanism, Test alerts</t>
  </si>
  <si>
    <t>Pending further discussion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</si>
  <si>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</si>
  <si>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</si>
  <si>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</si>
  <si>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</si>
  <si>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</si>
  <si>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</si>
  <si>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</si>
  <si>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</si>
  <si>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</si>
  <si>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</si>
  <si>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</si>
  <si>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</si>
  <si>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2023-02-12</t>
  </si>
  <si>
    <t>Review task estimates</t>
  </si>
  <si>
    <t>2023-02-25</t>
  </si>
  <si>
    <t>Create reporting modules for sales and inventory</t>
  </si>
  <si>
    <t>Reporting Module</t>
  </si>
  <si>
    <t>Generate sales and inventory reports</t>
  </si>
  <si>
    <t>Sprint 4</t>
  </si>
  <si>
    <t>Reports are accurate and exportable in PDF/Excel.</t>
  </si>
  <si>
    <t>Design report templates, Code report generation, Validate data</t>
  </si>
  <si>
    <t>Dashboard Overview, Low Stock Alerts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</si>
  <si>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</si>
  <si>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</si>
  <si>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</si>
  <si>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</si>
  <si>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</si>
  <si>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</si>
  <si>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</si>
  <si>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</si>
  <si>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</si>
  <si>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</si>
  <si>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</si>
  <si>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</si>
  <si>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</si>
  <si>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2023-03-11</t>
  </si>
  <si>
    <t>Implement user role management and access control</t>
  </si>
  <si>
    <t>User Role Management</t>
  </si>
  <si>
    <t>Implement role-based access control</t>
  </si>
  <si>
    <t>Sprint 5</t>
  </si>
  <si>
    <t>Roles and permissions are configurable and secure.</t>
  </si>
  <si>
    <t>Design role matrix, Implement RBAC logic, Test permissions</t>
  </si>
  <si>
    <t>High priority follow-up needed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</si>
  <si>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</si>
  <si>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</si>
  <si>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</si>
  <si>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</si>
  <si>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</si>
  <si>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</si>
  <si>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</si>
  <si>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</si>
  <si>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</si>
  <si>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</si>
  <si>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</si>
  <si>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</si>
  <si>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2023-03-12</t>
  </si>
  <si>
    <t>Communication gaps identified</t>
  </si>
  <si>
    <t>2023-03-25</t>
  </si>
  <si>
    <t>Enable data export functionality for inventory data</t>
  </si>
  <si>
    <t>Data Export</t>
  </si>
  <si>
    <t>Export inventory data to CSV/Excel</t>
  </si>
  <si>
    <t>Sprint 6</t>
  </si>
  <si>
    <t>Data exports correctly in chosen format.</t>
  </si>
  <si>
    <t>Develop export functionality, Validate file format, User testing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</si>
  <si>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</si>
  <si>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</si>
  <si>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</si>
  <si>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</si>
  <si>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</si>
  <si>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</si>
  <si>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</si>
  <si>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</si>
  <si>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</si>
  <si>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</si>
  <si>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</si>
  <si>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</si>
  <si>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2023-03-26</t>
  </si>
  <si>
    <t>Some tasks took longer than expected</t>
  </si>
  <si>
    <t>2023-04-08</t>
  </si>
  <si>
    <t>Optimize application performance and scalability</t>
  </si>
  <si>
    <t>Performance Optimization</t>
  </si>
  <si>
    <t>Improve application speed and scalability</t>
  </si>
  <si>
    <t>Sprint 7</t>
  </si>
  <si>
    <t>Application meets response time targets under load.</t>
  </si>
  <si>
    <t>Profile application, Identify bottlenecks, Optimize code</t>
  </si>
  <si>
    <t>Reporting Module, Data Export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</si>
  <si>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</si>
  <si>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</si>
  <si>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</si>
  <si>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</si>
  <si>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</si>
  <si>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</si>
  <si>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</si>
  <si>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</si>
  <si>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</si>
  <si>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</si>
  <si>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</si>
  <si>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</si>
  <si>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2023-04-09</t>
  </si>
  <si>
    <t>Good client feedback</t>
  </si>
  <si>
    <t>2023-04-22</t>
  </si>
  <si>
    <t>Conduct user training and finalize documentation</t>
  </si>
  <si>
    <t>User Training</t>
  </si>
  <si>
    <t>Prepare training guides and documentation</t>
  </si>
  <si>
    <t>Sprint 8</t>
  </si>
  <si>
    <t>Training materials are complete and user-friendly.</t>
  </si>
  <si>
    <t>Draft guides, Record training sessions, Compile documentation</t>
  </si>
  <si>
    <t>All previous sprints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</si>
  <si>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</si>
  <si>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</si>
  <si>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</si>
  <si>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</si>
  <si>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</si>
  <si>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</si>
  <si>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</si>
  <si>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</si>
  <si>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</si>
  <si>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</si>
  <si>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</si>
  <si>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</si>
  <si>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2023-04-23</t>
  </si>
  <si>
    <t>Total Sprints</t>
  </si>
  <si>
    <t>Total Budget Allocated (Rs)</t>
  </si>
  <si>
    <t>Total Actual Cost (Rs)</t>
  </si>
  <si>
    <t>Total Revised Profit (Rs)</t>
  </si>
  <si>
    <t>Average Velocity (Story Points)</t>
  </si>
  <si>
    <t>Total Present</t>
  </si>
  <si>
    <t>Total Absent</t>
  </si>
  <si>
    <t>Quarter 1 (Jan-Mar)</t>
  </si>
  <si>
    <t>Product Backlog</t>
  </si>
  <si>
    <t>Sprint Planning &amp; Budget Allocation</t>
  </si>
  <si>
    <t>Team Attendance &amp; Work Hours</t>
  </si>
  <si>
    <t>Worker Attendance Summary</t>
  </si>
  <si>
    <t>Sprint Velocity</t>
  </si>
  <si>
    <t>Story Points Tracking</t>
  </si>
  <si>
    <t>Sprint Retrospective</t>
  </si>
  <si>
    <t>`</t>
  </si>
  <si>
    <t>Sprint_1 Month_Jan</t>
  </si>
  <si>
    <t>Sprint_2 Month_Jan</t>
  </si>
  <si>
    <t>Sprint_3 Month_Feb</t>
  </si>
  <si>
    <t>Sprint_5 Month_Mar</t>
  </si>
  <si>
    <t>Sprint_4 Month_Feb</t>
  </si>
  <si>
    <t>Sprint_7 Month_Apr</t>
  </si>
  <si>
    <t>Sprint_8 Month_Apr</t>
  </si>
  <si>
    <t>Sprint_6 Month_Mar</t>
  </si>
  <si>
    <t>Quarter 2 (Apr-Jun)</t>
  </si>
  <si>
    <t>Highlight the risk during sprint refirement</t>
  </si>
  <si>
    <t>Highlight the risk in daily standup</t>
  </si>
  <si>
    <t>work on team collaboration</t>
  </si>
  <si>
    <t>improve test cases to avoid bugs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</si>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</sst>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19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Sprint</a:t>
            </a:r>
            <a:r>
              <a:rPr lang="en-IN" b="1" baseline="0"/>
              <a:t> Velocity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'Sprint 1'!$A$54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9525" cap="flat" cmpd="sng" algn="ctr">
              <a:solidFill>
                <a:schemeClr val="tx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1'!$B$53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1'!$B$54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2-47DC-B08C-EB2D49ADB84C}"/>
            </c:ext>
          </c:extLst>
        </c:ser>
        <c:ser>
          <c:idx val="1"/>
          <c:order val="1"/>
          <c:tx>
            <c:strRef>
              <c:f>'Sprint 1'!$A$55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/>
            </a:soli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9525" cap="flat" cmpd="sng" algn="ctr">
                <a:solidFill>
                  <a:schemeClr val="tx1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492-47DC-B08C-EB2D49ADB8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1'!$B$53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1'!$B$55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2-47DC-B08C-EB2D49ADB8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98877232"/>
        <c:axId val="1798876272"/>
        <c:axId val="0"/>
      </c:bar3DChart>
      <c:catAx>
        <c:axId val="17988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76272"/>
        <c:crosses val="autoZero"/>
        <c:auto val="1"/>
        <c:lblAlgn val="ctr"/>
        <c:lblOffset val="100"/>
        <c:noMultiLvlLbl val="0"/>
      </c:catAx>
      <c:valAx>
        <c:axId val="17988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77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1'!$B$64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tx1"/>
              </a:contourClr>
            </a:sp3d>
          </c:spPr>
          <c:cat>
            <c:strRef>
              <c:f>'Sprint 1'!$A$65:$A$79</c:f>
              <c:strCache>
                <c:ptCount val="15"/>
                <c:pt idx="0">
                  <c:v>2023-01-01</c:v>
                </c:pt>
                <c:pt idx="1">
                  <c:v>2023-01-02</c:v>
                </c:pt>
                <c:pt idx="2">
                  <c:v>2023-01-03</c:v>
                </c:pt>
                <c:pt idx="3">
                  <c:v>2023-01-04</c:v>
                </c:pt>
                <c:pt idx="4">
                  <c:v>2023-01-05</c:v>
                </c:pt>
                <c:pt idx="5">
                  <c:v>2023-01-06</c:v>
                </c:pt>
                <c:pt idx="6">
                  <c:v>2023-01-07</c:v>
                </c:pt>
                <c:pt idx="7">
                  <c:v>2023-01-08</c:v>
                </c:pt>
                <c:pt idx="8">
                  <c:v>2023-01-09</c:v>
                </c:pt>
                <c:pt idx="9">
                  <c:v>2023-01-10</c:v>
                </c:pt>
                <c:pt idx="10">
                  <c:v>2023-01-11</c:v>
                </c:pt>
                <c:pt idx="11">
                  <c:v>2023-01-12</c:v>
                </c:pt>
                <c:pt idx="12">
                  <c:v>2023-01-13</c:v>
                </c:pt>
                <c:pt idx="13">
                  <c:v>2023-01-14</c:v>
                </c:pt>
                <c:pt idx="14">
                  <c:v>2023-01-15</c:v>
                </c:pt>
              </c:strCache>
            </c:strRef>
          </c:cat>
          <c:val>
            <c:numRef>
              <c:f>'Sprint 1'!$B$65:$B$79</c:f>
              <c:numCache>
                <c:formatCode>General</c:formatCode>
                <c:ptCount val="15"/>
                <c:pt idx="0">
                  <c:v>13.1</c:v>
                </c:pt>
                <c:pt idx="1">
                  <c:v>12.2</c:v>
                </c:pt>
                <c:pt idx="2">
                  <c:v>11.3</c:v>
                </c:pt>
                <c:pt idx="3">
                  <c:v>10.3</c:v>
                </c:pt>
                <c:pt idx="4">
                  <c:v>9.1</c:v>
                </c:pt>
                <c:pt idx="5">
                  <c:v>8.1999999999999993</c:v>
                </c:pt>
                <c:pt idx="6">
                  <c:v>7.7</c:v>
                </c:pt>
                <c:pt idx="7">
                  <c:v>6.5</c:v>
                </c:pt>
                <c:pt idx="8">
                  <c:v>5.3</c:v>
                </c:pt>
                <c:pt idx="9">
                  <c:v>4.9000000000000004</c:v>
                </c:pt>
                <c:pt idx="10">
                  <c:v>3.6</c:v>
                </c:pt>
                <c:pt idx="11">
                  <c:v>2.7</c:v>
                </c:pt>
                <c:pt idx="12">
                  <c:v>1.8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C-4238-B5A2-D4D5982C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03088"/>
        <c:axId val="181697808"/>
        <c:axId val="2073075248"/>
      </c:line3DChart>
      <c:catAx>
        <c:axId val="1817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7808"/>
        <c:crosses val="autoZero"/>
        <c:auto val="1"/>
        <c:lblAlgn val="ctr"/>
        <c:lblOffset val="100"/>
        <c:noMultiLvlLbl val="0"/>
      </c:catAx>
      <c:valAx>
        <c:axId val="1816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3088"/>
        <c:crosses val="autoZero"/>
        <c:crossBetween val="between"/>
      </c:valAx>
      <c:serAx>
        <c:axId val="207307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780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2'!$B$51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2'!$B$52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3D1-411C-8E7E-EC802631C794}"/>
            </c:ext>
          </c:extLst>
        </c:ser>
        <c:ser>
          <c:idx val="1"/>
          <c:order val="1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2'!$B$51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2'!$B$53</c:f>
              <c:numCache>
                <c:formatCode>General</c:formatCode>
                <c:ptCount val="1"/>
                <c:pt idx="0">
                  <c:v>14.5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3D1-411C-8E7E-EC802631C7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9192064"/>
        <c:axId val="169199264"/>
        <c:axId val="0"/>
      </c:bar3DChart>
      <c:catAx>
        <c:axId val="16919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9264"/>
        <c:crosses val="autoZero"/>
        <c:auto val="1"/>
        <c:lblAlgn val="ctr"/>
        <c:lblOffset val="100"/>
        <c:noMultiLvlLbl val="0"/>
      </c:catAx>
      <c:valAx>
        <c:axId val="1691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2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0"/>
              <a:t>Sprint-2</a:t>
            </a:r>
            <a:r>
              <a:rPr lang="en-IN" b="0" baseline="0"/>
              <a:t> Burndown Chart</a:t>
            </a:r>
          </a:p>
          <a:p>
            <a:pPr>
              <a:defRPr/>
            </a:pPr>
            <a:endParaRPr lang="en-IN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2'!$B$70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cat>
            <c:strRef>
              <c:f>'Sprint 2'!$A$71:$A$85</c:f>
              <c:strCache>
                <c:ptCount val="15"/>
                <c:pt idx="0">
                  <c:v>2023-01-15</c:v>
                </c:pt>
                <c:pt idx="1">
                  <c:v>2023-01-16</c:v>
                </c:pt>
                <c:pt idx="2">
                  <c:v>2023-01-17</c:v>
                </c:pt>
                <c:pt idx="3">
                  <c:v>2023-01-18</c:v>
                </c:pt>
                <c:pt idx="4">
                  <c:v>2023-01-19</c:v>
                </c:pt>
                <c:pt idx="5">
                  <c:v>2023-01-20</c:v>
                </c:pt>
                <c:pt idx="6">
                  <c:v>2023-01-21</c:v>
                </c:pt>
                <c:pt idx="7">
                  <c:v>2023-01-22</c:v>
                </c:pt>
                <c:pt idx="8">
                  <c:v>2023-01-23</c:v>
                </c:pt>
                <c:pt idx="9">
                  <c:v>2023-01-24</c:v>
                </c:pt>
                <c:pt idx="10">
                  <c:v>2023-01-25</c:v>
                </c:pt>
                <c:pt idx="11">
                  <c:v>2023-01-26</c:v>
                </c:pt>
                <c:pt idx="12">
                  <c:v>2023-01-27</c:v>
                </c:pt>
                <c:pt idx="13">
                  <c:v>2023-01-28</c:v>
                </c:pt>
                <c:pt idx="14">
                  <c:v>2023-01-29</c:v>
                </c:pt>
              </c:strCache>
            </c:strRef>
          </c:cat>
          <c:val>
            <c:numRef>
              <c:f>'Sprint 2'!$B$71:$B$85</c:f>
              <c:numCache>
                <c:formatCode>General</c:formatCode>
                <c:ptCount val="15"/>
                <c:pt idx="0">
                  <c:v>16.600000000000001</c:v>
                </c:pt>
                <c:pt idx="1">
                  <c:v>15.3</c:v>
                </c:pt>
                <c:pt idx="2">
                  <c:v>13.3</c:v>
                </c:pt>
                <c:pt idx="3">
                  <c:v>12.2</c:v>
                </c:pt>
                <c:pt idx="4">
                  <c:v>12</c:v>
                </c:pt>
                <c:pt idx="5">
                  <c:v>10.1</c:v>
                </c:pt>
                <c:pt idx="6">
                  <c:v>8.6999999999999993</c:v>
                </c:pt>
                <c:pt idx="7">
                  <c:v>8.4</c:v>
                </c:pt>
                <c:pt idx="8">
                  <c:v>6.6</c:v>
                </c:pt>
                <c:pt idx="9">
                  <c:v>5.9</c:v>
                </c:pt>
                <c:pt idx="10">
                  <c:v>4.5</c:v>
                </c:pt>
                <c:pt idx="11">
                  <c:v>3.6</c:v>
                </c:pt>
                <c:pt idx="12">
                  <c:v>2.4</c:v>
                </c:pt>
                <c:pt idx="13">
                  <c:v>1.1000000000000001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B-4411-931A-605D45B9E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00688"/>
        <c:axId val="181704048"/>
        <c:axId val="177542704"/>
      </c:line3DChart>
      <c:catAx>
        <c:axId val="18170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4048"/>
        <c:crosses val="autoZero"/>
        <c:auto val="1"/>
        <c:lblAlgn val="ctr"/>
        <c:lblOffset val="100"/>
        <c:noMultiLvlLbl val="0"/>
      </c:catAx>
      <c:valAx>
        <c:axId val="1817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0688"/>
        <c:crosses val="autoZero"/>
        <c:crossBetween val="between"/>
      </c:valAx>
      <c:serAx>
        <c:axId val="177542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404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'Sprint 3'!$A$43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3'!$B$42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3'!$B$43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8-49A3-B3B1-BD8CC6642377}"/>
            </c:ext>
          </c:extLst>
        </c:ser>
        <c:ser>
          <c:idx val="1"/>
          <c:order val="1"/>
          <c:tx>
            <c:strRef>
              <c:f>'Sprint 3'!$A$44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3'!$B$42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3'!$B$44</c:f>
              <c:numCache>
                <c:formatCode>General</c:formatCode>
                <c:ptCount val="1"/>
                <c:pt idx="0">
                  <c:v>12.333333333333334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8-49A3-B3B1-BD8CC66423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37863983"/>
        <c:axId val="2037868303"/>
        <c:axId val="0"/>
      </c:bar3DChart>
      <c:catAx>
        <c:axId val="2037863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68303"/>
        <c:crosses val="autoZero"/>
        <c:auto val="1"/>
        <c:lblAlgn val="ctr"/>
        <c:lblOffset val="100"/>
        <c:noMultiLvlLbl val="0"/>
      </c:catAx>
      <c:valAx>
        <c:axId val="203786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639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3'!$B$59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cat>
            <c:strRef>
              <c:f>'Sprint 3'!$A$60:$A$74</c:f>
              <c:strCache>
                <c:ptCount val="15"/>
                <c:pt idx="0">
                  <c:v>2023-01-29</c:v>
                </c:pt>
                <c:pt idx="1">
                  <c:v>2023-01-30</c:v>
                </c:pt>
                <c:pt idx="2">
                  <c:v>2023-01-31</c:v>
                </c:pt>
                <c:pt idx="3">
                  <c:v>2023-02-01</c:v>
                </c:pt>
                <c:pt idx="4">
                  <c:v>2023-02-02</c:v>
                </c:pt>
                <c:pt idx="5">
                  <c:v>2023-02-03</c:v>
                </c:pt>
                <c:pt idx="6">
                  <c:v>2023-02-04</c:v>
                </c:pt>
                <c:pt idx="7">
                  <c:v>2023-02-05</c:v>
                </c:pt>
                <c:pt idx="8">
                  <c:v>2023-02-06</c:v>
                </c:pt>
                <c:pt idx="9">
                  <c:v>2023-02-07</c:v>
                </c:pt>
                <c:pt idx="10">
                  <c:v>2023-02-08</c:v>
                </c:pt>
                <c:pt idx="11">
                  <c:v>2023-02-09</c:v>
                </c:pt>
                <c:pt idx="12">
                  <c:v>2023-02-10</c:v>
                </c:pt>
                <c:pt idx="13">
                  <c:v>2023-02-11</c:v>
                </c:pt>
                <c:pt idx="14">
                  <c:v>2023-02-12</c:v>
                </c:pt>
              </c:strCache>
            </c:strRef>
          </c:cat>
          <c:val>
            <c:numRef>
              <c:f>'Sprint 3'!$B$60:$B$74</c:f>
              <c:numCache>
                <c:formatCode>General</c:formatCode>
                <c:ptCount val="15"/>
                <c:pt idx="0">
                  <c:v>8.3000000000000007</c:v>
                </c:pt>
                <c:pt idx="1">
                  <c:v>7.3</c:v>
                </c:pt>
                <c:pt idx="2">
                  <c:v>6.9</c:v>
                </c:pt>
                <c:pt idx="3">
                  <c:v>6.2</c:v>
                </c:pt>
                <c:pt idx="4">
                  <c:v>6</c:v>
                </c:pt>
                <c:pt idx="5">
                  <c:v>5.2</c:v>
                </c:pt>
                <c:pt idx="6">
                  <c:v>4.4000000000000004</c:v>
                </c:pt>
                <c:pt idx="7">
                  <c:v>4</c:v>
                </c:pt>
                <c:pt idx="8">
                  <c:v>3.4</c:v>
                </c:pt>
                <c:pt idx="9">
                  <c:v>2.7</c:v>
                </c:pt>
                <c:pt idx="10">
                  <c:v>2.2999999999999998</c:v>
                </c:pt>
                <c:pt idx="11">
                  <c:v>1.7</c:v>
                </c:pt>
                <c:pt idx="12">
                  <c:v>1.1000000000000001</c:v>
                </c:pt>
                <c:pt idx="13">
                  <c:v>0.6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6-40E2-AAE0-416906E52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92447"/>
        <c:axId val="2075192927"/>
        <c:axId val="2039337439"/>
      </c:line3DChart>
      <c:catAx>
        <c:axId val="2075192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92927"/>
        <c:crosses val="autoZero"/>
        <c:auto val="1"/>
        <c:lblAlgn val="ctr"/>
        <c:lblOffset val="100"/>
        <c:noMultiLvlLbl val="0"/>
      </c:catAx>
      <c:valAx>
        <c:axId val="20751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92447"/>
        <c:crosses val="autoZero"/>
        <c:crossBetween val="between"/>
      </c:valAx>
      <c:serAx>
        <c:axId val="20393374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9292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'Sprint 4'!$A$42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4'!$B$41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4'!$B$42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4-4B87-9AD4-45158DF0A6FB}"/>
            </c:ext>
          </c:extLst>
        </c:ser>
        <c:ser>
          <c:idx val="1"/>
          <c:order val="1"/>
          <c:tx>
            <c:strRef>
              <c:f>'Sprint 4'!$A$43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4'!$B$41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4'!$B$43</c:f>
              <c:numCache>
                <c:formatCode>General</c:formatCode>
                <c:ptCount val="1"/>
                <c:pt idx="0">
                  <c:v>11.25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4-4B87-9AD4-45158DF0A6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41725519"/>
        <c:axId val="2041725039"/>
        <c:axId val="0"/>
      </c:bar3DChart>
      <c:catAx>
        <c:axId val="204172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725039"/>
        <c:crosses val="autoZero"/>
        <c:auto val="1"/>
        <c:lblAlgn val="ctr"/>
        <c:lblOffset val="100"/>
        <c:noMultiLvlLbl val="0"/>
      </c:catAx>
      <c:valAx>
        <c:axId val="20417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725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4'!$B$63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cat>
            <c:strRef>
              <c:f>'Sprint 4'!$A$64:$A$78</c:f>
              <c:strCache>
                <c:ptCount val="15"/>
                <c:pt idx="0">
                  <c:v>2023-02-12</c:v>
                </c:pt>
                <c:pt idx="1">
                  <c:v>2023-02-13</c:v>
                </c:pt>
                <c:pt idx="2">
                  <c:v>2023-02-14</c:v>
                </c:pt>
                <c:pt idx="3">
                  <c:v>2023-02-15</c:v>
                </c:pt>
                <c:pt idx="4">
                  <c:v>2023-02-16</c:v>
                </c:pt>
                <c:pt idx="5">
                  <c:v>2023-02-17</c:v>
                </c:pt>
                <c:pt idx="6">
                  <c:v>2023-02-18</c:v>
                </c:pt>
                <c:pt idx="7">
                  <c:v>2023-02-19</c:v>
                </c:pt>
                <c:pt idx="8">
                  <c:v>2023-02-20</c:v>
                </c:pt>
                <c:pt idx="9">
                  <c:v>2023-02-21</c:v>
                </c:pt>
                <c:pt idx="10">
                  <c:v>2023-02-22</c:v>
                </c:pt>
                <c:pt idx="11">
                  <c:v>2023-02-23</c:v>
                </c:pt>
                <c:pt idx="12">
                  <c:v>2023-02-24</c:v>
                </c:pt>
                <c:pt idx="13">
                  <c:v>2023-02-25</c:v>
                </c:pt>
                <c:pt idx="14">
                  <c:v>2023-02-26</c:v>
                </c:pt>
              </c:strCache>
            </c:strRef>
          </c:cat>
          <c:val>
            <c:numRef>
              <c:f>'Sprint 4'!$B$64:$B$78</c:f>
              <c:numCache>
                <c:formatCode>General</c:formatCode>
                <c:ptCount val="15"/>
                <c:pt idx="0">
                  <c:v>8.1999999999999993</c:v>
                </c:pt>
                <c:pt idx="1">
                  <c:v>7.3</c:v>
                </c:pt>
                <c:pt idx="2">
                  <c:v>6.5</c:v>
                </c:pt>
                <c:pt idx="3">
                  <c:v>6.2</c:v>
                </c:pt>
                <c:pt idx="4">
                  <c:v>5.5</c:v>
                </c:pt>
                <c:pt idx="5">
                  <c:v>5.4</c:v>
                </c:pt>
                <c:pt idx="6">
                  <c:v>4.5999999999999996</c:v>
                </c:pt>
                <c:pt idx="7">
                  <c:v>4.0999999999999996</c:v>
                </c:pt>
                <c:pt idx="8">
                  <c:v>3.4</c:v>
                </c:pt>
                <c:pt idx="9">
                  <c:v>2.9</c:v>
                </c:pt>
                <c:pt idx="10">
                  <c:v>2.2999999999999998</c:v>
                </c:pt>
                <c:pt idx="11">
                  <c:v>1.7</c:v>
                </c:pt>
                <c:pt idx="12">
                  <c:v>1.2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8-44BD-B60D-E960FA570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918047"/>
        <c:axId val="1809919007"/>
        <c:axId val="298775039"/>
      </c:line3DChart>
      <c:catAx>
        <c:axId val="1809918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19007"/>
        <c:crosses val="autoZero"/>
        <c:auto val="1"/>
        <c:lblAlgn val="ctr"/>
        <c:lblOffset val="100"/>
        <c:noMultiLvlLbl val="0"/>
      </c:catAx>
      <c:valAx>
        <c:axId val="180991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18047"/>
        <c:crosses val="autoZero"/>
        <c:crossBetween val="between"/>
      </c:valAx>
      <c:serAx>
        <c:axId val="2987750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1900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5'!$A$53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'Sprint 5'!$B$52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5'!$B$53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0-4210-93A8-B483BED5B130}"/>
            </c:ext>
          </c:extLst>
        </c:ser>
        <c:ser>
          <c:idx val="1"/>
          <c:order val="1"/>
          <c:tx>
            <c:strRef>
              <c:f>'Sprint 5'!$A$54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5'!$B$52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5'!$B$54</c:f>
              <c:numCache>
                <c:formatCode>0.0</c:formatCode>
                <c:ptCount val="1"/>
                <c:pt idx="0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0-4210-93A8-B483BED5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580431"/>
        <c:axId val="301585711"/>
      </c:barChart>
      <c:catAx>
        <c:axId val="30158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5711"/>
        <c:crosses val="autoZero"/>
        <c:auto val="1"/>
        <c:lblAlgn val="ctr"/>
        <c:lblOffset val="100"/>
        <c:noMultiLvlLbl val="0"/>
      </c:catAx>
      <c:valAx>
        <c:axId val="3015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04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5'!$B$67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cat>
            <c:strRef>
              <c:f>'Sprint 5'!$A$68:$A$82</c:f>
              <c:strCache>
                <c:ptCount val="15"/>
                <c:pt idx="0">
                  <c:v>2023-02-26</c:v>
                </c:pt>
                <c:pt idx="1">
                  <c:v>2023-02-27</c:v>
                </c:pt>
                <c:pt idx="2">
                  <c:v>2023-02-28</c:v>
                </c:pt>
                <c:pt idx="3">
                  <c:v>2023-03-01</c:v>
                </c:pt>
                <c:pt idx="4">
                  <c:v>2023-03-02</c:v>
                </c:pt>
                <c:pt idx="5">
                  <c:v>2023-03-03</c:v>
                </c:pt>
                <c:pt idx="6">
                  <c:v>2023-03-04</c:v>
                </c:pt>
                <c:pt idx="7">
                  <c:v>2023-03-05</c:v>
                </c:pt>
                <c:pt idx="8">
                  <c:v>2023-03-06</c:v>
                </c:pt>
                <c:pt idx="9">
                  <c:v>2023-03-07</c:v>
                </c:pt>
                <c:pt idx="10">
                  <c:v>2023-03-08</c:v>
                </c:pt>
                <c:pt idx="11">
                  <c:v>2023-03-09</c:v>
                </c:pt>
                <c:pt idx="12">
                  <c:v>2023-03-10</c:v>
                </c:pt>
                <c:pt idx="13">
                  <c:v>2023-03-11</c:v>
                </c:pt>
                <c:pt idx="14">
                  <c:v>2023-03-12</c:v>
                </c:pt>
              </c:strCache>
            </c:strRef>
          </c:cat>
          <c:val>
            <c:numRef>
              <c:f>'Sprint 5'!$B$68:$B$82</c:f>
              <c:numCache>
                <c:formatCode>General</c:formatCode>
                <c:ptCount val="15"/>
                <c:pt idx="0">
                  <c:v>7.7</c:v>
                </c:pt>
                <c:pt idx="1">
                  <c:v>7.5</c:v>
                </c:pt>
                <c:pt idx="2">
                  <c:v>6.7</c:v>
                </c:pt>
                <c:pt idx="3">
                  <c:v>6</c:v>
                </c:pt>
                <c:pt idx="4">
                  <c:v>5.7</c:v>
                </c:pt>
                <c:pt idx="5">
                  <c:v>5.3</c:v>
                </c:pt>
                <c:pt idx="6">
                  <c:v>4.7</c:v>
                </c:pt>
                <c:pt idx="7">
                  <c:v>4.0999999999999996</c:v>
                </c:pt>
                <c:pt idx="8">
                  <c:v>3.5</c:v>
                </c:pt>
                <c:pt idx="9">
                  <c:v>2.8</c:v>
                </c:pt>
                <c:pt idx="10">
                  <c:v>2.2000000000000002</c:v>
                </c:pt>
                <c:pt idx="11">
                  <c:v>1.7</c:v>
                </c:pt>
                <c:pt idx="12">
                  <c:v>1.1000000000000001</c:v>
                </c:pt>
                <c:pt idx="13">
                  <c:v>0.6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1-4335-ADFD-D78A32293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580911"/>
        <c:axId val="301581871"/>
        <c:axId val="159520335"/>
      </c:line3DChart>
      <c:catAx>
        <c:axId val="3015809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1871"/>
        <c:crosses val="autoZero"/>
        <c:auto val="1"/>
        <c:lblAlgn val="ctr"/>
        <c:lblOffset val="100"/>
        <c:noMultiLvlLbl val="0"/>
      </c:catAx>
      <c:valAx>
        <c:axId val="30158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0911"/>
        <c:crosses val="autoZero"/>
        <c:crossBetween val="between"/>
      </c:valAx>
      <c:serAx>
        <c:axId val="1595203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187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'Sprint 6'!$A$44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6'!$B$43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6'!$B$44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E-4D17-95A4-7D3EAD90E380}"/>
            </c:ext>
          </c:extLst>
        </c:ser>
        <c:ser>
          <c:idx val="1"/>
          <c:order val="1"/>
          <c:tx>
            <c:strRef>
              <c:f>'Sprint 6'!$A$45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'Sprint 6'!$B$43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6'!$B$45</c:f>
              <c:numCache>
                <c:formatCode>0.00</c:formatCode>
                <c:ptCount val="1"/>
                <c:pt idx="0">
                  <c:v>9.6666666666666661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E-4D17-95A4-7D3EAD90E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1732239"/>
        <c:axId val="2041725999"/>
        <c:axId val="0"/>
      </c:bar3DChart>
      <c:catAx>
        <c:axId val="204173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725999"/>
        <c:crosses val="autoZero"/>
        <c:auto val="1"/>
        <c:lblAlgn val="ctr"/>
        <c:lblOffset val="100"/>
        <c:noMultiLvlLbl val="0"/>
      </c:catAx>
      <c:valAx>
        <c:axId val="20417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732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6'!$B$63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cat>
            <c:strRef>
              <c:f>'Sprint 6'!$A$64:$A$78</c:f>
              <c:strCache>
                <c:ptCount val="15"/>
                <c:pt idx="0">
                  <c:v>2023-03-12</c:v>
                </c:pt>
                <c:pt idx="1">
                  <c:v>2023-03-13</c:v>
                </c:pt>
                <c:pt idx="2">
                  <c:v>2023-03-14</c:v>
                </c:pt>
                <c:pt idx="3">
                  <c:v>2023-03-15</c:v>
                </c:pt>
                <c:pt idx="4">
                  <c:v>2023-03-16</c:v>
                </c:pt>
                <c:pt idx="5">
                  <c:v>2023-03-17</c:v>
                </c:pt>
                <c:pt idx="6">
                  <c:v>2023-03-18</c:v>
                </c:pt>
                <c:pt idx="7">
                  <c:v>2023-03-19</c:v>
                </c:pt>
                <c:pt idx="8">
                  <c:v>2023-03-20</c:v>
                </c:pt>
                <c:pt idx="9">
                  <c:v>2023-03-21</c:v>
                </c:pt>
                <c:pt idx="10">
                  <c:v>2023-03-22</c:v>
                </c:pt>
                <c:pt idx="11">
                  <c:v>2023-03-23</c:v>
                </c:pt>
                <c:pt idx="12">
                  <c:v>2023-03-24</c:v>
                </c:pt>
                <c:pt idx="13">
                  <c:v>2023-03-25</c:v>
                </c:pt>
                <c:pt idx="14">
                  <c:v>2023-03-26</c:v>
                </c:pt>
              </c:strCache>
            </c:strRef>
          </c:cat>
          <c:val>
            <c:numRef>
              <c:f>'Sprint 6'!$B$64:$B$78</c:f>
              <c:numCache>
                <c:formatCode>General</c:formatCode>
                <c:ptCount val="15"/>
                <c:pt idx="0">
                  <c:v>4.8</c:v>
                </c:pt>
                <c:pt idx="1">
                  <c:v>4.8</c:v>
                </c:pt>
                <c:pt idx="2">
                  <c:v>4.3</c:v>
                </c:pt>
                <c:pt idx="3">
                  <c:v>4</c:v>
                </c:pt>
                <c:pt idx="4">
                  <c:v>3.4</c:v>
                </c:pt>
                <c:pt idx="5">
                  <c:v>3.1</c:v>
                </c:pt>
                <c:pt idx="6">
                  <c:v>2.8</c:v>
                </c:pt>
                <c:pt idx="7">
                  <c:v>2.4</c:v>
                </c:pt>
                <c:pt idx="8">
                  <c:v>2</c:v>
                </c:pt>
                <c:pt idx="9">
                  <c:v>1.9</c:v>
                </c:pt>
                <c:pt idx="10">
                  <c:v>1.5</c:v>
                </c:pt>
                <c:pt idx="11">
                  <c:v>1.1000000000000001</c:v>
                </c:pt>
                <c:pt idx="12">
                  <c:v>0.7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8-4B17-9B71-21C07CB98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56063"/>
        <c:axId val="301362303"/>
        <c:axId val="159519215"/>
      </c:line3DChart>
      <c:catAx>
        <c:axId val="301356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62303"/>
        <c:crosses val="autoZero"/>
        <c:auto val="1"/>
        <c:lblAlgn val="ctr"/>
        <c:lblOffset val="100"/>
        <c:noMultiLvlLbl val="0"/>
      </c:catAx>
      <c:valAx>
        <c:axId val="30136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56063"/>
        <c:crosses val="autoZero"/>
        <c:crossBetween val="between"/>
      </c:valAx>
      <c:serAx>
        <c:axId val="1595192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6230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'Sprint 7'!$A$48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7'!$B$47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7'!$B$48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D-4B71-8C70-43D755FF39DA}"/>
            </c:ext>
          </c:extLst>
        </c:ser>
        <c:ser>
          <c:idx val="1"/>
          <c:order val="1"/>
          <c:tx>
            <c:strRef>
              <c:f>'Sprint 7'!$A$49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7'!$B$47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7'!$B$49</c:f>
              <c:numCache>
                <c:formatCode>0.00</c:formatCode>
                <c:ptCount val="1"/>
                <c:pt idx="0">
                  <c:v>9.4285714285714288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D-4B71-8C70-43D755FF39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01363743"/>
        <c:axId val="301375743"/>
        <c:axId val="0"/>
      </c:bar3DChart>
      <c:catAx>
        <c:axId val="30136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75743"/>
        <c:crosses val="autoZero"/>
        <c:auto val="1"/>
        <c:lblAlgn val="ctr"/>
        <c:lblOffset val="100"/>
        <c:noMultiLvlLbl val="0"/>
      </c:catAx>
      <c:valAx>
        <c:axId val="3013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637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7'!$B$58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cat>
            <c:strRef>
              <c:f>'Sprint 7'!$A$59:$A$73</c:f>
              <c:strCache>
                <c:ptCount val="15"/>
                <c:pt idx="0">
                  <c:v>2023-03-26</c:v>
                </c:pt>
                <c:pt idx="1">
                  <c:v>2023-03-27</c:v>
                </c:pt>
                <c:pt idx="2">
                  <c:v>2023-03-28</c:v>
                </c:pt>
                <c:pt idx="3">
                  <c:v>2023-03-29</c:v>
                </c:pt>
                <c:pt idx="4">
                  <c:v>2023-03-30</c:v>
                </c:pt>
                <c:pt idx="5">
                  <c:v>2023-03-31</c:v>
                </c:pt>
                <c:pt idx="6">
                  <c:v>2023-04-01</c:v>
                </c:pt>
                <c:pt idx="7">
                  <c:v>2023-04-02</c:v>
                </c:pt>
                <c:pt idx="8">
                  <c:v>2023-04-03</c:v>
                </c:pt>
                <c:pt idx="9">
                  <c:v>2023-04-04</c:v>
                </c:pt>
                <c:pt idx="10">
                  <c:v>2023-04-05</c:v>
                </c:pt>
                <c:pt idx="11">
                  <c:v>2023-04-06</c:v>
                </c:pt>
                <c:pt idx="12">
                  <c:v>2023-04-07</c:v>
                </c:pt>
                <c:pt idx="13">
                  <c:v>2023-04-08</c:v>
                </c:pt>
                <c:pt idx="14">
                  <c:v>2023-04-09</c:v>
                </c:pt>
              </c:strCache>
            </c:strRef>
          </c:cat>
          <c:val>
            <c:numRef>
              <c:f>'Sprint 7'!$B$59:$B$73</c:f>
              <c:numCache>
                <c:formatCode>General</c:formatCode>
                <c:ptCount val="15"/>
                <c:pt idx="0">
                  <c:v>7.8</c:v>
                </c:pt>
                <c:pt idx="1">
                  <c:v>7.6</c:v>
                </c:pt>
                <c:pt idx="2">
                  <c:v>6.8</c:v>
                </c:pt>
                <c:pt idx="3">
                  <c:v>6.3</c:v>
                </c:pt>
                <c:pt idx="4">
                  <c:v>5.5</c:v>
                </c:pt>
                <c:pt idx="5">
                  <c:v>4.9000000000000004</c:v>
                </c:pt>
                <c:pt idx="6">
                  <c:v>4.4000000000000004</c:v>
                </c:pt>
                <c:pt idx="7">
                  <c:v>4.0999999999999996</c:v>
                </c:pt>
                <c:pt idx="8">
                  <c:v>3.5</c:v>
                </c:pt>
                <c:pt idx="9">
                  <c:v>3</c:v>
                </c:pt>
                <c:pt idx="10">
                  <c:v>2.2000000000000002</c:v>
                </c:pt>
                <c:pt idx="11">
                  <c:v>1.7</c:v>
                </c:pt>
                <c:pt idx="12">
                  <c:v>1.1000000000000001</c:v>
                </c:pt>
                <c:pt idx="13">
                  <c:v>0.6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2-4094-B9DE-751AAC3C3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98447"/>
        <c:axId val="2081999407"/>
        <c:axId val="305156847"/>
      </c:line3DChart>
      <c:catAx>
        <c:axId val="2081998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99407"/>
        <c:crosses val="autoZero"/>
        <c:auto val="1"/>
        <c:lblAlgn val="ctr"/>
        <c:lblOffset val="100"/>
        <c:noMultiLvlLbl val="0"/>
      </c:catAx>
      <c:valAx>
        <c:axId val="208199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98447"/>
        <c:crosses val="autoZero"/>
        <c:crossBetween val="between"/>
      </c:valAx>
      <c:serAx>
        <c:axId val="305156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9940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'Sprint 8'!$A$46</c:f>
              <c:strCache>
                <c:ptCount val="1"/>
                <c:pt idx="0">
                  <c:v>Total Estimated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'Sprint 8'!$B$45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8'!$B$46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2-4F3E-9E24-4CE71CE1BB45}"/>
            </c:ext>
          </c:extLst>
        </c:ser>
        <c:ser>
          <c:idx val="1"/>
          <c:order val="1"/>
          <c:tx>
            <c:strRef>
              <c:f>'Sprint 8'!$A$47</c:f>
              <c:strCache>
                <c:ptCount val="1"/>
                <c:pt idx="0">
                  <c:v>Velocity (Story Points Completed)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8'!$B$45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'Sprint 8'!$B$47</c:f>
              <c:numCache>
                <c:formatCode>0.00</c:formatCode>
                <c:ptCount val="1"/>
                <c:pt idx="0">
                  <c:v>8.875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2-4F3E-9E24-4CE71CE1B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824447"/>
        <c:axId val="196827807"/>
        <c:axId val="0"/>
      </c:bar3DChart>
      <c:catAx>
        <c:axId val="196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7807"/>
        <c:crosses val="autoZero"/>
        <c:auto val="1"/>
        <c:lblAlgn val="ctr"/>
        <c:lblOffset val="100"/>
        <c:noMultiLvlLbl val="0"/>
      </c:catAx>
      <c:valAx>
        <c:axId val="1968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4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'Sprint 8'!$B$52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cat>
            <c:strRef>
              <c:f>'Sprint 8'!$A$53:$A$67</c:f>
              <c:strCache>
                <c:ptCount val="15"/>
                <c:pt idx="0">
                  <c:v>2023-04-09</c:v>
                </c:pt>
                <c:pt idx="1">
                  <c:v>2023-04-10</c:v>
                </c:pt>
                <c:pt idx="2">
                  <c:v>2023-04-11</c:v>
                </c:pt>
                <c:pt idx="3">
                  <c:v>2023-04-12</c:v>
                </c:pt>
                <c:pt idx="4">
                  <c:v>2023-04-13</c:v>
                </c:pt>
                <c:pt idx="5">
                  <c:v>2023-04-14</c:v>
                </c:pt>
                <c:pt idx="6">
                  <c:v>2023-04-15</c:v>
                </c:pt>
                <c:pt idx="7">
                  <c:v>2023-04-16</c:v>
                </c:pt>
                <c:pt idx="8">
                  <c:v>2023-04-17</c:v>
                </c:pt>
                <c:pt idx="9">
                  <c:v>2023-04-18</c:v>
                </c:pt>
                <c:pt idx="10">
                  <c:v>2023-04-19</c:v>
                </c:pt>
                <c:pt idx="11">
                  <c:v>2023-04-20</c:v>
                </c:pt>
                <c:pt idx="12">
                  <c:v>2023-04-21</c:v>
                </c:pt>
                <c:pt idx="13">
                  <c:v>2023-04-22</c:v>
                </c:pt>
                <c:pt idx="14">
                  <c:v>2023-04-23</c:v>
                </c:pt>
              </c:strCache>
            </c:strRef>
          </c:cat>
          <c:val>
            <c:numRef>
              <c:f>'Sprint 8'!$B$53:$B$67</c:f>
              <c:numCache>
                <c:formatCode>General</c:formatCode>
                <c:ptCount val="15"/>
                <c:pt idx="0">
                  <c:v>4.9000000000000004</c:v>
                </c:pt>
                <c:pt idx="1">
                  <c:v>4.9000000000000004</c:v>
                </c:pt>
                <c:pt idx="2">
                  <c:v>4.4000000000000004</c:v>
                </c:pt>
                <c:pt idx="3">
                  <c:v>3.8</c:v>
                </c:pt>
                <c:pt idx="4">
                  <c:v>3.7</c:v>
                </c:pt>
                <c:pt idx="5">
                  <c:v>3.3</c:v>
                </c:pt>
                <c:pt idx="6">
                  <c:v>3</c:v>
                </c:pt>
                <c:pt idx="7">
                  <c:v>2.4</c:v>
                </c:pt>
                <c:pt idx="8">
                  <c:v>2.2000000000000002</c:v>
                </c:pt>
                <c:pt idx="9">
                  <c:v>1.7</c:v>
                </c:pt>
                <c:pt idx="10">
                  <c:v>1.5</c:v>
                </c:pt>
                <c:pt idx="11">
                  <c:v>1.1000000000000001</c:v>
                </c:pt>
                <c:pt idx="12">
                  <c:v>0.7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A-4229-8181-11106152B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86303"/>
        <c:axId val="301386783"/>
        <c:axId val="2041748719"/>
      </c:line3DChart>
      <c:catAx>
        <c:axId val="301386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86783"/>
        <c:crosses val="autoZero"/>
        <c:auto val="1"/>
        <c:lblAlgn val="ctr"/>
        <c:lblOffset val="100"/>
        <c:noMultiLvlLbl val="0"/>
      </c:catAx>
      <c:valAx>
        <c:axId val="3013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86303"/>
        <c:crosses val="autoZero"/>
        <c:crossBetween val="between"/>
      </c:valAx>
      <c:serAx>
        <c:axId val="2041748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8678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745256</xdr:colOff>
      <xdr:row>44</xdr:row>
      <xdr:rowOff>138398</xdr:rowOff>
    </xdr:from>
    <xdr:to>
      <xdr:col>4</xdr:col>
      <xdr:colOff>1363869</xdr:colOff>
      <xdr:row>60</xdr:row>
      <xdr:rowOff>129269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3B4CA-2FB3-856D-C5B7-C3F5B193B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1184829</xdr:colOff>
      <xdr:row>64</xdr:row>
      <xdr:rowOff>26833</xdr:rowOff>
    </xdr:from>
    <xdr:to>
      <xdr:col>4</xdr:col>
      <xdr:colOff>1805718</xdr:colOff>
      <xdr:row>79</xdr:row>
      <xdr:rowOff>60944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DE2CD4-DE8F-CAA3-1CC6-7485CFC1E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2184605</xdr:colOff>
      <xdr:row>46</xdr:row>
      <xdr:rowOff>159569</xdr:rowOff>
    </xdr:from>
    <xdr:to>
      <xdr:col>4</xdr:col>
      <xdr:colOff>1738056</xdr:colOff>
      <xdr:row>61</xdr:row>
      <xdr:rowOff>137447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CFA569-E040-E98B-2AF5-D85A04267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1054175</xdr:colOff>
      <xdr:row>69</xdr:row>
      <xdr:rowOff>42394</xdr:rowOff>
    </xdr:from>
    <xdr:to>
      <xdr:col>4</xdr:col>
      <xdr:colOff>596572</xdr:colOff>
      <xdr:row>84</xdr:row>
      <xdr:rowOff>64166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8A7C8C-6FBA-C4F6-E34A-DA933CCF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749493</xdr:colOff>
      <xdr:row>39</xdr:row>
      <xdr:rowOff>60587</xdr:rowOff>
    </xdr:from>
    <xdr:to>
      <xdr:col>4</xdr:col>
      <xdr:colOff>1338312</xdr:colOff>
      <xdr:row>54</xdr:row>
      <xdr:rowOff>61741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52F86-BD24-1972-97DE-03C474A63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1264228</xdr:colOff>
      <xdr:row>58</xdr:row>
      <xdr:rowOff>125186</xdr:rowOff>
    </xdr:from>
    <xdr:to>
      <xdr:col>4</xdr:col>
      <xdr:colOff>1853046</xdr:colOff>
      <xdr:row>73</xdr:row>
      <xdr:rowOff>146957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9FA894-D2F8-F2D4-9000-56F677CF3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1610986</xdr:colOff>
      <xdr:row>43</xdr:row>
      <xdr:rowOff>7133</xdr:rowOff>
    </xdr:from>
    <xdr:to>
      <xdr:col>4</xdr:col>
      <xdr:colOff>1903260</xdr:colOff>
      <xdr:row>58</xdr:row>
      <xdr:rowOff>10264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7A629-4EA6-EA95-9A33-83D975ECC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1398008</xdr:colOff>
      <xdr:row>64</xdr:row>
      <xdr:rowOff>4233</xdr:rowOff>
    </xdr:from>
    <xdr:to>
      <xdr:col>4</xdr:col>
      <xdr:colOff>1686278</xdr:colOff>
      <xdr:row>79</xdr:row>
      <xdr:rowOff>26005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E8F403-9BAA-37E7-2588-CD0C17C0C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2723444</xdr:colOff>
      <xdr:row>39</xdr:row>
      <xdr:rowOff>173566</xdr:rowOff>
    </xdr:from>
    <xdr:to>
      <xdr:col>7</xdr:col>
      <xdr:colOff>691444</xdr:colOff>
      <xdr:row>54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9A365-7124-27DA-156D-7364E7498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197555</xdr:colOff>
      <xdr:row>66</xdr:row>
      <xdr:rowOff>46567</xdr:rowOff>
    </xdr:from>
    <xdr:to>
      <xdr:col>5</xdr:col>
      <xdr:colOff>1580444</xdr:colOff>
      <xdr:row>81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1FF762-883E-6EE5-A51F-4C5F7DDBB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1480882</xdr:colOff>
      <xdr:row>40</xdr:row>
      <xdr:rowOff>23832</xdr:rowOff>
    </xdr:from>
    <xdr:to>
      <xdr:col>4</xdr:col>
      <xdr:colOff>1874426</xdr:colOff>
      <xdr:row>55</xdr:row>
      <xdr:rowOff>62402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16084-D10B-3003-A056-9103D50C2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963475</xdr:colOff>
      <xdr:row>61</xdr:row>
      <xdr:rowOff>94387</xdr:rowOff>
    </xdr:from>
    <xdr:to>
      <xdr:col>4</xdr:col>
      <xdr:colOff>1357019</xdr:colOff>
      <xdr:row>76</xdr:row>
      <xdr:rowOff>132958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7EA6F7-6FAF-D0AE-52A7-B0D0007D1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622012</xdr:colOff>
      <xdr:row>43</xdr:row>
      <xdr:rowOff>31894</xdr:rowOff>
    </xdr:from>
    <xdr:to>
      <xdr:col>4</xdr:col>
      <xdr:colOff>1362364</xdr:colOff>
      <xdr:row>57</xdr:row>
      <xdr:rowOff>148503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E81BB-7123-A598-F41E-8AD7D0066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622012</xdr:colOff>
      <xdr:row>55</xdr:row>
      <xdr:rowOff>31894</xdr:rowOff>
    </xdr:from>
    <xdr:to>
      <xdr:col>4</xdr:col>
      <xdr:colOff>1362364</xdr:colOff>
      <xdr:row>69</xdr:row>
      <xdr:rowOff>148503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35EF0-43AE-1A81-D189-FD9C47CE0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328414</xdr:colOff>
      <xdr:row>33</xdr:row>
      <xdr:rowOff>181173</xdr:rowOff>
    </xdr:from>
    <xdr:to>
      <xdr:col>5</xdr:col>
      <xdr:colOff>435571</xdr:colOff>
      <xdr:row>48</xdr:row>
      <xdr:rowOff>96639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12A53-CB0B-77D1-1E9C-1E00796BF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328414</xdr:colOff>
      <xdr:row>51</xdr:row>
      <xdr:rowOff>181173</xdr:rowOff>
    </xdr:from>
    <xdr:to>
      <xdr:col>5</xdr:col>
      <xdr:colOff>435571</xdr:colOff>
      <xdr:row>66</xdr:row>
      <xdr:rowOff>96639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F1915F-CFC1-2BAC-56D5-089533566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3B738-3114-42DC-A472-F07127F4F194}" name="B1S1" displayName="B1S1" ref="A5:V6" totalsRowShown="0" headerRowDxfId="191" headerRowBorderDxfId="190" tableBorderDxfId="189">
  <autoFilter ref="A5:V6" xr:uid="{94C3B738-3114-42DC-A472-F07127F4F194}"/>
  <tableColumns count="22">
    <tableColumn id="1" xr3:uid="{B34C312E-0716-40E1-BFED-F6F850D50A32}" name="Sprint Number"/>
    <tableColumn id="2" xr3:uid="{6FEB5910-6BEF-4E31-A817-855903B8A80A}" name="Sprint Start Date"/>
    <tableColumn id="3" xr3:uid="{68CE93E2-395F-4797-AB83-D82254D08EA2}" name="Sprint End Date"/>
    <tableColumn id="4" xr3:uid="{2FC23258-A188-4E9C-9D12-485809F72B54}" name="Sprint Duration"/>
    <tableColumn id="5" xr3:uid="{E7232E6E-AF71-47F6-B95A-C19844F30C7F}" name="Sprint Goal"/>
    <tableColumn id="6" xr3:uid="{3434E1EF-57B2-4182-89C2-DB7F7FFF7E27}" name="Budget Allocated (Rs)"/>
    <tableColumn id="7" xr3:uid="{550D9A0B-05A3-4831-AB55-F90894412DD6}" name="BA Salary (Rs)"/>
    <tableColumn id="8" xr3:uid="{5301C021-F5BB-42CB-8DB0-6DAFF8785EC2}" name="Python Dev 1 Salary (Rs)"/>
    <tableColumn id="9" xr3:uid="{36C33D47-307A-4E94-A4EB-8B7C348DB849}" name="Python Dev 2 Salary (Rs)"/>
    <tableColumn id="10" xr3:uid="{4918CE1D-871F-49B3-B93D-6840DD1F6968}" name="Tester Salary (Rs)"/>
    <tableColumn id="11" xr3:uid="{5B5C763D-BAFD-418A-84BA-CCE852017ACA}" name="Data Analyst Salary (Rs)"/>
    <tableColumn id="12" xr3:uid="{A2F1DCBF-90AD-458E-B4A2-3EBCD510C2B8}" name="Total Salary Expense (Rs)">
      <calculatedColumnFormula>SUM(B1S1[[#This Row],[BA Salary (Rs)]:[Data Analyst Salary (Rs)]])</calculatedColumnFormula>
    </tableColumn>
    <tableColumn id="13" xr3:uid="{20ECFA91-8F6C-4B7D-B70A-6BA3A0771A88}" name="Operational Cost (Rs)"/>
    <tableColumn id="14" xr3:uid="{0BF8E1E1-8DEB-4D95-B79A-A5BD768E11EE}" name="Total Cost (Rs)">
      <calculatedColumnFormula>SUM(B1S1[[#This Row],[Total Salary Expense (Rs)]:[Operational Cost (Rs)]])</calculatedColumnFormula>
    </tableColumn>
    <tableColumn id="15" xr3:uid="{D1A21AEA-5843-41C9-A853-DF234F055B97}" name="Contingency (%)"/>
    <tableColumn id="16" xr3:uid="{4CFBBBB1-9665-4EFE-B276-7A5089AD5DB7}" name="Contingency Amount (Rs)">
      <calculatedColumnFormula>B1S1[[#This Row],[Total Cost (Rs)]]*B1S1[[#This Row],[Contingency (%)]]/100</calculatedColumnFormula>
    </tableColumn>
    <tableColumn id="17" xr3:uid="{EA3946A7-8D70-4BB2-8056-6E298850A69F}" name="Revised Total Cost (Rs)">
      <calculatedColumnFormula>SUM(N6,P6)</calculatedColumnFormula>
    </tableColumn>
    <tableColumn id="18" xr3:uid="{B713310C-FBA9-4183-84FA-68B250049EAA}" name="Profit (Rs)">
      <calculatedColumnFormula>B1S1[[#This Row],[Budget Allocated (Rs)]]-B1S1[[#This Row],[Total Cost (Rs)]]</calculatedColumnFormula>
    </tableColumn>
    <tableColumn id="19" xr3:uid="{39D2BA7D-D230-4F90-A707-9243829C398F}" name="Revised Profit (Rs)">
      <calculatedColumnFormula>B1S1[[#This Row],[Budget Allocated (Rs)]]-B1S1[[#This Row],[Revised Total Cost (Rs)]]</calculatedColumnFormula>
    </tableColumn>
    <tableColumn id="20" xr3:uid="{CA8127EC-FA18-4FF9-A28D-BE5A30CE6E8A}" name="Revenue (Rs)">
      <calculatedColumnFormula>SUM(B1S1[[#This Row],[Total Cost (Rs)]],B1S1[[#This Row],[Profit (Rs)]])</calculatedColumnFormula>
    </tableColumn>
    <tableColumn id="21" xr3:uid="{39B9D2BE-350D-445B-9A28-5D7B736FDCB3}" name="Revised Revenue (Rs)">
      <calculatedColumnFormula>SUM(B1S1[[#This Row],[Revised Total Cost (Rs)]],B1S1[[#This Row],[Revised Profit (Rs)]])</calculatedColumnFormula>
    </tableColumn>
    <tableColumn id="22" xr3:uid="{F955DD18-174D-496C-BBFB-C7D7B9FC0566}" name="Velocity (Story Points Completed)">
      <calculatedColumnFormula>13/1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AFFF7-376B-4F8C-AADD-97B16F7D0C08}" name="Table2" displayName="Table2" ref="A10:L12" totalsRowShown="0" headerRowDxfId="188" headerRowBorderDxfId="187" tableBorderDxfId="186">
  <autoFilter ref="A10:L12" xr:uid="{F1AAFFF7-376B-4F8C-AADD-97B16F7D0C08}"/>
  <tableColumns count="12">
    <tableColumn id="1" xr3:uid="{85F7D07F-B16F-4952-90C6-171D677ED2A4}" name="ID"/>
    <tableColumn id="2" xr3:uid="{9B5B778D-4B69-4258-8DC9-D5BF16F08945}" name="User Story"/>
    <tableColumn id="3" xr3:uid="{EF104170-FFC7-4F6A-A345-48FB3DA68C87}" name="Description"/>
    <tableColumn id="4" xr3:uid="{82EB278E-FEC4-4B11-9D2A-D7D1CC68FF79}" name="Priority"/>
    <tableColumn id="5" xr3:uid="{77A9BE18-04E3-4454-A319-D5738342F977}" name="Status"/>
    <tableColumn id="6" xr3:uid="{CC101DC0-260C-4C13-A3F6-9F05B158BA2C}" name="Estimation (Story Points)"/>
    <tableColumn id="7" xr3:uid="{76B57210-1C52-4C93-BD20-3D47BC3DD28B}" name="Planned Sprint"/>
    <tableColumn id="8" xr3:uid="{BFADE6BD-FFE5-4066-A910-F5E44D5BB079}" name="Acceptance Criteria"/>
    <tableColumn id="9" xr3:uid="{4EC20C45-8998-4279-B056-7E80F1C13550}" name="Tasks"/>
    <tableColumn id="10" xr3:uid="{35C42ED0-1037-4D46-9734-B4539C170252}" name="Dependencies"/>
    <tableColumn id="11" xr3:uid="{5AE13BB6-193A-4F30-AEEE-1EF66A6042B3}" name="Risks"/>
    <tableColumn id="12" xr3:uid="{1A6C097F-4125-4D71-9A5D-131A978DEE9E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968EC2-9E7F-4955-9F39-C7873F001645}" name="Table3" displayName="Table3" ref="A16:M30" totalsRowShown="0" headerRowDxfId="185" headerRowBorderDxfId="184" tableBorderDxfId="183">
  <autoFilter ref="A16:M30" xr:uid="{CF968EC2-9E7F-4955-9F39-C7873F001645}"/>
  <tableColumns count="13">
    <tableColumn id="1" xr3:uid="{11EA6417-11E1-4C4A-A72D-B934483A7C7C}" name="Date"/>
    <tableColumn id="2" xr3:uid="{ABFB88C4-EBC6-4099-AEB3-EAAA55CDFD20}" name="Day"/>
    <tableColumn id="3" xr3:uid="{B24C2AB2-B08E-4872-873D-1C67E1418C5A}" name="Week"/>
    <tableColumn id="4" xr3:uid="{9D3C9A2E-B3A8-4E70-9D29-4545C27F5F2B}" name="BA Attendance"/>
    <tableColumn id="5" xr3:uid="{9FC75298-BF14-427E-A30A-F324AE0DBCC1}" name="BA Hours"/>
    <tableColumn id="6" xr3:uid="{A7500EB0-53DA-4A61-8CB6-B1C076C438CF}" name="Python Dev 1 Attendance"/>
    <tableColumn id="7" xr3:uid="{16ABF385-61A7-44BA-96BF-2E3C8A582CCD}" name="Python Dev 1 Hours"/>
    <tableColumn id="8" xr3:uid="{04275720-2A6A-486B-90E8-E1DBB7EF4FFF}" name="Python Dev 2 Attendance"/>
    <tableColumn id="9" xr3:uid="{16E610F1-05A2-4D5F-9074-2845101B432B}" name="Python Dev 2 Hours"/>
    <tableColumn id="10" xr3:uid="{8C4CDABC-812B-4871-9DBB-0171F01ED361}" name="Tester Attendance"/>
    <tableColumn id="11" xr3:uid="{10B0EFD8-92E6-4F69-92E8-35A3F06F42D6}" name="Tester Hours"/>
    <tableColumn id="12" xr3:uid="{01ED7E68-68A6-4965-B94A-7DD5BDEAA54E}" name="Data Analyst Attendance"/>
    <tableColumn id="13" xr3:uid="{BD2C6B2F-5CAD-46AD-A8AC-18D71BAEF98E}" name="Data Analyst Hour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6860AB-F857-4320-9F6F-5E07DF48C9E1}" name="Table4" displayName="Table4" ref="A34:C39" totalsRowShown="0" headerRowDxfId="182" headerRowBorderDxfId="181" tableBorderDxfId="180">
  <autoFilter ref="A34:C39" xr:uid="{1A6860AB-F857-4320-9F6F-5E07DF48C9E1}"/>
  <tableColumns count="3">
    <tableColumn id="1" xr3:uid="{E9E46F1B-C7D3-4DC0-A61D-02D2AA3D1F27}" name="Worker"/>
    <tableColumn id="2" xr3:uid="{0818F489-A1BC-47EA-98F1-10C479DF073A}" name="Present"/>
    <tableColumn id="3" xr3:uid="{D9B5CBF8-0FED-4879-AF0F-580BED45ED31}" name="Absent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81ECB0-C72F-48A4-B2C8-B9839BA78F74}" name="S_1" displayName="S_1" ref="A53:B55" totalsRowShown="0" headerRowDxfId="179" headerRowBorderDxfId="178" tableBorderDxfId="177">
  <autoFilter ref="A53:B55" xr:uid="{7B81ECB0-C72F-48A4-B2C8-B9839BA78F74}"/>
  <tableColumns count="2">
    <tableColumn id="1" xr3:uid="{9592A82D-2322-4EDE-A072-95EA7F709DA8}" name="Metric"/>
    <tableColumn id="2" xr3:uid="{1511C4F4-6DFE-495A-A945-A7CE86E40C5A}" name="Valu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A02997-011F-4A0D-9796-4CD5362B236E}" name="Table7" displayName="Table7" ref="A88:D89" totalsRowShown="0" headerRowDxfId="176" headerRowBorderDxfId="175" tableBorderDxfId="174">
  <autoFilter ref="A88:D89" xr:uid="{EAA02997-011F-4A0D-9796-4CD5362B236E}"/>
  <tableColumns count="4">
    <tableColumn id="1" xr3:uid="{D4145AA9-D179-4F13-B863-ED4930960C91}" name="Sprint"/>
    <tableColumn id="2" xr3:uid="{4D3D4479-21D8-4731-AC9C-255FE82357FA}" name="What Went Well"/>
    <tableColumn id="3" xr3:uid="{AEFF3A61-AD56-4565-87DD-1651A4854568}" name="What Didn't Go Well"/>
    <tableColumn id="4" xr3:uid="{D71691B1-4F61-4F35-98B9-995EAD557A48}" name="Action Item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D00721-3F48-4863-A000-217D3DE393FD}" name="Table6" displayName="Table6" ref="A64:B79" totalsRowShown="0" headerRowDxfId="173" headerRowBorderDxfId="172" tableBorderDxfId="171">
  <autoFilter ref="A64:B79" xr:uid="{F8D00721-3F48-4863-A000-217D3DE393FD}"/>
  <tableColumns count="2">
    <tableColumn id="1" xr3:uid="{74971E27-5A42-4B80-994E-31C822DBECFE}" name="Date"/>
    <tableColumn id="2" xr3:uid="{6E143C5A-33CA-4101-AD46-34D36AB8C918}" name="Remaining Story Point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28142D-9745-45EC-9BF6-B8A3A3177F11}" name="Table8" displayName="Table8" ref="A4:V5" totalsRowShown="0" headerRowDxfId="170" headerRowBorderDxfId="169" tableBorderDxfId="168">
  <autoFilter ref="A4:V5" xr:uid="{4128142D-9745-45EC-9BF6-B8A3A3177F11}"/>
  <tableColumns count="22">
    <tableColumn id="1" xr3:uid="{C461EA9C-4137-4159-8776-08B083A795F2}" name="Sprint Number"/>
    <tableColumn id="2" xr3:uid="{EBF40D84-8265-4F25-B8AF-9C53EA46AD05}" name="Sprint Start Date"/>
    <tableColumn id="3" xr3:uid="{D06BCE20-F5B6-4C2A-9364-035B02ABF891}" name="Sprint End Date"/>
    <tableColumn id="4" xr3:uid="{DACA081E-F9BE-4DFE-8923-C6E4992CFD35}" name="Sprint Duration"/>
    <tableColumn id="5" xr3:uid="{D98FCEF2-C3AB-4956-ABD1-B7B95151FFA1}" name="Sprint Goal"/>
    <tableColumn id="6" xr3:uid="{FAAF9664-F5A1-487B-8380-6A84AB043C88}" name="Budget Allocated (Rs)"/>
    <tableColumn id="7" xr3:uid="{DA930A16-2E9E-4552-B182-EA15E4F35DEE}" name="BA Salary (Rs)"/>
    <tableColumn id="8" xr3:uid="{C26C25BD-E692-4DAD-B0CD-9D81EEE08073}" name="Python Dev 1 Salary (Rs)"/>
    <tableColumn id="9" xr3:uid="{A418DC0D-C673-4912-9F51-E32AF3424348}" name="Python Dev 2 Salary (Rs)"/>
    <tableColumn id="10" xr3:uid="{F69FD266-86B2-4250-9EA4-4A44BEC1823D}" name="Tester Salary (Rs)"/>
    <tableColumn id="11" xr3:uid="{8FE288C5-22A2-49D1-96F5-928591A244C4}" name="Data Analyst Salary (Rs)"/>
    <tableColumn id="12" xr3:uid="{EB7EE957-CE33-464C-B07D-7B0B594A7486}" name="Total Salary Expense (Rs)">
      <calculatedColumnFormula>SUM(Table8[[#This Row],[BA Salary (Rs)]:[Data Analyst Salary (Rs)]])</calculatedColumnFormula>
    </tableColumn>
    <tableColumn id="13" xr3:uid="{863E2D75-21C2-4978-8E06-6FAD8D419CBC}" name="Operational Cost (Rs)"/>
    <tableColumn id="14" xr3:uid="{76AC6C3B-4489-4511-B613-69AA5B246DFB}" name="Total Cost (Rs)">
      <calculatedColumnFormula>SUM(Table8[[#This Row],[Total Salary Expense (Rs)]:[Operational Cost (Rs)]])</calculatedColumnFormula>
    </tableColumn>
    <tableColumn id="15" xr3:uid="{C8AF40FF-F7F3-49C1-B474-C7AECB1438DF}" name="Contingency (%)"/>
    <tableColumn id="16" xr3:uid="{DBA2F232-880A-4589-89CD-7B9B2253A9BB}" name="Contingency Amount (Rs)">
      <calculatedColumnFormula>Table8[[#This Row],[Total Cost (Rs)]]*Table8[[#This Row],[Contingency (%)]]/100</calculatedColumnFormula>
    </tableColumn>
    <tableColumn id="17" xr3:uid="{4330A574-600F-43D0-B456-7BE7093090EB}" name="Revised Total Cost (Rs)">
      <calculatedColumnFormula>SUM(Table8[[#This Row],[Total Cost (Rs)]],Table8[[#This Row],[Contingency Amount (Rs)]])</calculatedColumnFormula>
    </tableColumn>
    <tableColumn id="18" xr3:uid="{D0163BE9-2F2A-458F-9823-4F4D0A94732D}" name="Profit (Rs)">
      <calculatedColumnFormula>Table8[[#This Row],[Budget Allocated (Rs)]]-Table8[[#This Row],[Total Cost (Rs)]]</calculatedColumnFormula>
    </tableColumn>
    <tableColumn id="19" xr3:uid="{842E660B-8398-4EFD-84CB-25CB3E2B665E}" name="Revised Profit (Rs)">
      <calculatedColumnFormula>Table8[[#This Row],[Budget Allocated (Rs)]]-Table8[[#This Row],[Revised Total Cost (Rs)]]</calculatedColumnFormula>
    </tableColumn>
    <tableColumn id="20" xr3:uid="{4556F4DA-B629-433C-9C3D-0E2B59A705C1}" name="Revenue (Rs)">
      <calculatedColumnFormula>Table8[[#This Row],[Total Cost (Rs)]]+Table8[[#This Row],[Profit (Rs)]]</calculatedColumnFormula>
    </tableColumn>
    <tableColumn id="21" xr3:uid="{84067911-4877-4D4D-9CD7-3321781ADDB8}" name="Revised Revenue (Rs)">
      <calculatedColumnFormula>Table8[[#This Row],[Revised Total Cost (Rs)]]+Table8[[#This Row],[Revised Profit (Rs)]]</calculatedColumnFormula>
    </tableColumn>
    <tableColumn id="22" xr3:uid="{3A6DD2BC-B1FB-4EDD-8E04-25A55FE6309D}" name="Velocity (Story Points Completed)" dataDxfId="167">
      <calculatedColumnFormula>SUM(B1S1[Velocity (Story Points Completed)],'Sprint 2'!B52)/2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5DE3B4-D11F-4F7F-B501-5B88DC9EACA0}" name="Table9" displayName="Table9" ref="A10:L12" totalsRowShown="0" headerRowDxfId="166" headerRowBorderDxfId="165" tableBorderDxfId="164">
  <autoFilter ref="A10:L12" xr:uid="{275DE3B4-D11F-4F7F-B501-5B88DC9EACA0}"/>
  <tableColumns count="12">
    <tableColumn id="1" xr3:uid="{EAAE75D7-80FE-4EE3-877B-8A3302A72D20}" name="ID"/>
    <tableColumn id="2" xr3:uid="{D52AE51C-8C88-43FD-BAB3-CB8E326AAAA8}" name="User Story"/>
    <tableColumn id="3" xr3:uid="{037110C6-E3AC-43B2-BD33-FD63D9C730CA}" name="Description"/>
    <tableColumn id="4" xr3:uid="{A71F94A2-3898-4F51-8495-331B3CB0EE36}" name="Priority"/>
    <tableColumn id="5" xr3:uid="{59D1B3FD-B0B9-4B01-B91A-8E20D37037F9}" name="Status"/>
    <tableColumn id="6" xr3:uid="{FF543624-1D78-4172-8798-EF8A6D0FD8F5}" name="Estimation (Story Points)"/>
    <tableColumn id="7" xr3:uid="{780B6C37-6D2E-4E32-969F-B94A1DB24196}" name="Planned Sprint"/>
    <tableColumn id="8" xr3:uid="{3C891871-CA2C-4544-97F6-064185971C9F}" name="Acceptance Criteria"/>
    <tableColumn id="9" xr3:uid="{34A51C58-A673-43BD-8938-552EF65311CA}" name="Tasks"/>
    <tableColumn id="10" xr3:uid="{7B97FA61-284D-44BE-901D-EF64CE4101BF}" name="Dependencies"/>
    <tableColumn id="11" xr3:uid="{B7FF6639-70B2-4136-A9FA-16CF46B9C540}" name="Risks"/>
    <tableColumn id="12" xr3:uid="{8A75E68D-7089-402E-97E3-C1A654908730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3FDDF3-3CDB-4055-A4E6-FCB19376BBF2}" name="Table10" displayName="Table10" ref="A19:M33" totalsRowShown="0" headerRowDxfId="163" headerRowBorderDxfId="162" tableBorderDxfId="161">
  <autoFilter ref="A19:M33" xr:uid="{513FDDF3-3CDB-4055-A4E6-FCB19376BBF2}"/>
  <tableColumns count="13">
    <tableColumn id="1" xr3:uid="{0F1286EC-50E0-41A3-8B2C-0F568515EE87}" name="Date"/>
    <tableColumn id="2" xr3:uid="{37DD4B05-6E6F-4D57-A561-804F893132C7}" name="Day"/>
    <tableColumn id="3" xr3:uid="{028ADD99-8B7A-431C-8BEA-9EC64D40C4CE}" name="Week"/>
    <tableColumn id="4" xr3:uid="{C5B2FFFD-CF19-48B1-8DEC-72074A182745}" name="BA Attendance"/>
    <tableColumn id="5" xr3:uid="{456414E2-7413-4FB3-AAF7-D6A7D1982E50}" name="BA Hours"/>
    <tableColumn id="6" xr3:uid="{82E9B146-3866-4C11-8082-B6AE1E41CD6E}" name="Python Dev 1 Attendance"/>
    <tableColumn id="7" xr3:uid="{C81E2DCE-D582-4A35-8C2B-B8C3B891F462}" name="Python Dev 1 Hours"/>
    <tableColumn id="8" xr3:uid="{0E727B98-D51D-4B66-9C25-27EB1E7C6AA5}" name="Python Dev 2 Attendance"/>
    <tableColumn id="9" xr3:uid="{A4D5EA3B-2433-458F-8EA3-A5D918D2B526}" name="Python Dev 2 Hours"/>
    <tableColumn id="10" xr3:uid="{365A3703-87B4-46EB-B2D7-12CC2156F1AA}" name="Tester Attendance"/>
    <tableColumn id="11" xr3:uid="{13F3EA67-DBA3-467E-90EF-D6BB7ABCFBA9}" name="Tester Hours"/>
    <tableColumn id="12" xr3:uid="{2D569FB0-8EED-487F-8799-8A760D3607E3}" name="Data Analyst Attendance"/>
    <tableColumn id="13" xr3:uid="{A8C78CA2-84D2-49DC-82F6-C07AF525D701}" name="Data Analyst Hour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3F30B1-BE47-4CE4-B4C4-F2DB60900FCC}" name="Table11" displayName="Table11" ref="A40:C45" totalsRowShown="0" headerRowDxfId="160" headerRowBorderDxfId="159" tableBorderDxfId="158">
  <autoFilter ref="A40:C45" xr:uid="{203F30B1-BE47-4CE4-B4C4-F2DB60900FCC}"/>
  <tableColumns count="3">
    <tableColumn id="1" xr3:uid="{BBDC11B5-6270-4D8A-A033-633F346BB6CB}" name="Worker"/>
    <tableColumn id="2" xr3:uid="{6BC19A0D-DB3A-4056-8BB9-D2B1D20CCE85}" name="Present"/>
    <tableColumn id="3" xr3:uid="{A2825350-3535-4B5C-8A28-BD93C8FD784E}" name="Absen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A4F359-2F43-42DF-AC37-12366B28B75C}" name="Table12" displayName="Table12" ref="A51:B53" totalsRowShown="0" headerRowDxfId="157" headerRowBorderDxfId="156" tableBorderDxfId="155">
  <autoFilter ref="A51:B53" xr:uid="{3BA4F359-2F43-42DF-AC37-12366B28B75C}"/>
  <tableColumns count="2">
    <tableColumn id="1" xr3:uid="{CCC2302F-49B0-450E-9090-58248F64F45A}" name="Metric"/>
    <tableColumn id="2" xr3:uid="{4C698303-419A-4C85-8F4A-FC938943994B}" name="Valu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539F80-F342-4C27-AD9C-BEE7E96FBF30}" name="Table13" displayName="Table13" ref="A70:B85" totalsRowShown="0" headerRowDxfId="154" headerRowBorderDxfId="153" tableBorderDxfId="152">
  <autoFilter ref="A70:B85" xr:uid="{C9539F80-F342-4C27-AD9C-BEE7E96FBF30}"/>
  <tableColumns count="2">
    <tableColumn id="1" xr3:uid="{CD0A86E5-11EF-44AA-ADF2-8F9FD5391AED}" name="Date"/>
    <tableColumn id="2" xr3:uid="{53C4B2AD-6DF2-4C38-B367-D75E4F140400}" name="Remaining Story Points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060C8BF-1685-4899-AD5D-547274AB6CB4}" name="Table14" displayName="Table14" ref="A90:D91" totalsRowShown="0" headerRowDxfId="151" headerRowBorderDxfId="150" tableBorderDxfId="149">
  <autoFilter ref="A90:D91" xr:uid="{F060C8BF-1685-4899-AD5D-547274AB6CB4}"/>
  <tableColumns count="4">
    <tableColumn id="1" xr3:uid="{32CB4B71-A073-4379-90D0-A7E0BE74B111}" name="Sprint"/>
    <tableColumn id="2" xr3:uid="{297B3BF5-BCC2-4DD4-9F13-D8EF32381F8D}" name="What Went Well"/>
    <tableColumn id="3" xr3:uid="{0622FECF-A945-41B6-8B7B-55149CC9C867}" name="What Didn't Go Well"/>
    <tableColumn id="4" xr3:uid="{732EC9CE-0080-417A-8C0D-2126EFE58548}" name="Action Item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A6E6CC7-C1FB-4E16-AA47-E23AC962898F}" name="Table15" displayName="Table15" ref="A4:V5" totalsRowShown="0" headerRowDxfId="148" headerRowBorderDxfId="147" tableBorderDxfId="146">
  <autoFilter ref="A4:V5" xr:uid="{0A6E6CC7-C1FB-4E16-AA47-E23AC962898F}"/>
  <tableColumns count="22">
    <tableColumn id="1" xr3:uid="{0C6A02E1-96CC-42A2-904B-1600F54BA127}" name="Sprint Number"/>
    <tableColumn id="2" xr3:uid="{F2CE46C3-913C-4431-AB81-1F89F6124905}" name="Sprint Start Date"/>
    <tableColumn id="3" xr3:uid="{97D97E97-E7C9-427B-B4FE-4274C83706DF}" name="Sprint End Date"/>
    <tableColumn id="4" xr3:uid="{63E9C592-3B20-4E99-91F4-12CE4FA7E3E5}" name="Sprint Duration"/>
    <tableColumn id="5" xr3:uid="{F18E0EF7-3920-4DFB-91B9-A3D315C87976}" name="Sprint Goal"/>
    <tableColumn id="6" xr3:uid="{855ADB4B-BC27-424B-AF95-6C385D425E67}" name="Budget Allocated (Rs)"/>
    <tableColumn id="7" xr3:uid="{AE359368-BC87-43F6-978C-848C6F1A94B9}" name="BA Salary (Rs)"/>
    <tableColumn id="8" xr3:uid="{533F5863-E598-4ECF-B767-94156DC7A8B5}" name="Python Dev 1 Salary (Rs)"/>
    <tableColumn id="9" xr3:uid="{A90435FB-FF45-4FC8-8A2C-5BE2CAD724AC}" name="Python Dev 2 Salary (Rs)"/>
    <tableColumn id="10" xr3:uid="{D50F4424-237A-47DE-9BF0-F645EFF5E67F}" name="Tester Salary (Rs)"/>
    <tableColumn id="11" xr3:uid="{F3FD5930-96C2-44F9-8412-2BE96053F646}" name="Data Analyst Salary (Rs)"/>
    <tableColumn id="12" xr3:uid="{4EA65D54-0C6E-4761-A42C-1550FA856881}" name="Total Salary Expense (Rs)">
      <calculatedColumnFormula>SUM(Table15[[#This Row],[BA Salary (Rs)]:[Data Analyst Salary (Rs)]])</calculatedColumnFormula>
    </tableColumn>
    <tableColumn id="13" xr3:uid="{1788AC75-68D3-400E-8B64-0F804334149A}" name="Operational Cost (Rs)"/>
    <tableColumn id="14" xr3:uid="{B5C54993-2455-4F06-B432-A340F2766EEA}" name="Total Cost (Rs)">
      <calculatedColumnFormula>SUM(Table15[[#This Row],[Total Salary Expense (Rs)]:[Operational Cost (Rs)]])</calculatedColumnFormula>
    </tableColumn>
    <tableColumn id="15" xr3:uid="{41BD6E30-C669-4970-B286-34793630D5E0}" name="Contingency (%)"/>
    <tableColumn id="16" xr3:uid="{F61E9039-DAC5-4C20-8C66-A91BFCA402D4}" name="Contingency Amount (Rs)">
      <calculatedColumnFormula>Table15[[#This Row],[Total Cost (Rs)]]*Table15[[#This Row],[Contingency (%)]]/100</calculatedColumnFormula>
    </tableColumn>
    <tableColumn id="17" xr3:uid="{D653B0FF-F9FB-41E9-B61F-8F148B75863D}" name="Revised Total Cost (Rs)">
      <calculatedColumnFormula>Table15[[#This Row],[Total Cost (Rs)]]+Table15[[#This Row],[Contingency Amount (Rs)]]</calculatedColumnFormula>
    </tableColumn>
    <tableColumn id="18" xr3:uid="{A853EA98-2CD7-4947-A652-384FD2C3F5C7}" name="Profit (Rs)">
      <calculatedColumnFormula>Table15[[#This Row],[Budget Allocated (Rs)]]-Table15[[#This Row],[Total Cost (Rs)]]</calculatedColumnFormula>
    </tableColumn>
    <tableColumn id="19" xr3:uid="{D2AD2C0C-501E-4803-9B5E-113E55DB87B2}" name="Revised Profit (Rs)">
      <calculatedColumnFormula>Table15[[#This Row],[Budget Allocated (Rs)]]-Table15[[#This Row],[Revised Total Cost (Rs)]]</calculatedColumnFormula>
    </tableColumn>
    <tableColumn id="20" xr3:uid="{25E8A8A4-C782-440E-9D2D-E44F4EE028BB}" name="Revenue (Rs)">
      <calculatedColumnFormula>SUM(Table15[[#This Row],[Total Cost (Rs)]],Table15[[#This Row],[Profit (Rs)]])</calculatedColumnFormula>
    </tableColumn>
    <tableColumn id="21" xr3:uid="{11664362-7A8B-43FE-898D-D2620CB24849}" name="Revised Revenue (Rs)">
      <calculatedColumnFormula>SUM(Table15[[#This Row],[Revised Total Cost (Rs)]],Table15[[#This Row],[Revised Profit (Rs)]])</calculatedColumnFormula>
    </tableColumn>
    <tableColumn id="22" xr3:uid="{BCDA7A87-FC1D-452B-8893-55F37B6463ED}" name="Velocity (Story Points Completed)" dataDxfId="145">
      <calculatedColumnFormula>SUM('Sprint 1'!B54,'Sprint 2'!B52,'Sprint 3'!B43)/3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B5415F2-56E9-4991-8DF9-5AB0A5196C6E}" name="Table16" displayName="Table16" ref="A9:L10" totalsRowShown="0" headerRowDxfId="144" headerRowBorderDxfId="143" tableBorderDxfId="142">
  <autoFilter ref="A9:L10" xr:uid="{0B5415F2-56E9-4991-8DF9-5AB0A5196C6E}"/>
  <tableColumns count="12">
    <tableColumn id="1" xr3:uid="{E9C9FC1E-4033-4E51-AA7C-2CEB2E2C6ABA}" name="ID"/>
    <tableColumn id="2" xr3:uid="{E9A4CD18-8C86-4B62-BAA1-83734B2955C6}" name="User Story"/>
    <tableColumn id="3" xr3:uid="{DF2903E8-4855-4FE8-8A01-2FBC89AEE217}" name="Description"/>
    <tableColumn id="4" xr3:uid="{22C70011-353B-417E-8C37-09886789760F}" name="Priority"/>
    <tableColumn id="5" xr3:uid="{92B5C654-90CA-4DBB-9AF9-AD4596373438}" name="Status"/>
    <tableColumn id="6" xr3:uid="{160D27D9-6B23-4349-9D36-1307B8C15032}" name="Estimation (Story Points)"/>
    <tableColumn id="7" xr3:uid="{B1DADDFA-F22C-4518-950B-2FF42E6EBD9E}" name="Planned Sprint"/>
    <tableColumn id="8" xr3:uid="{C33CF429-42F0-44F9-BD15-56A85E18D848}" name="Acceptance Criteria"/>
    <tableColumn id="9" xr3:uid="{566C66A0-E987-4C4C-9226-1290CFC63ACD}" name="Tasks"/>
    <tableColumn id="10" xr3:uid="{C093C799-7AC4-4F3B-8E83-995C8A632960}" name="Dependencies"/>
    <tableColumn id="11" xr3:uid="{85FB1306-5B1D-4199-A721-ECF2F6F83BDE}" name="Risks"/>
    <tableColumn id="12" xr3:uid="{054D0D4D-2C3C-4C75-968A-4A5C7E7021F7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8462E85-48A5-4787-8196-C8A2FEAB8DCF}" name="Table17" displayName="Table17" ref="A14:M28" totalsRowShown="0" headerRowDxfId="141" headerRowBorderDxfId="140" tableBorderDxfId="139">
  <autoFilter ref="A14:M28" xr:uid="{A8462E85-48A5-4787-8196-C8A2FEAB8DCF}"/>
  <tableColumns count="13">
    <tableColumn id="1" xr3:uid="{298E57A8-E7D1-4DFE-B958-D135CB840F56}" name="Date"/>
    <tableColumn id="2" xr3:uid="{A99872E3-8781-4E69-ABEB-AC50FA47179F}" name="Day"/>
    <tableColumn id="3" xr3:uid="{F6F48B42-D054-4310-9859-481BFC607009}" name="Week"/>
    <tableColumn id="4" xr3:uid="{F3FE1E0A-363E-4635-A0AA-DA49EF75718C}" name="BA Attendance"/>
    <tableColumn id="5" xr3:uid="{371CC820-DA73-4E84-862F-A4B71654F5D8}" name="BA Hours"/>
    <tableColumn id="6" xr3:uid="{F03897B7-ADDC-4CEC-94B9-142C633A8651}" name="Python Dev 1 Attendance"/>
    <tableColumn id="7" xr3:uid="{0DBE491C-B7C2-41D1-8190-A6B30C224097}" name="Python Dev 1 Hours"/>
    <tableColumn id="8" xr3:uid="{ADD4B18A-6341-41DF-988B-EE97ACC941F5}" name="Python Dev 2 Attendance"/>
    <tableColumn id="9" xr3:uid="{CC29F029-F8FD-4185-9EC5-57497720B40C}" name="Python Dev 2 Hours"/>
    <tableColumn id="10" xr3:uid="{20D5E096-6E16-445F-9373-D05DF3310351}" name="Tester Attendance"/>
    <tableColumn id="11" xr3:uid="{AD9F8F88-21DC-4A9C-BA6A-20B7A6CB1CA0}" name="Tester Hours"/>
    <tableColumn id="12" xr3:uid="{05BC7555-0CF5-4756-8C99-31E88887BC84}" name="Data Analyst Attendance"/>
    <tableColumn id="13" xr3:uid="{543A24D3-0960-4B73-9E64-FA44322439CD}" name="Data Analyst Hour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A6BA9B-61DB-46CC-9995-20005379519F}" name="Table18" displayName="Table18" ref="A33:C38" totalsRowShown="0" headerRowDxfId="138" headerRowBorderDxfId="137" tableBorderDxfId="136">
  <autoFilter ref="A33:C38" xr:uid="{FDA6BA9B-61DB-46CC-9995-20005379519F}"/>
  <tableColumns count="3">
    <tableColumn id="1" xr3:uid="{B92CF14F-34BE-4553-8CE0-A0584C4BCBC2}" name="Worker"/>
    <tableColumn id="2" xr3:uid="{AE1873FB-E8D6-4893-9BE2-BE6BE1F6997D}" name="Present"/>
    <tableColumn id="3" xr3:uid="{9757D77C-438E-4068-8798-234FC190F965}" name="Absent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64BC053-1D96-4E20-9DC7-6C24C24FB95B}" name="Table19" displayName="Table19" ref="A42:B44" totalsRowShown="0" headerRowDxfId="135" headerRowBorderDxfId="134" tableBorderDxfId="133">
  <autoFilter ref="A42:B44" xr:uid="{A64BC053-1D96-4E20-9DC7-6C24C24FB95B}"/>
  <tableColumns count="2">
    <tableColumn id="1" xr3:uid="{19EE6426-926B-4FC6-90D5-84AE29EE7B3B}" name="Metric"/>
    <tableColumn id="2" xr3:uid="{322CF2C6-42F4-45F1-A383-1A48C0BD2893}" name="Value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57EC23B-40B1-4427-B38C-197D2BA128ED}" name="Table20" displayName="Table20" ref="A59:B74" totalsRowShown="0" headerRowDxfId="132" headerRowBorderDxfId="131" tableBorderDxfId="130">
  <autoFilter ref="A59:B74" xr:uid="{157EC23B-40B1-4427-B38C-197D2BA128ED}"/>
  <tableColumns count="2">
    <tableColumn id="1" xr3:uid="{51D7315F-A39C-4186-ABF8-65C370B63FEE}" name="Date"/>
    <tableColumn id="2" xr3:uid="{A03BEA1F-AE43-4665-B167-E32D87B17614}" name="Remaining Story Point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E8039B2-19BF-4C63-8733-32FAF305C60F}" name="Table21" displayName="Table21" ref="A81:D82" totalsRowShown="0" headerRowDxfId="129" headerRowBorderDxfId="128" tableBorderDxfId="127">
  <autoFilter ref="A81:D82" xr:uid="{8E8039B2-19BF-4C63-8733-32FAF305C60F}"/>
  <tableColumns count="4">
    <tableColumn id="1" xr3:uid="{2B66D013-A3A8-40F5-A953-A56257792921}" name="Sprint"/>
    <tableColumn id="2" xr3:uid="{D5240DBD-EA32-4FC8-9A64-3AEDB21D0290}" name="What Went Well"/>
    <tableColumn id="3" xr3:uid="{4415FB68-7633-446F-8475-1967B72D982F}" name="What Didn't Go Well"/>
    <tableColumn id="4" xr3:uid="{92850C80-81E2-424D-81BF-630340FEA194}" name="Action Item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FBC785-0E06-4966-8B69-38E437FCBEE0}" name="Table22" displayName="Table22" ref="A4:V5" totalsRowShown="0" headerRowDxfId="126" headerRowBorderDxfId="125" tableBorderDxfId="124">
  <autoFilter ref="A4:V5" xr:uid="{31FBC785-0E06-4966-8B69-38E437FCBEE0}"/>
  <tableColumns count="22">
    <tableColumn id="1" xr3:uid="{C4AA847A-7047-449C-8FB2-70E63ABE3E56}" name="Sprint Number"/>
    <tableColumn id="2" xr3:uid="{329630D2-365F-45F5-AB3D-FF171AB6E3FE}" name="Sprint Start Date"/>
    <tableColumn id="3" xr3:uid="{1F461B89-9F08-4586-A2C6-32558D6A3038}" name="Sprint End Date"/>
    <tableColumn id="4" xr3:uid="{AACF0F49-1843-435B-A02D-6A9FE878EB70}" name="Sprint Duration"/>
    <tableColumn id="5" xr3:uid="{7455E49F-7232-4B62-9752-E6DEEE3209BC}" name="Sprint Goal"/>
    <tableColumn id="6" xr3:uid="{A0E902E7-801C-4F46-AB15-CE1F9D1FF087}" name="Budget Allocated (Rs)"/>
    <tableColumn id="7" xr3:uid="{3BDE9A0A-F930-41ED-BBC0-88C3E79D9CBD}" name="BA Salary (Rs)"/>
    <tableColumn id="8" xr3:uid="{721B4719-C4E0-4E86-94DE-0F084D449918}" name="Python Dev 1 Salary (Rs)"/>
    <tableColumn id="9" xr3:uid="{E634064E-DAB7-4E13-BE7A-66E5AB9849C0}" name="Python Dev 2 Salary (Rs)"/>
    <tableColumn id="10" xr3:uid="{D83D5886-B970-4F67-A2B4-09516F339DBA}" name="Tester Salary (Rs)"/>
    <tableColumn id="11" xr3:uid="{84611DF4-ABFF-4C2C-85B0-5A8DFC885787}" name="Data Analyst Salary (Rs)"/>
    <tableColumn id="12" xr3:uid="{6212566E-F991-44A8-B193-93EA389DAA5C}" name="Total Salary Expense (Rs)">
      <calculatedColumnFormula>SUM(Table22[[#This Row],[BA Salary (Rs)]:[Data Analyst Salary (Rs)]])</calculatedColumnFormula>
    </tableColumn>
    <tableColumn id="13" xr3:uid="{EE441F2D-8B5A-4BBA-972E-343DF2414FE2}" name="Operational Cost (Rs)"/>
    <tableColumn id="14" xr3:uid="{B60070E8-323B-459A-85ED-C6FCE9AAE054}" name="Total Cost (Rs)">
      <calculatedColumnFormula>SUM(Table22[[#This Row],[Total Salary Expense (Rs)]:[Operational Cost (Rs)]])</calculatedColumnFormula>
    </tableColumn>
    <tableColumn id="15" xr3:uid="{5C1DDA79-94CE-4D3C-A1FE-70B7483C6059}" name="Contingency (%)"/>
    <tableColumn id="16" xr3:uid="{8A85B74D-98AB-4C5E-9771-CCF235B06F8E}" name="Contingency Amount (Rs)">
      <calculatedColumnFormula>Table22[[#This Row],[Total Cost (Rs)]]*Table22[[#This Row],[Contingency (%)]]/100</calculatedColumnFormula>
    </tableColumn>
    <tableColumn id="17" xr3:uid="{FDE6B5E7-C96B-406A-B18B-3BD4891592C5}" name="Revised Total Cost (Rs)">
      <calculatedColumnFormula>SUM(Table22[[#This Row],[Total Cost (Rs)]],Table22[[#This Row],[Contingency Amount (Rs)]])</calculatedColumnFormula>
    </tableColumn>
    <tableColumn id="18" xr3:uid="{2E791099-0E1C-46E9-B7A6-CAD0F38BBF8B}" name="Profit (Rs)">
      <calculatedColumnFormula>Table22[[#This Row],[Budget Allocated (Rs)]]-Table22[[#This Row],[Total Cost (Rs)]]</calculatedColumnFormula>
    </tableColumn>
    <tableColumn id="19" xr3:uid="{292B82C6-EE22-4E3B-B2A1-1CB4FF012DA7}" name="Revised Profit (Rs)">
      <calculatedColumnFormula>Table22[[#This Row],[Budget Allocated (Rs)]]-Table22[[#This Row],[Revised Total Cost (Rs)]]</calculatedColumnFormula>
    </tableColumn>
    <tableColumn id="20" xr3:uid="{F0276ABB-2FAD-4D74-871A-7BE19DBBE81C}" name="Revenue (Rs)">
      <calculatedColumnFormula>SUM(Table22[[#This Row],[Total Cost (Rs)]],Table22[[#This Row],[Profit (Rs)]])</calculatedColumnFormula>
    </tableColumn>
    <tableColumn id="21" xr3:uid="{FABDB551-B38E-4E3F-9341-833082537C1A}" name="Revised Revenue (Rs)">
      <calculatedColumnFormula>SUM(Table22[[#This Row],[Revised Total Cost (Rs)]],Table22[[#This Row],[Revised Profit (Rs)]])</calculatedColumnFormula>
    </tableColumn>
    <tableColumn id="22" xr3:uid="{B7F2AF79-06A8-46DC-AAC4-A9FF96C3844B}" name="Velocity (Story Points Completed)">
      <calculatedColumnFormula>SUM('Sprint 1'!B54,'Sprint 2'!B52,'Sprint 3'!B43,'Sprint 4'!B42)/4</calculatedColumnFormula>
    </tableColumn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C5843EE-0496-40CF-AC32-98AA94E6DCB6}" name="Table23" displayName="Table23" ref="A9:L10" totalsRowShown="0" headerRowDxfId="123" headerRowBorderDxfId="122" tableBorderDxfId="121">
  <autoFilter ref="A9:L10" xr:uid="{4C5843EE-0496-40CF-AC32-98AA94E6DCB6}"/>
  <tableColumns count="12">
    <tableColumn id="1" xr3:uid="{841C8E9F-8F0D-44AE-9074-EE29D1FA9F59}" name="ID"/>
    <tableColumn id="2" xr3:uid="{F20B5AB5-BBE6-4952-823E-B718345A0B1F}" name="User Story"/>
    <tableColumn id="3" xr3:uid="{2A2A7ACB-B84C-4F45-BD01-0F2D701077A7}" name="Description"/>
    <tableColumn id="4" xr3:uid="{798F41F7-7DCE-4AC4-95B5-9C907A252294}" name="Priority"/>
    <tableColumn id="5" xr3:uid="{03EE0573-5D6E-4C9A-B88E-1DEBB6540C2D}" name="Status"/>
    <tableColumn id="6" xr3:uid="{F905B7B2-62A8-4539-B017-814E55DBEC1A}" name="Estimation (Story Points)"/>
    <tableColumn id="7" xr3:uid="{1AAA4507-BB6B-4776-A419-327D09323C2C}" name="Planned Sprint"/>
    <tableColumn id="8" xr3:uid="{A1B82A15-2DF0-4970-8F1E-A4F4B2E74E30}" name="Acceptance Criteria"/>
    <tableColumn id="9" xr3:uid="{C5CD946F-633B-4843-990B-E274E5350B30}" name="Tasks"/>
    <tableColumn id="10" xr3:uid="{60FED919-2DD2-4D65-8812-1F2891C68123}" name="Dependencies"/>
    <tableColumn id="11" xr3:uid="{66575ADF-0C65-4A26-9819-396A1C464E63}" name="Risks"/>
    <tableColumn id="12" xr3:uid="{B7C2ABCB-E339-40F4-834B-87DA17BCC2AA}" name="Not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7FD424-3B8B-48FD-8856-0ABD00F10FAF}" name="Table24" displayName="Table24" ref="A14:M28" totalsRowShown="0" headerRowDxfId="120" headerRowBorderDxfId="119" tableBorderDxfId="118">
  <autoFilter ref="A14:M28" xr:uid="{ED7FD424-3B8B-48FD-8856-0ABD00F10FAF}"/>
  <tableColumns count="13">
    <tableColumn id="1" xr3:uid="{FB780122-56AE-4A20-B1FF-39EADB241F12}" name="Date"/>
    <tableColumn id="2" xr3:uid="{1E17B991-7B37-4F77-B7D5-8091BA2EDB49}" name="Day"/>
    <tableColumn id="3" xr3:uid="{1D1B6487-3734-472F-AC24-DCDA256B822C}" name="Week"/>
    <tableColumn id="4" xr3:uid="{AE223E56-A6FB-4FB8-8954-EB6ABB25FEE2}" name="BA Attendance"/>
    <tableColumn id="5" xr3:uid="{70725A8F-41D8-402E-9186-4A6E4F0FECA6}" name="BA Hours"/>
    <tableColumn id="6" xr3:uid="{8F06C995-5379-420A-B028-CDFB4D2E3797}" name="Python Dev 1 Attendance"/>
    <tableColumn id="7" xr3:uid="{13E55808-2EFF-49BA-8D67-C617E125DE49}" name="Python Dev 1 Hours"/>
    <tableColumn id="8" xr3:uid="{BE459D32-84D8-4184-8638-4D3729BB8FD7}" name="Python Dev 2 Attendance"/>
    <tableColumn id="9" xr3:uid="{38D4DB22-B205-4764-868D-C359D9FBEDBE}" name="Python Dev 2 Hours"/>
    <tableColumn id="10" xr3:uid="{42AB6C18-8F51-4EC2-9501-5D785047E49F}" name="Tester Attendance"/>
    <tableColumn id="11" xr3:uid="{C6D432EB-283A-43E6-A2B2-DC5C2078FA48}" name="Tester Hours"/>
    <tableColumn id="12" xr3:uid="{2682EBFF-C21E-4252-A7F7-81FF47C7AA47}" name="Data Analyst Attendance"/>
    <tableColumn id="13" xr3:uid="{1D5C73BA-41A1-44F2-8F16-9C454E48BE69}" name="Data Analyst Hours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47BCD02-8A83-4CA0-89DE-2CCE6C46748C}" name="Table25" displayName="Table25" ref="A32:C37" totalsRowShown="0" headerRowDxfId="117" headerRowBorderDxfId="116" tableBorderDxfId="115">
  <autoFilter ref="A32:C37" xr:uid="{F47BCD02-8A83-4CA0-89DE-2CCE6C46748C}"/>
  <tableColumns count="3">
    <tableColumn id="1" xr3:uid="{25ECD3AD-311E-4E80-9B8C-8F05D2B785D7}" name="Worker"/>
    <tableColumn id="2" xr3:uid="{05835153-638A-4E04-90D1-9EC908A9AADE}" name="Present"/>
    <tableColumn id="3" xr3:uid="{698EA288-2246-4695-AB9D-0254C2BE81C7}" name="Absent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16DA4A-A0C0-45FB-87F9-1C97E24334B4}" name="Table26" displayName="Table26" ref="A41:B43" totalsRowShown="0" headerRowDxfId="114" headerRowBorderDxfId="113" tableBorderDxfId="112">
  <autoFilter ref="A41:B43" xr:uid="{2616DA4A-A0C0-45FB-87F9-1C97E24334B4}"/>
  <tableColumns count="2">
    <tableColumn id="1" xr3:uid="{70F8F23D-D7FF-4B81-8A84-6E741A6841DE}" name="Metric"/>
    <tableColumn id="2" xr3:uid="{522BDFCB-77CB-4F76-8A0C-D2A384E6C052}" name="Value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91F38F-4181-41C8-8A82-1DC3C4AFD87B}" name="Table27" displayName="Table27" ref="A63:B78" totalsRowShown="0" headerRowDxfId="111" headerRowBorderDxfId="110" tableBorderDxfId="109">
  <autoFilter ref="A63:B78" xr:uid="{5591F38F-4181-41C8-8A82-1DC3C4AFD87B}"/>
  <tableColumns count="2">
    <tableColumn id="1" xr3:uid="{DD2D4334-7797-475D-AD30-B30A2D7BC581}" name="Date"/>
    <tableColumn id="2" xr3:uid="{972401B7-5A62-4FCC-A5E9-EA39B8D9F528}" name="Remaining Story Points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1F1BF70-5D55-4305-8E55-0B3802CDFD5F}" name="Table28" displayName="Table28" ref="A87:D88" totalsRowShown="0" headerRowDxfId="108" headerRowBorderDxfId="107" tableBorderDxfId="106">
  <autoFilter ref="A87:D88" xr:uid="{21F1BF70-5D55-4305-8E55-0B3802CDFD5F}"/>
  <tableColumns count="4">
    <tableColumn id="1" xr3:uid="{4E94A60E-FC0C-4258-9339-BD225FB57777}" name="Sprint"/>
    <tableColumn id="2" xr3:uid="{C61E830F-3327-4F46-8548-A8255E1CFC8B}" name="What Went Well"/>
    <tableColumn id="3" xr3:uid="{FC334B56-2359-419F-8024-607879897AD3}" name="What Didn't Go Well"/>
    <tableColumn id="4" xr3:uid="{897F7BD3-8B01-4A82-8F16-ECE4DDFF7435}" name="Action Items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F0480F7-D8E5-4494-9359-ADF4398CD76F}" name="Table29" displayName="Table29" ref="A4:V5" totalsRowShown="0" headerRowDxfId="105" headerRowBorderDxfId="104" tableBorderDxfId="103">
  <autoFilter ref="A4:V5" xr:uid="{3F0480F7-D8E5-4494-9359-ADF4398CD76F}"/>
  <tableColumns count="22">
    <tableColumn id="1" xr3:uid="{00089EA2-2620-4822-BA2D-484E499EEDA0}" name="Sprint Number"/>
    <tableColumn id="2" xr3:uid="{C86635EE-12B2-4D16-979D-D441EFD04D19}" name="Sprint Start Date"/>
    <tableColumn id="3" xr3:uid="{8CFAD947-1A67-41ED-8B7C-3413656027EA}" name="Sprint End Date"/>
    <tableColumn id="4" xr3:uid="{6560E3F5-1CDC-4C37-B9B4-3E4EDFCE0CA0}" name="Sprint Duration"/>
    <tableColumn id="5" xr3:uid="{3A1BB6F0-7A05-4671-B8BD-302376CE23A6}" name="Sprint Goal"/>
    <tableColumn id="6" xr3:uid="{7F7391F2-607D-49B8-9407-5A1F0E9A45A8}" name="Budget Allocated (Rs)"/>
    <tableColumn id="7" xr3:uid="{179CC540-42B4-4FB2-9B05-48AFB3D4167F}" name="BA Salary (Rs)"/>
    <tableColumn id="8" xr3:uid="{6C5FFFFA-4C19-4416-8A45-F1A9AACF60DB}" name="Python Dev 1 Salary (Rs)"/>
    <tableColumn id="9" xr3:uid="{B7EFD4B5-F1AB-4EBA-9C24-74AA48942758}" name="Python Dev 2 Salary (Rs)"/>
    <tableColumn id="10" xr3:uid="{8FC55316-B56D-40D5-B4F0-6E678DD72205}" name="Tester Salary (Rs)"/>
    <tableColumn id="11" xr3:uid="{5AB41237-99E0-490C-9813-02047F07270D}" name="Data Analyst Salary (Rs)"/>
    <tableColumn id="12" xr3:uid="{2738AF50-56F7-4FF5-9910-C4AFB60715B1}" name="Total Salary Expense (Rs)">
      <calculatedColumnFormula>SUM(Table29[[#This Row],[BA Salary (Rs)]:[Data Analyst Salary (Rs)]])</calculatedColumnFormula>
    </tableColumn>
    <tableColumn id="13" xr3:uid="{52312D4A-3771-4FCD-B62B-EAB264EF68B6}" name="Operational Cost (Rs)"/>
    <tableColumn id="14" xr3:uid="{01C16E77-5BA0-4494-AC8A-4000B886608D}" name="Total Cost (Rs)">
      <calculatedColumnFormula>SUM(Table29[[#This Row],[Total Salary Expense (Rs)]],Table29[[#This Row],[Operational Cost (Rs)]])</calculatedColumnFormula>
    </tableColumn>
    <tableColumn id="15" xr3:uid="{4BB464E3-3331-4934-8912-52715E5CE5B6}" name="Contingency (%)"/>
    <tableColumn id="16" xr3:uid="{5F9D1E0A-5258-4FA4-B080-C71D895F0743}" name="Contingency Amount (Rs)">
      <calculatedColumnFormula>Table29[[#This Row],[Total Cost (Rs)]]*5/100</calculatedColumnFormula>
    </tableColumn>
    <tableColumn id="17" xr3:uid="{3D413B5C-0C07-44E8-A2F3-1B67499427F2}" name="Revised Total Cost (Rs)">
      <calculatedColumnFormula>SUM(Table29[[#This Row],[Total Cost (Rs)]],Table29[[#This Row],[Contingency Amount (Rs)]])</calculatedColumnFormula>
    </tableColumn>
    <tableColumn id="18" xr3:uid="{CC76B4EB-EAF9-435A-848E-B7108964A5C9}" name="Profit (Rs)">
      <calculatedColumnFormula>Table29[[#This Row],[Budget Allocated (Rs)]]-Table29[[#This Row],[Total Cost (Rs)]]</calculatedColumnFormula>
    </tableColumn>
    <tableColumn id="19" xr3:uid="{F7887328-D584-4ADF-94D6-5928AE981EF1}" name="Revised Profit (Rs)">
      <calculatedColumnFormula>Table29[[#This Row],[Budget Allocated (Rs)]]-Table29[[#This Row],[Revised Total Cost (Rs)]]</calculatedColumnFormula>
    </tableColumn>
    <tableColumn id="20" xr3:uid="{A8316A20-4C76-4BE7-B8E2-A5315B2DE8CA}" name="Revenue (Rs)">
      <calculatedColumnFormula>SUM(Table29[[#This Row],[Total Cost (Rs)]],Table29[[#This Row],[Profit (Rs)]])</calculatedColumnFormula>
    </tableColumn>
    <tableColumn id="21" xr3:uid="{CE75B1B3-901E-434A-9956-94EAAFFF649F}" name="Revised Revenue (Rs)">
      <calculatedColumnFormula>SUM(Table29[[#This Row],[Revised Total Cost (Rs)]],Table29[[#This Row],[Revised Profit (Rs)]])</calculatedColumnFormula>
    </tableColumn>
    <tableColumn id="22" xr3:uid="{65098C51-843A-4D2F-9A07-DE7A952264FC}" name="Velocity (Story Points Completed)" dataDxfId="102">
      <calculatedColumnFormula>SUM('Sprint 1'!B54,'Sprint 2'!B52,'Sprint 3'!B43,'Sprint 4'!B42,'Sprint 5'!B53)/5</calculatedColumnFormula>
    </tableColumn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D5ED08D-E4F7-4261-B206-411AF4D1954D}" name="Table30" displayName="Table30" ref="A10:L11" totalsRowShown="0" headerRowDxfId="101" headerRowBorderDxfId="100" tableBorderDxfId="99">
  <autoFilter ref="A10:L11" xr:uid="{BD5ED08D-E4F7-4261-B206-411AF4D1954D}"/>
  <tableColumns count="12">
    <tableColumn id="1" xr3:uid="{174EA148-20E3-4631-B5A5-4B1832A4DDFE}" name="ID"/>
    <tableColumn id="2" xr3:uid="{B89F9CE9-2FB0-40BB-AC2A-43DBED0195FF}" name="User Story"/>
    <tableColumn id="3" xr3:uid="{D7BB26E0-4B53-43F2-86D7-D6695026808D}" name="Description"/>
    <tableColumn id="4" xr3:uid="{FD29971A-B030-478E-B005-2645C4B1724C}" name="Priority"/>
    <tableColumn id="5" xr3:uid="{E73C826D-7043-4AB8-9C5D-36E00E9321E2}" name="Status"/>
    <tableColumn id="6" xr3:uid="{F704DFCB-293A-4398-9572-E6FE0EE136B7}" name="Estimation (Story Points)"/>
    <tableColumn id="7" xr3:uid="{322A5532-F5CB-422D-AA6F-BA4CC35BD475}" name="Planned Sprint"/>
    <tableColumn id="8" xr3:uid="{866068C7-8D37-49FA-8584-71FD84A6C5C1}" name="Acceptance Criteria"/>
    <tableColumn id="9" xr3:uid="{B5DF564D-E7F6-4370-B5CB-3023BE1E9B00}" name="Tasks"/>
    <tableColumn id="10" xr3:uid="{9D5EB249-0133-430A-B3B0-3FFA1DAFAE89}" name="Dependencies"/>
    <tableColumn id="11" xr3:uid="{A7657F4E-D172-4EFD-AB8F-7980E0F7A68D}" name="Risks"/>
    <tableColumn id="12" xr3:uid="{687648F9-9C84-4A26-A27B-C4526D92453B}" name="Notes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527F0E7-03B0-435C-8148-F1125C1F3793}" name="Table31" displayName="Table31" ref="A15:M29" totalsRowShown="0" headerRowDxfId="98" headerRowBorderDxfId="97" tableBorderDxfId="96">
  <autoFilter ref="A15:M29" xr:uid="{4527F0E7-03B0-435C-8148-F1125C1F3793}"/>
  <tableColumns count="13">
    <tableColumn id="1" xr3:uid="{0CFD0D8B-0984-4624-9445-11A00AF85844}" name="Date"/>
    <tableColumn id="2" xr3:uid="{C5455098-2F23-4590-B105-9037562033EA}" name="Day"/>
    <tableColumn id="3" xr3:uid="{6733BCE0-8F9F-4F87-BDD0-26D46F2A4CBA}" name="Week"/>
    <tableColumn id="4" xr3:uid="{BEB2447D-6CEE-4113-AFC9-EB4981831180}" name="BA Attendance"/>
    <tableColumn id="5" xr3:uid="{B48F8A19-C4C8-4D20-9AFB-99A9CD99F0E2}" name="BA Hours"/>
    <tableColumn id="6" xr3:uid="{E0FA0CE9-C399-478F-8A14-421A9C031EBC}" name="Python Dev 1 Attendance"/>
    <tableColumn id="7" xr3:uid="{94116341-BEDE-42CE-9E8C-9E9D417576DE}" name="Python Dev 1 Hours"/>
    <tableColumn id="8" xr3:uid="{A52FFF64-BC71-4AF8-A207-606B6B73C094}" name="Python Dev 2 Attendance"/>
    <tableColumn id="9" xr3:uid="{79199B88-E5EE-4392-B4DB-237187A13E23}" name="Python Dev 2 Hours"/>
    <tableColumn id="10" xr3:uid="{97273377-F9B1-4171-B91F-AA26902A0CA5}" name="Tester Attendance"/>
    <tableColumn id="11" xr3:uid="{D669FC0A-51EB-45DE-8E05-BF7D915C53C8}" name="Tester Hours"/>
    <tableColumn id="12" xr3:uid="{E4DDEB38-3641-46B4-8643-C4FB900035B2}" name="Data Analyst Attendance"/>
    <tableColumn id="13" xr3:uid="{FB39B850-DDDE-40D3-A539-89A6B1180241}" name="Data Analyst Hours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5935247-32E6-43B0-A24D-7F8EF4298B1D}" name="Table32" displayName="Table32" ref="A34:C39" totalsRowShown="0" headerRowDxfId="95" headerRowBorderDxfId="94" tableBorderDxfId="93">
  <autoFilter ref="A34:C39" xr:uid="{95935247-32E6-43B0-A24D-7F8EF4298B1D}"/>
  <tableColumns count="3">
    <tableColumn id="1" xr3:uid="{B8151A37-2D83-44F1-9F5C-D3B6B90D7292}" name="Worker"/>
    <tableColumn id="2" xr3:uid="{B24CE574-D35A-4422-A6EE-0DBC38FF8AAC}" name="Present"/>
    <tableColumn id="3" xr3:uid="{E3896815-2B8C-446F-AC08-0E24867DF687}" name="Absent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B7A9544-47CA-4E68-A391-E4CB0A8868EC}" name="Table33" displayName="Table33" ref="A52:B54" totalsRowShown="0" headerRowDxfId="92" headerRowBorderDxfId="91" tableBorderDxfId="90">
  <autoFilter ref="A52:B54" xr:uid="{3B7A9544-47CA-4E68-A391-E4CB0A8868EC}"/>
  <tableColumns count="2">
    <tableColumn id="1" xr3:uid="{E6E83DF3-805D-4029-9DE2-B6ED7D44BBBF}" name="Metric"/>
    <tableColumn id="2" xr3:uid="{14A4014D-02E6-4ABD-BFB0-8D37852BCA0C}" name="Value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73CC8A1-E166-4003-955E-8C966C7D4105}" name="Table34" displayName="Table34" ref="A67:B82" totalsRowShown="0" headerRowDxfId="89" headerRowBorderDxfId="88" tableBorderDxfId="87">
  <autoFilter ref="A67:B82" xr:uid="{B73CC8A1-E166-4003-955E-8C966C7D4105}"/>
  <tableColumns count="2">
    <tableColumn id="1" xr3:uid="{20326EF5-BAA2-4063-8A7F-EB7FB30A8329}" name="Date"/>
    <tableColumn id="2" xr3:uid="{54CF53AA-BA10-4FBB-8013-04493EE1884E}" name="Remaining Story Points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DF83057-7D2E-4176-AA28-93207E5C10CF}" name="Table35" displayName="Table35" ref="A95:D96" totalsRowShown="0" headerRowDxfId="86" headerRowBorderDxfId="85" tableBorderDxfId="84">
  <autoFilter ref="A95:D96" xr:uid="{9DF83057-7D2E-4176-AA28-93207E5C10CF}"/>
  <tableColumns count="4">
    <tableColumn id="1" xr3:uid="{2CB4DE2F-2CD6-4EE5-B3A9-691368C0AFC6}" name="Sprint"/>
    <tableColumn id="2" xr3:uid="{44B9FE5E-B65D-4582-888B-2B34B5DFDFFD}" name="What Went Well"/>
    <tableColumn id="3" xr3:uid="{8656C5EB-8BA8-40B3-9F8C-BF1F86E831EA}" name="What Didn't Go Well"/>
    <tableColumn id="4" xr3:uid="{BD1D67BB-96B9-430E-9654-CD1226369041}" name="Action Items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E0D7815-AF32-45B2-B28D-E103551D1070}" name="Table36" displayName="Table36" ref="A4:V5" totalsRowShown="0" headerRowDxfId="83" headerRowBorderDxfId="82" tableBorderDxfId="81">
  <autoFilter ref="A4:V5" xr:uid="{9E0D7815-AF32-45B2-B28D-E103551D1070}"/>
  <tableColumns count="22">
    <tableColumn id="1" xr3:uid="{6091FC70-CAC8-4F4D-9DE0-1120DBB6025C}" name="Sprint Number"/>
    <tableColumn id="2" xr3:uid="{B9E1D7F3-8B74-49F5-A6E0-A42802EA766F}" name="Sprint Start Date"/>
    <tableColumn id="3" xr3:uid="{86133861-E722-4D61-8534-3E3373E322A7}" name="Sprint End Date"/>
    <tableColumn id="4" xr3:uid="{60A18D62-0FE5-4B89-BA68-185871315466}" name="Sprint Duration"/>
    <tableColumn id="5" xr3:uid="{591A4DEC-235F-4BD4-81E0-9E5D85F50D8B}" name="Sprint Goal"/>
    <tableColumn id="6" xr3:uid="{FBC16036-0CD2-4C52-840C-AB18F01B7563}" name="Budget Allocated (Rs)"/>
    <tableColumn id="7" xr3:uid="{F83F89E3-DBDF-4668-BB7C-FD8D6C2CC28C}" name="BA Salary (Rs)"/>
    <tableColumn id="8" xr3:uid="{5FFF39F2-191D-4750-BFB8-01FAEF49B19F}" name="Python Dev 1 Salary (Rs)"/>
    <tableColumn id="9" xr3:uid="{810CA0EF-DD44-44EF-88F3-3244C24EE76F}" name="Python Dev 2 Salary (Rs)"/>
    <tableColumn id="10" xr3:uid="{2ABC9235-7838-4108-A29B-378F04F0BC3C}" name="Tester Salary (Rs)"/>
    <tableColumn id="11" xr3:uid="{79DFF7B2-4799-4356-A651-5044F880AC97}" name="Data Analyst Salary (Rs)"/>
    <tableColumn id="12" xr3:uid="{91022E83-EB58-436A-9E57-DCC117CC49C5}" name="Total Salary Expense (Rs)">
      <calculatedColumnFormula>SUM(Table36[[#This Row],[BA Salary (Rs)]:[Data Analyst Salary (Rs)]])</calculatedColumnFormula>
    </tableColumn>
    <tableColumn id="13" xr3:uid="{AA85C1BB-6469-4C47-A2A7-6E7E2C89AFEF}" name="Operational Cost (Rs)"/>
    <tableColumn id="14" xr3:uid="{D2666E36-C4F7-47AA-8A52-72AB34B4E7C0}" name="Total Cost (Rs)">
      <calculatedColumnFormula>SUM(Table36[[#This Row],[Total Salary Expense (Rs)]:[Operational Cost (Rs)]])</calculatedColumnFormula>
    </tableColumn>
    <tableColumn id="15" xr3:uid="{2D20C9B7-7243-44B5-9499-51ECDA760DA5}" name="Contingency (%)"/>
    <tableColumn id="16" xr3:uid="{962C826A-E303-46AF-BAEA-A10B5DB4F5D0}" name="Contingency Amount (Rs)">
      <calculatedColumnFormula>Table36[[#This Row],[Total Cost (Rs)]]*Table36[[#This Row],[Contingency (%)]]/100</calculatedColumnFormula>
    </tableColumn>
    <tableColumn id="17" xr3:uid="{5987D126-6CA3-4F10-9BFA-22F2F2AD4C21}" name="Revised Total Cost (Rs)">
      <calculatedColumnFormula>SUM(Table36[[#This Row],[Total Cost (Rs)]],Table36[[#This Row],[Contingency Amount (Rs)]])</calculatedColumnFormula>
    </tableColumn>
    <tableColumn id="18" xr3:uid="{92C72930-5704-4487-A459-0A7CB53B6949}" name="Profit (Rs)">
      <calculatedColumnFormula>Table36[[#This Row],[Budget Allocated (Rs)]]-Table36[[#This Row],[Total Cost (Rs)]]</calculatedColumnFormula>
    </tableColumn>
    <tableColumn id="19" xr3:uid="{95ACD779-2C06-4F56-B0DC-B327E36C5F73}" name="Revised Profit (Rs)">
      <calculatedColumnFormula>Table36[[#This Row],[Budget Allocated (Rs)]]-Table36[[#This Row],[Revised Total Cost (Rs)]]</calculatedColumnFormula>
    </tableColumn>
    <tableColumn id="20" xr3:uid="{51DE1072-328D-4AF1-B1DE-861FD963F7D9}" name="Revenue (Rs)">
      <calculatedColumnFormula>SUM(Table36[[#This Row],[Total Cost (Rs)]],Table36[[#This Row],[Profit (Rs)]])</calculatedColumnFormula>
    </tableColumn>
    <tableColumn id="21" xr3:uid="{7AD97B64-D693-4742-B09F-C388E054E41B}" name="Revised Revenue (Rs)">
      <calculatedColumnFormula>SUM(Table36[[#This Row],[Revised Total Cost (Rs)]],Table36[[#This Row],[Revised Profit (Rs)]])</calculatedColumnFormula>
    </tableColumn>
    <tableColumn id="22" xr3:uid="{70C7E171-BA59-4335-9F12-0CD45449E328}" name="Velocity (Story Points Completed)" dataDxfId="80">
      <calculatedColumnFormula>SUM('Sprint 1'!B54,'Sprint 2'!B52,'Sprint 3'!B43,'Sprint 4'!B42,'Sprint 5'!B53,'Sprint 6'!B44)/6</calculatedColumnFormula>
    </tableColumn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F17A9F4-D9EB-4A27-96B3-7CFBD0D96953}" name="Table37" displayName="Table37" ref="A9:L10" totalsRowShown="0" headerRowDxfId="79" headerRowBorderDxfId="78" tableBorderDxfId="77">
  <autoFilter ref="A9:L10" xr:uid="{7F17A9F4-D9EB-4A27-96B3-7CFBD0D96953}"/>
  <tableColumns count="12">
    <tableColumn id="1" xr3:uid="{F813DA22-5168-4DEE-9616-08B603BA2CB0}" name="ID"/>
    <tableColumn id="2" xr3:uid="{00ED2591-F95C-4CE1-B103-491DE85B588A}" name="User Story"/>
    <tableColumn id="3" xr3:uid="{12C0FC7E-E452-40CE-B095-CEC30D31F34A}" name="Description"/>
    <tableColumn id="4" xr3:uid="{EC1248EE-715B-4711-85A5-82F731815196}" name="Priority"/>
    <tableColumn id="5" xr3:uid="{3A6B0953-75C1-434A-986D-E406FCE7AA6E}" name="Status"/>
    <tableColumn id="6" xr3:uid="{0A4D37DB-CCDC-4C23-BA24-9D6D9CA9DD2E}" name="Estimation (Story Points)"/>
    <tableColumn id="7" xr3:uid="{D2078B15-8905-4E0F-9024-A5577AE9F477}" name="Planned Sprint"/>
    <tableColumn id="8" xr3:uid="{59A4924B-5EE1-4B69-A5FE-0CFCF659EB69}" name="Acceptance Criteria"/>
    <tableColumn id="9" xr3:uid="{7E645E1E-7F1D-41EA-A11C-E340CE87DCB8}" name="Tasks"/>
    <tableColumn id="10" xr3:uid="{8BB49691-16D2-4164-BC8C-79DFE3F602AD}" name="Dependencies"/>
    <tableColumn id="11" xr3:uid="{9D081C25-24F2-4181-BD0B-A0A92FF28AE0}" name="Risks"/>
    <tableColumn id="12" xr3:uid="{AAB6D430-DBFD-4C9B-9A91-4604FF30703C}" name="Notes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1EB2913-323A-45E7-82AB-2EECCC6F4D0B}" name="Table38" displayName="Table38" ref="A15:M29" totalsRowShown="0" headerRowDxfId="76" headerRowBorderDxfId="75" tableBorderDxfId="74">
  <autoFilter ref="A15:M29" xr:uid="{91EB2913-323A-45E7-82AB-2EECCC6F4D0B}"/>
  <tableColumns count="13">
    <tableColumn id="1" xr3:uid="{F1879FB9-253F-489E-BCEC-942A32A9B143}" name="Date"/>
    <tableColumn id="2" xr3:uid="{0AC8F29C-7980-4829-91EC-12A25CD815FE}" name="Day"/>
    <tableColumn id="3" xr3:uid="{50CB3071-CA1F-421E-B55D-7F748D2F1696}" name="Week"/>
    <tableColumn id="4" xr3:uid="{801AFF03-1298-4893-ABB0-A9D024D9D1D2}" name="BA Attendance"/>
    <tableColumn id="5" xr3:uid="{E77AE897-0A51-4AC9-A119-3CC133F634B1}" name="BA Hours"/>
    <tableColumn id="6" xr3:uid="{2465BBFF-E9DB-4415-9695-BB5198DD140D}" name="Python Dev 1 Attendance"/>
    <tableColumn id="7" xr3:uid="{56D34E47-7FF5-4207-BB27-906D2080D402}" name="Python Dev 1 Hours"/>
    <tableColumn id="8" xr3:uid="{C05D4911-5DA8-4680-8554-B9E068D91770}" name="Python Dev 2 Attendance"/>
    <tableColumn id="9" xr3:uid="{9B316F84-BDF6-48AD-9918-54C6D7ADA2EA}" name="Python Dev 2 Hours"/>
    <tableColumn id="10" xr3:uid="{13D237F0-1786-4B52-89FB-91DD38FB3C3C}" name="Tester Attendance"/>
    <tableColumn id="11" xr3:uid="{BE102234-3544-4E2D-B541-9E55F890A41B}" name="Tester Hours"/>
    <tableColumn id="12" xr3:uid="{73FF45C9-7CB6-49AA-AACD-EA5A9C60AE49}" name="Data Analyst Attendance"/>
    <tableColumn id="13" xr3:uid="{D88CF9EF-49C8-415A-9343-74E52C211E7A}" name="Data Analyst Hours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A654392-7F31-4DC4-9A6F-9E5F85B687C3}" name="Table39" displayName="Table39" ref="A34:C39" totalsRowShown="0" headerRowDxfId="73" headerRowBorderDxfId="72" tableBorderDxfId="71">
  <autoFilter ref="A34:C39" xr:uid="{5A654392-7F31-4DC4-9A6F-9E5F85B687C3}"/>
  <tableColumns count="3">
    <tableColumn id="1" xr3:uid="{7F3B2A18-DD5E-4C40-932D-871AB5119E81}" name="Worker"/>
    <tableColumn id="2" xr3:uid="{0FAA559F-C62E-43D1-9655-577DF7C4CCC5}" name="Present"/>
    <tableColumn id="3" xr3:uid="{95E6FC6C-CEF0-4B78-8FDB-2BC00CF0DAEB}" name="Absent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3F1EA05-EF02-40E3-8E6E-A8B8E4186B14}" name="Table40" displayName="Table40" ref="A43:B45" totalsRowShown="0" headerRowDxfId="70" headerRowBorderDxfId="69" tableBorderDxfId="68">
  <autoFilter ref="A43:B45" xr:uid="{B3F1EA05-EF02-40E3-8E6E-A8B8E4186B14}"/>
  <tableColumns count="2">
    <tableColumn id="1" xr3:uid="{D73923B1-6763-4BFA-92FD-20A1D4033614}" name="Metric"/>
    <tableColumn id="2" xr3:uid="{2B0CE807-870F-4037-AE6D-231FE33038F9}" name="Value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89A7173-49E8-4D21-8359-F01C0B231DA8}" name="Table41" displayName="Table41" ref="A63:B78" totalsRowShown="0" headerRowDxfId="67" headerRowBorderDxfId="66" tableBorderDxfId="65">
  <autoFilter ref="A63:B78" xr:uid="{C89A7173-49E8-4D21-8359-F01C0B231DA8}"/>
  <tableColumns count="2">
    <tableColumn id="1" xr3:uid="{650058B1-F597-4AFB-918D-F8620E4D888B}" name="Date"/>
    <tableColumn id="2" xr3:uid="{C89FEDF5-64AD-4F84-9C82-88CA37D9A8B9}" name="Remaining Story Points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945CA85-C1FA-4478-A43B-5DC7D3E85FE8}" name="Table42" displayName="Table42" ref="A88:D89" totalsRowShown="0" headerRowDxfId="64" headerRowBorderDxfId="63" tableBorderDxfId="62">
  <autoFilter ref="A88:D89" xr:uid="{3945CA85-C1FA-4478-A43B-5DC7D3E85FE8}"/>
  <tableColumns count="4">
    <tableColumn id="1" xr3:uid="{E19AE0F5-D5B3-4756-BE7A-0AC5764116CC}" name="Sprint"/>
    <tableColumn id="2" xr3:uid="{F5103562-2C2F-4864-8ED1-B2261BEE4B33}" name="What Went Well"/>
    <tableColumn id="3" xr3:uid="{2B6B5D31-5840-46B3-BE46-13DF106D3A7A}" name="What Didn't Go Well"/>
    <tableColumn id="4" xr3:uid="{F4C4DE44-4774-4082-8031-C8B390337C4F}" name="Action Items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1255D07-7499-4599-9D01-672D1B64D970}" name="Table43" displayName="Table43" ref="A6:V7" totalsRowShown="0" headerRowDxfId="61" headerRowBorderDxfId="60" tableBorderDxfId="59">
  <autoFilter ref="A6:V7" xr:uid="{71255D07-7499-4599-9D01-672D1B64D970}"/>
  <tableColumns count="22">
    <tableColumn id="1" xr3:uid="{80AF37CE-A0C2-4645-8D40-A70A43502694}" name="Sprint Number"/>
    <tableColumn id="2" xr3:uid="{F918D4F1-8DBA-43A5-8DC1-392C8671E35A}" name="Sprint Start Date"/>
    <tableColumn id="3" xr3:uid="{F92341D5-4ED3-4925-AC94-3A4FDEF3CEEB}" name="Sprint End Date"/>
    <tableColumn id="4" xr3:uid="{3DC97EE2-3164-41B1-AEF8-C748090A13F2}" name="Sprint Duration"/>
    <tableColumn id="5" xr3:uid="{D5608396-6D7A-4BD2-A1EF-3BD92351842A}" name="Sprint Goal"/>
    <tableColumn id="6" xr3:uid="{E1519555-E32B-4BF1-B201-00E6676D752C}" name="Budget Allocated (Rs)"/>
    <tableColumn id="7" xr3:uid="{B9B718BC-075B-40A0-8E05-36DE28F8A0F8}" name="BA Salary (Rs)"/>
    <tableColumn id="8" xr3:uid="{704BDE83-3E58-445A-94CE-6054584F011E}" name="Python Dev 1 Salary (Rs)"/>
    <tableColumn id="9" xr3:uid="{F7ED2EC2-8E83-4708-B088-337BC3F00002}" name="Python Dev 2 Salary (Rs)"/>
    <tableColumn id="10" xr3:uid="{47188F36-A8F3-45B8-9FE5-01A529C599D1}" name="Tester Salary (Rs)"/>
    <tableColumn id="11" xr3:uid="{B74B696E-EDE5-4FA5-A412-A1A8A29F31E1}" name="Data Analyst Salary (Rs)"/>
    <tableColumn id="12" xr3:uid="{1C66F11D-E0FE-4C69-9C4C-20D03C252062}" name="Total Salary Expense (Rs)">
      <calculatedColumnFormula>SUM(Table43[[#This Row],[BA Salary (Rs)]:[Data Analyst Salary (Rs)]])</calculatedColumnFormula>
    </tableColumn>
    <tableColumn id="13" xr3:uid="{E1F3F0F9-9DE7-4D36-BB8E-148D866151AC}" name="Operational Cost (Rs)"/>
    <tableColumn id="14" xr3:uid="{B9785144-5273-480A-A7A8-0B7C9DC64CDD}" name="Total Cost (Rs)">
      <calculatedColumnFormula>SUM(Table43[[#This Row],[Total Salary Expense (Rs)]:[Operational Cost (Rs)]])</calculatedColumnFormula>
    </tableColumn>
    <tableColumn id="15" xr3:uid="{FC955901-F709-4E68-9ACD-9A71B581C95D}" name="Contingency (%)"/>
    <tableColumn id="16" xr3:uid="{BF2F0A7A-728E-4056-8F26-4BAD6EED737F}" name="Contingency Amount (Rs)">
      <calculatedColumnFormula>Table43[[#This Row],[Total Cost (Rs)]]*Table43[[#This Row],[Contingency (%)]]/100</calculatedColumnFormula>
    </tableColumn>
    <tableColumn id="17" xr3:uid="{FCF5499E-58A1-4FA7-92EB-38569E6722B7}" name="Revised Total Cost (Rs)">
      <calculatedColumnFormula>SUM(Table43[[#This Row],[Total Cost (Rs)]],Table43[[#This Row],[Contingency Amount (Rs)]])</calculatedColumnFormula>
    </tableColumn>
    <tableColumn id="18" xr3:uid="{6C7A63C4-C955-4029-81C0-DACC2D9C6106}" name="Profit (Rs)">
      <calculatedColumnFormula>Table43[[#This Row],[Budget Allocated (Rs)]]-Table43[[#This Row],[Total Cost (Rs)]]</calculatedColumnFormula>
    </tableColumn>
    <tableColumn id="19" xr3:uid="{B225E9C8-E403-4E60-BE89-2EB9AA46B214}" name="Revised Profit (Rs)">
      <calculatedColumnFormula>Table43[[#This Row],[Budget Allocated (Rs)]]-Table43[[#This Row],[Revised Total Cost (Rs)]]</calculatedColumnFormula>
    </tableColumn>
    <tableColumn id="20" xr3:uid="{ADA68FEB-ECC8-447E-99DD-19D000AC3528}" name="Revenue (Rs)">
      <calculatedColumnFormula>SUM(Table43[[#This Row],[Total Cost (Rs)]],Table43[[#This Row],[Profit (Rs)]])</calculatedColumnFormula>
    </tableColumn>
    <tableColumn id="21" xr3:uid="{9244FEAC-BCB4-4DE3-A990-586C28FEBECB}" name="Revised Revenue (Rs)">
      <calculatedColumnFormula>SUM(Table43[[#This Row],[Revised Total Cost (Rs)]],Table43[[#This Row],[Revised Profit (Rs)]])</calculatedColumnFormula>
    </tableColumn>
    <tableColumn id="22" xr3:uid="{80E5BA2D-BF5B-40EC-AFA7-E3E7FF370837}" name="Velocity (Story Points Completed)" dataDxfId="58">
      <calculatedColumnFormula>SUM('Sprint 1'!B54,'Sprint 2'!B52,'Sprint 3'!B43,'Sprint 4'!B42,'Sprint 5'!B53,'Sprint 6'!B44,'Sprint 7'!B48)/7</calculatedColumnFormula>
    </tableColumn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20EC8F6-D78B-43F9-B6AF-A38868DBADA9}" name="Table44" displayName="Table44" ref="A12:L13" totalsRowShown="0" headerRowDxfId="57" headerRowBorderDxfId="56" tableBorderDxfId="55">
  <autoFilter ref="A12:L13" xr:uid="{C20EC8F6-D78B-43F9-B6AF-A38868DBADA9}"/>
  <tableColumns count="12">
    <tableColumn id="1" xr3:uid="{30554DFB-241B-40FB-850A-428F7C293956}" name="ID"/>
    <tableColumn id="2" xr3:uid="{2B87781B-F133-48DF-825F-C304EE1DFAD2}" name="User Story"/>
    <tableColumn id="3" xr3:uid="{0C18F79C-2226-4328-A7E2-6A2B3BEBDBF6}" name="Description"/>
    <tableColumn id="4" xr3:uid="{CE2697B8-6BA7-42A5-A85D-09163C9A0F91}" name="Priority"/>
    <tableColumn id="5" xr3:uid="{F598B2C8-397A-4D15-A172-D7137D8F032A}" name="Status"/>
    <tableColumn id="6" xr3:uid="{72518154-B736-43F8-9D11-ACE48989E286}" name="Estimation (Story Points)"/>
    <tableColumn id="7" xr3:uid="{DCD5DE62-3E00-40A5-874B-6BF44B3627AE}" name="Planned Sprint"/>
    <tableColumn id="8" xr3:uid="{215500FF-3CD2-4379-A5FA-8E5E67CC140F}" name="Acceptance Criteria"/>
    <tableColumn id="9" xr3:uid="{1BDCCD55-BDAB-49AE-A88F-7CF80DF3192C}" name="Tasks"/>
    <tableColumn id="10" xr3:uid="{84D151D7-D564-4028-9F98-B94C42C11E11}" name="Dependencies"/>
    <tableColumn id="11" xr3:uid="{9FD21630-B676-44F4-83C9-4614E09DAB3B}" name="Risks"/>
    <tableColumn id="12" xr3:uid="{FE4A7377-7AA0-4013-AEDD-8C5AED0B623E}" name="Notes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400F3EB0-72CB-48E4-A99C-6CC4BA1296A2}" name="Table45" displayName="Table45" ref="A18:M32" totalsRowShown="0" headerRowDxfId="54" headerRowBorderDxfId="53" tableBorderDxfId="52">
  <autoFilter ref="A18:M32" xr:uid="{400F3EB0-72CB-48E4-A99C-6CC4BA1296A2}"/>
  <tableColumns count="13">
    <tableColumn id="1" xr3:uid="{9AC05B55-4AD0-40D9-ABD0-E39B8A831757}" name="Date"/>
    <tableColumn id="2" xr3:uid="{1D0143CE-FE7F-408E-A575-31FD1759693C}" name="Day"/>
    <tableColumn id="3" xr3:uid="{4E3B613C-50C5-410F-8805-07C142B065BC}" name="Week"/>
    <tableColumn id="4" xr3:uid="{784B05E8-F804-4ABE-BD27-C342E1F69413}" name="BA Attendance"/>
    <tableColumn id="5" xr3:uid="{9682F9D6-CFD0-4815-BC75-12B8281F7B5A}" name="BA Hours"/>
    <tableColumn id="6" xr3:uid="{6E713BB5-A160-48EE-A5F7-24A47EC361B1}" name="Python Dev 1 Attendance"/>
    <tableColumn id="7" xr3:uid="{885FA30D-263F-41AE-8F80-4C789E0D99F0}" name="Python Dev 1 Hours"/>
    <tableColumn id="8" xr3:uid="{F990AF87-2B8F-4ADB-A9CC-7DDCCC6772A0}" name="Python Dev 2 Attendance"/>
    <tableColumn id="9" xr3:uid="{1976528C-0E21-48CE-A0B3-73DAC3830A68}" name="Python Dev 2 Hours"/>
    <tableColumn id="10" xr3:uid="{6A4A0162-6A5D-45DD-913A-12A4F97C8E88}" name="Tester Attendance"/>
    <tableColumn id="11" xr3:uid="{D8948289-A199-437C-91D9-9F8EDD1C9B8D}" name="Tester Hours"/>
    <tableColumn id="12" xr3:uid="{D74C6489-4CCE-47E0-9C03-6459E75CDE1F}" name="Data Analyst Attendance"/>
    <tableColumn id="13" xr3:uid="{1D56EB9A-405C-4F57-818E-11DDBA5B69BC}" name="Data Analyst Hours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2F89154-964C-4692-8A4D-D7F12D915B55}" name="Table46" displayName="Table46" ref="A37:C42" totalsRowShown="0" headerRowDxfId="51" headerRowBorderDxfId="50" tableBorderDxfId="49">
  <autoFilter ref="A37:C42" xr:uid="{E2F89154-964C-4692-8A4D-D7F12D915B55}"/>
  <tableColumns count="3">
    <tableColumn id="1" xr3:uid="{8D9DFD86-3982-468F-B012-4691342A0A70}" name="Worker"/>
    <tableColumn id="2" xr3:uid="{C0F01A80-EE79-49E8-AD14-3A61541FF096}" name="Present"/>
    <tableColumn id="3" xr3:uid="{2C6490B3-74AB-4E25-A820-5345CA911B44}" name="Absent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F3A4CC8-57AE-480C-8788-F71EA555CFF0}" name="Table47" displayName="Table47" ref="A47:B49" totalsRowShown="0" headerRowDxfId="48" headerRowBorderDxfId="47" tableBorderDxfId="46">
  <autoFilter ref="A47:B49" xr:uid="{4F3A4CC8-57AE-480C-8788-F71EA555CFF0}"/>
  <tableColumns count="2">
    <tableColumn id="1" xr3:uid="{5BDF311A-3AF2-46E0-BDFD-1F24D4DCBFE9}" name="Metric"/>
    <tableColumn id="2" xr3:uid="{12E2AB20-8796-482D-B0A5-4A3ABB72AC39}" name="Value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5F03951-91A2-457D-AD16-3863ECAF9C72}" name="Table48" displayName="Table48" ref="A58:B73" totalsRowShown="0" headerRowDxfId="45" headerRowBorderDxfId="44" tableBorderDxfId="43">
  <autoFilter ref="A58:B73" xr:uid="{35F03951-91A2-457D-AD16-3863ECAF9C72}"/>
  <tableColumns count="2">
    <tableColumn id="1" xr3:uid="{81331D14-772E-47C9-87AF-949CE82AC08E}" name="Date"/>
    <tableColumn id="2" xr3:uid="{F479C8AF-1A93-4228-8007-A83335894B46}" name="Remaining Story Points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1FD8496-2FC0-453F-8B9F-6D58C7A11EF2}" name="Table49" displayName="Table49" ref="A80:D81" totalsRowShown="0" headerRowDxfId="42" headerRowBorderDxfId="41" tableBorderDxfId="40">
  <autoFilter ref="A80:D81" xr:uid="{C1FD8496-2FC0-453F-8B9F-6D58C7A11EF2}"/>
  <tableColumns count="4">
    <tableColumn id="1" xr3:uid="{9CE209E6-86AF-484C-A795-F9EEFD32A659}" name="Sprint"/>
    <tableColumn id="2" xr3:uid="{8DA5AB53-9320-4E3E-9686-8F576D17D35E}" name="What Went Well"/>
    <tableColumn id="3" xr3:uid="{897A4D0A-F5C4-4DB1-A5B5-A139B7A89938}" name="What Didn't Go Well"/>
    <tableColumn id="4" xr3:uid="{E4642A4A-EA02-4A29-AA98-D53D029D1C1A}" name="Action Items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4740F99-8278-4993-8FFD-06A9ADFB9943}" name="Table50" displayName="Table50" ref="A4:V5" totalsRowShown="0" headerRowDxfId="39" headerRowBorderDxfId="38" tableBorderDxfId="37">
  <autoFilter ref="A4:V5" xr:uid="{54740F99-8278-4993-8FFD-06A9ADFB9943}"/>
  <tableColumns count="22">
    <tableColumn id="1" xr3:uid="{A6AAAA33-AE87-43B3-B1F2-5F7D5A586622}" name="Sprint Number"/>
    <tableColumn id="2" xr3:uid="{E7A11D74-76CB-4E76-A092-EB32C9D238D3}" name="Sprint Start Date"/>
    <tableColumn id="3" xr3:uid="{CB3FA085-953E-4C48-8930-8EAB6879A242}" name="Sprint End Date"/>
    <tableColumn id="4" xr3:uid="{7FAFEB96-60D1-4AD8-83C7-52D53C519C18}" name="Sprint Duration"/>
    <tableColumn id="5" xr3:uid="{23BEA676-0E5C-4BB8-8AA3-88B9D8EFB0F6}" name="Sprint Goal"/>
    <tableColumn id="6" xr3:uid="{B8390AC8-9CD6-4AA7-A1A9-382A4F52B358}" name="Budget Allocated (Rs)"/>
    <tableColumn id="7" xr3:uid="{6A5352EC-A657-4D72-B573-CE54AB8D5B67}" name="BA Salary (Rs)"/>
    <tableColumn id="8" xr3:uid="{9F8BDCDD-AEAD-45DC-9B31-9621C703D312}" name="Python Dev 1 Salary (Rs)"/>
    <tableColumn id="9" xr3:uid="{C5DA689C-B7F9-4A5A-A762-5AEF7CAB9FC2}" name="Python Dev 2 Salary (Rs)"/>
    <tableColumn id="10" xr3:uid="{6FFE6C06-BC00-487C-A284-BA97179BC340}" name="Tester Salary (Rs)"/>
    <tableColumn id="11" xr3:uid="{702B9161-DFEB-4A61-8F5B-64F4F5185A89}" name="Data Analyst Salary (Rs)"/>
    <tableColumn id="12" xr3:uid="{DA168C8E-1F9B-4F64-B826-E443018A0DB8}" name="Total Salary Expense (Rs)">
      <calculatedColumnFormula>SUM(Table50[[#This Row],[BA Salary (Rs)]:[Data Analyst Salary (Rs)]])</calculatedColumnFormula>
    </tableColumn>
    <tableColumn id="13" xr3:uid="{09965EEC-1CC8-4393-8EF2-649EEA811C6C}" name="Operational Cost (Rs)"/>
    <tableColumn id="14" xr3:uid="{04BA3CEC-D674-49AD-9889-C0423AD3CCAD}" name="Total Cost (Rs)">
      <calculatedColumnFormula>SUM(Table50[[#This Row],[Total Salary Expense (Rs)]:[Operational Cost (Rs)]])</calculatedColumnFormula>
    </tableColumn>
    <tableColumn id="15" xr3:uid="{ED1F4FCF-382A-426D-92C6-1592546AE22B}" name="Contingency (%)"/>
    <tableColumn id="16" xr3:uid="{E7BE439F-8D85-483B-816B-C9DF4B571DA8}" name="Contingency Amount (Rs)">
      <calculatedColumnFormula>Table50[[#This Row],[Total Cost (Rs)]]*5/100</calculatedColumnFormula>
    </tableColumn>
    <tableColumn id="17" xr3:uid="{782A15AC-A98C-405F-9AB0-C0EDC50BEA59}" name="Revised Total Cost (Rs)">
      <calculatedColumnFormula>SUM(Table50[[#This Row],[Total Cost (Rs)]],Table50[[#This Row],[Contingency Amount (Rs)]])</calculatedColumnFormula>
    </tableColumn>
    <tableColumn id="18" xr3:uid="{9FA2ADDA-CE09-466C-9BDF-7C3D07230338}" name="Profit (Rs)">
      <calculatedColumnFormula>Table50[[#This Row],[Budget Allocated (Rs)]]-Table50[[#This Row],[Total Cost (Rs)]]</calculatedColumnFormula>
    </tableColumn>
    <tableColumn id="19" xr3:uid="{CD02666A-B3BB-4B6E-9C80-D0231725EF62}" name="Revised Profit (Rs)">
      <calculatedColumnFormula>Table50[[#This Row],[Budget Allocated (Rs)]]-Table50[[#This Row],[Revised Total Cost (Rs)]]</calculatedColumnFormula>
    </tableColumn>
    <tableColumn id="20" xr3:uid="{0728D978-B6A5-4471-A1EC-6953CFADE90E}" name="Revenue (Rs)">
      <calculatedColumnFormula>SUM(Table50[[#This Row],[Total Cost (Rs)]],Table50[[#This Row],[Profit (Rs)]])</calculatedColumnFormula>
    </tableColumn>
    <tableColumn id="21" xr3:uid="{41E0C0CC-6AFE-42D4-B828-42C050CD196F}" name="Revised Revenue (Rs)">
      <calculatedColumnFormula>SUM(Table50[[#This Row],[Revised Total Cost (Rs)]],Table50[[#This Row],[Revised Profit (Rs)]])</calculatedColumnFormula>
    </tableColumn>
    <tableColumn id="22" xr3:uid="{9045B9EA-67F0-4581-B885-CD24BF329A9E}" name="Velocity (Story Points Completed)" dataDxfId="36">
      <calculatedColumnFormula>SUM('Sprint 1'!B54,'Sprint 2'!B52,'Sprint 3'!B43,'Sprint 4'!B42,'Sprint 5'!B53,'Sprint 6'!B44,'Sprint 7'!B48,'Sprint 8'!B46)/8</calculatedColumnFormula>
    </tableColumn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020E8A9-FDF5-4F8A-97BB-5967BF565C7F}" name="Table51" displayName="Table51" ref="A10:L11" totalsRowShown="0" headerRowDxfId="35" headerRowBorderDxfId="34" tableBorderDxfId="33">
  <autoFilter ref="A10:L11" xr:uid="{7020E8A9-FDF5-4F8A-97BB-5967BF565C7F}"/>
  <tableColumns count="12">
    <tableColumn id="1" xr3:uid="{62A5FC74-C3D3-486D-BAA0-9D74A7B6B091}" name="ID"/>
    <tableColumn id="2" xr3:uid="{5DD2F2F9-515D-44DC-9C7B-1E3FDF391AEB}" name="User Story"/>
    <tableColumn id="3" xr3:uid="{C5D18BB4-4CC9-4415-90F7-30AAB6C6FF33}" name="Description"/>
    <tableColumn id="4" xr3:uid="{064CCC00-2E4D-4A77-A692-B3DC3F523478}" name="Priority"/>
    <tableColumn id="5" xr3:uid="{D5843F22-B3D8-482C-BAA7-4BD20278E709}" name="Status"/>
    <tableColumn id="6" xr3:uid="{8DA5348A-9756-4932-9A73-2481B5609DED}" name="Estimation (Story Points)"/>
    <tableColumn id="7" xr3:uid="{C8024EA5-6667-4FAE-941E-8B8058DDBAA6}" name="Planned Sprint"/>
    <tableColumn id="8" xr3:uid="{87433EF2-EF21-4502-9076-54EE627A7880}" name="Acceptance Criteria"/>
    <tableColumn id="9" xr3:uid="{052274ED-833E-490C-B04D-7C0F2F582C6E}" name="Tasks"/>
    <tableColumn id="10" xr3:uid="{1E06BAF1-947E-4D0A-9B26-356F85745B14}" name="Dependencies"/>
    <tableColumn id="11" xr3:uid="{A00C04F6-8119-48E9-B870-E8E621B732A9}" name="Risks"/>
    <tableColumn id="12" xr3:uid="{789E0502-EE88-451E-8D31-E172449A67FD}" name="Notes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995F6C4-101C-4EA5-A9F2-B033557CF2DF}" name="Table52" displayName="Table52" ref="A16:M30" totalsRowShown="0" headerRowDxfId="32" headerRowBorderDxfId="31" tableBorderDxfId="30">
  <autoFilter ref="A16:M30" xr:uid="{D995F6C4-101C-4EA5-A9F2-B033557CF2DF}"/>
  <tableColumns count="13">
    <tableColumn id="1" xr3:uid="{EB8FD2C3-5B79-44A6-B478-10993B8A321D}" name="Date"/>
    <tableColumn id="2" xr3:uid="{E19ED74F-126B-447F-88FE-07163EFB6233}" name="Day"/>
    <tableColumn id="3" xr3:uid="{453AFE6D-56C0-4D7B-8A62-62A58070C9ED}" name="Week"/>
    <tableColumn id="4" xr3:uid="{347B6643-5A33-4B51-AE0F-48937B94A59F}" name="BA Attendance"/>
    <tableColumn id="5" xr3:uid="{4D5564A8-74AE-4C22-90C2-F137AD6DCE6D}" name="BA Hours"/>
    <tableColumn id="6" xr3:uid="{33ED4118-294F-4407-AA89-D1D2464FFBBF}" name="Python Dev 1 Attendance"/>
    <tableColumn id="7" xr3:uid="{FE7DE720-E51B-4B66-8CD4-FC867EDD6ADF}" name="Python Dev 1 Hours"/>
    <tableColumn id="8" xr3:uid="{AC02E52F-BE69-4B08-A6DD-76073DCD59C6}" name="Python Dev 2 Attendance"/>
    <tableColumn id="9" xr3:uid="{4B383190-14EA-429D-B378-ABDD171CC415}" name="Python Dev 2 Hours"/>
    <tableColumn id="10" xr3:uid="{A10A56A0-8629-47DB-8A36-AFC8ACA730FA}" name="Tester Attendance"/>
    <tableColumn id="11" xr3:uid="{CED13CF7-502B-4AED-98B9-F35B50F252B7}" name="Tester Hours"/>
    <tableColumn id="12" xr3:uid="{B04E1EEC-31BE-4C6C-B7F3-E31ECE20C204}" name="Data Analyst Attendance"/>
    <tableColumn id="13" xr3:uid="{256F7CD9-CA17-4DC7-875D-4E196AE8425E}" name="Data Analyst Hours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B5D4243-8881-47FB-AB36-4DF6447A87EC}" name="Table53" displayName="Table53" ref="A35:C40" totalsRowShown="0" headerRowDxfId="29" headerRowBorderDxfId="28" tableBorderDxfId="27">
  <autoFilter ref="A35:C40" xr:uid="{FB5D4243-8881-47FB-AB36-4DF6447A87EC}"/>
  <tableColumns count="3">
    <tableColumn id="1" xr3:uid="{7DCA41FD-CF73-40B5-B4A1-79E74E58E0D1}" name="Worker"/>
    <tableColumn id="2" xr3:uid="{EFB1B083-080F-42DC-AC76-A69AFDB9FC9A}" name="Present"/>
    <tableColumn id="3" xr3:uid="{C51B13EB-3931-46A6-BDBF-394AAB349DA5}" name="Absent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42A942A-06CB-4166-975E-78AC1DAE9E12}" name="Table54" displayName="Table54" ref="A45:B47" totalsRowShown="0" headerRowDxfId="26" headerRowBorderDxfId="25" tableBorderDxfId="24">
  <autoFilter ref="A45:B47" xr:uid="{942A942A-06CB-4166-975E-78AC1DAE9E12}"/>
  <tableColumns count="2">
    <tableColumn id="1" xr3:uid="{BF81F27C-1595-473E-A535-906AE245F394}" name="Metric"/>
    <tableColumn id="2" xr3:uid="{70474308-ADF3-41E4-98E9-1924475DAB95}" name="Value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199FB56-2E2B-41B9-B8BD-96E8C653363C}" name="Table55" displayName="Table55" ref="A52:B67" totalsRowShown="0" headerRowDxfId="23" headerRowBorderDxfId="22" tableBorderDxfId="21">
  <autoFilter ref="A52:B67" xr:uid="{A199FB56-2E2B-41B9-B8BD-96E8C653363C}"/>
  <tableColumns count="2">
    <tableColumn id="1" xr3:uid="{A3D7111C-DF44-4B8D-941F-D9B4CD5FC6AB}" name="Date"/>
    <tableColumn id="2" xr3:uid="{17DBE8EC-C9EE-4440-8FD9-44071620212D}" name="Remaining Story Points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DBF6B82D-F796-4C33-8404-EF591B5252DF}" name="Table56" displayName="Table56" ref="A72:D73" totalsRowShown="0" headerRowDxfId="20" headerRowBorderDxfId="19" tableBorderDxfId="18">
  <autoFilter ref="A72:D73" xr:uid="{DBF6B82D-F796-4C33-8404-EF591B5252DF}"/>
  <tableColumns count="4">
    <tableColumn id="1" xr3:uid="{85164EF1-A7BA-4919-B0CE-7495E07B3F33}" name="Sprint"/>
    <tableColumn id="2" xr3:uid="{55794DCD-6519-466D-8714-0BBAEE0A1AC9}" name="What Went Well"/>
    <tableColumn id="3" xr3:uid="{978696AD-4229-4B3C-8B28-A164FC98A062}" name="What Didn't Go Well"/>
    <tableColumn id="4" xr3:uid="{5CE4B966-3BEF-4FFA-9908-E3C5BCE8690D}" name="Action Items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86615C6-EA0A-4C23-AF54-D224DC6B38C4}" name="Table58" displayName="Table58" ref="A1:L7" totalsRowShown="0" headerRowDxfId="17" headerRowBorderDxfId="16" tableBorderDxfId="15">
  <autoFilter ref="A1:L7" xr:uid="{C86615C6-EA0A-4C23-AF54-D224DC6B38C4}"/>
  <tableColumns count="12">
    <tableColumn id="1" xr3:uid="{DA4173D6-5486-4D5F-806E-1D81A82C3230}" name="ID"/>
    <tableColumn id="2" xr3:uid="{80AD1585-46F9-4574-95E0-C004E9B09AC3}" name="User Story"/>
    <tableColumn id="3" xr3:uid="{16AB92CF-A167-4B98-AC76-AF0F65EEEED6}" name="Description"/>
    <tableColumn id="4" xr3:uid="{AEFA2D07-BBF1-4A0A-8225-1BD4C72881A9}" name="Priority"/>
    <tableColumn id="5" xr3:uid="{1565DCB4-742C-4712-82AE-8EFF528B4A7B}" name="Status"/>
    <tableColumn id="6" xr3:uid="{1FAC8334-0429-42CF-AAF9-8741C7B1A618}" name="Estimation (Story Points)"/>
    <tableColumn id="7" xr3:uid="{BB5169C9-983E-45A0-BB35-2F02959C09A7}" name="Planned Sprint"/>
    <tableColumn id="8" xr3:uid="{709E6B5F-A5B2-4A0E-AAC9-01F4E40FF852}" name="Acceptance Criteria"/>
    <tableColumn id="9" xr3:uid="{550C23CE-6B84-4617-972B-66F97E9FC736}" name="Tasks"/>
    <tableColumn id="10" xr3:uid="{FD7BA713-1162-40C0-99C1-AE3274DF8276}" name="Dependencies"/>
    <tableColumn id="11" xr3:uid="{16F700AC-15E0-4734-B509-6D8777335BFF}" name="Risks"/>
    <tableColumn id="12" xr3:uid="{DAD33971-7AB6-4D9F-A33F-6A8AA375C68A}" name="Notes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04C0D74-C50D-4399-BBF9-D64EDB462825}" name="Table59" displayName="Table59" ref="A1:B9" totalsRowShown="0" headerRowDxfId="14" headerRowBorderDxfId="13" tableBorderDxfId="12">
  <autoFilter ref="A1:B9" xr:uid="{804C0D74-C50D-4399-BBF9-D64EDB462825}"/>
  <tableColumns count="2">
    <tableColumn id="1" xr3:uid="{638B4940-BFD8-4B70-89FB-9ADDF206150A}" name="Sprint"/>
    <tableColumn id="2" xr3:uid="{937D313D-3268-4D85-B1AA-2912818E008E}" name="Action Item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CA58A1E-5AED-47EC-AF28-94648E997471}" name="Table60" displayName="Table60" ref="A1:B6" totalsRowShown="0" headerRowDxfId="11" headerRowBorderDxfId="10" tableBorderDxfId="9">
  <autoFilter ref="A1:B6" xr:uid="{4CA58A1E-5AED-47EC-AF28-94648E997471}"/>
  <tableColumns count="2">
    <tableColumn id="1" xr3:uid="{4BC6A4B9-D1C4-4EA6-BF37-25E50D93C266}" name="Metric"/>
    <tableColumn id="2" xr3:uid="{1B5ACF2C-A337-4680-A623-3AC5D87BAF53}" name="Value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1FAF0B7-E6D5-4910-B484-976F2F55E897}" name="Table61" displayName="Table61" ref="A9:C14" totalsRowShown="0" headerRowDxfId="8" headerRowBorderDxfId="7" tableBorderDxfId="6">
  <autoFilter ref="A9:C14" xr:uid="{31FAF0B7-E6D5-4910-B484-976F2F55E897}"/>
  <tableColumns count="3">
    <tableColumn id="1" xr3:uid="{4C15A31D-9E33-4B6E-9F8E-2A9DD5316A55}" name="Worker"/>
    <tableColumn id="2" xr3:uid="{F7C16106-3B4E-428D-B9CD-D02E7BC28F45}" name="Total Present"/>
    <tableColumn id="3" xr3:uid="{B35F4577-3A30-4635-96AE-610DF27BB1DC}" name="Total Absent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72CB7A6-7C2D-4A13-95A6-61E1E0A2C65A}" name="Table62" displayName="Table62" ref="A1:V9" totalsRowShown="0" headerRowDxfId="5" headerRowBorderDxfId="4" tableBorderDxfId="3">
  <autoFilter ref="A1:V9" xr:uid="{A72CB7A6-7C2D-4A13-95A6-61E1E0A2C65A}"/>
  <tableColumns count="22">
    <tableColumn id="1" xr3:uid="{C7680F8C-7B14-4641-9420-C5CD01B8EBBA}" name="Sprint Number"/>
    <tableColumn id="2" xr3:uid="{78567C0C-5FEC-4655-AD1A-73D043DF0D05}" name="Sprint Start Date"/>
    <tableColumn id="3" xr3:uid="{A488C437-5EBD-4444-929E-89A22C62A098}" name="Sprint End Date"/>
    <tableColumn id="4" xr3:uid="{9AB177FD-5DF1-4B7D-B0D6-248AAEE8F15A}" name="Sprint Duration"/>
    <tableColumn id="5" xr3:uid="{AEA930C9-1C2E-43CB-9AFD-7C597893C9E4}" name="Sprint Goal"/>
    <tableColumn id="6" xr3:uid="{ED71FC4C-960B-4414-9DF2-53FF1C40E2CF}" name="Budget Allocated (Rs)"/>
    <tableColumn id="7" xr3:uid="{2BB8180B-C288-4E66-9CA6-4ADD04D47E38}" name="BA Salary (Rs)"/>
    <tableColumn id="8" xr3:uid="{35ADBD3A-CA38-4EC0-8540-A15C68B86F86}" name="Python Dev 1 Salary (Rs)"/>
    <tableColumn id="9" xr3:uid="{3B0FCA2D-FFD3-4A77-BBA9-233A967B6101}" name="Python Dev 2 Salary (Rs)"/>
    <tableColumn id="10" xr3:uid="{A4150027-3AEB-4DFD-8981-B055A4FC7580}" name="Tester Salary (Rs)"/>
    <tableColumn id="11" xr3:uid="{32ABB68F-C5E0-4E3F-8695-95C71D2FE7CD}" name="Data Analyst Salary (Rs)"/>
    <tableColumn id="12" xr3:uid="{B8ACABA2-A1A4-41C6-A00F-8573884FC452}" name="Total Salary Expense (Rs)"/>
    <tableColumn id="13" xr3:uid="{CC17F702-2FBC-4BF3-BEB6-1CBFC4E61FF7}" name="Operational Cost (Rs)"/>
    <tableColumn id="14" xr3:uid="{9B2B5DB7-08DE-4334-A90B-7B58DDF2EDA4}" name="Total Cost (Rs)"/>
    <tableColumn id="15" xr3:uid="{07695BF0-8B27-46C2-B853-6F419E01140C}" name="Contingency (%)"/>
    <tableColumn id="16" xr3:uid="{E82253FA-482B-43D3-BFA2-8557CD083E21}" name="Contingency Amount (Rs)"/>
    <tableColumn id="17" xr3:uid="{6740B9BE-7FAB-460C-8C83-6CFAB719AEC6}" name="Revised Total Cost (Rs)"/>
    <tableColumn id="18" xr3:uid="{306FA395-1C31-4013-B47A-023ABA0E2189}" name="Profit (Rs)"/>
    <tableColumn id="19" xr3:uid="{0DF94DD3-7E59-4171-AF4F-5E3871CDFF67}" name="Revised Profit (Rs)"/>
    <tableColumn id="20" xr3:uid="{AC3670DB-6476-4E66-981A-42661173CB4D}" name="Revenue (Rs)"/>
    <tableColumn id="21" xr3:uid="{903896E8-C286-4D12-934B-EEFFC3609D68}" name="Revised Revenue (Rs)"/>
    <tableColumn id="22" xr3:uid="{9A6B9EEB-F4C5-4FC0-8706-964E2EF5E104}" name="Velocity (Story Points Completed)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827817B-CF79-43BC-B539-A5B4F5108FA3}" name="Table63" displayName="Table63" ref="A12:L22" totalsRowShown="0" headerRowDxfId="2" headerRowBorderDxfId="1" tableBorderDxfId="0">
  <autoFilter ref="A12:L22" xr:uid="{4827817B-CF79-43BC-B539-A5B4F5108FA3}"/>
  <tableColumns count="12">
    <tableColumn id="1" xr3:uid="{A10A3359-B327-4F93-AE1C-3D5F9900CF8B}" name="ID"/>
    <tableColumn id="2" xr3:uid="{8E711477-DA04-47E9-9094-5431358DB40F}" name="User Story"/>
    <tableColumn id="3" xr3:uid="{682A5868-F9D6-4173-B379-7BB6307094F0}" name="Description"/>
    <tableColumn id="4" xr3:uid="{4AB4959F-800F-4A60-B267-EE65F48F8E51}" name="Priority"/>
    <tableColumn id="5" xr3:uid="{042B40DD-62CF-4B2A-ADDD-9A06955928DB}" name="Status"/>
    <tableColumn id="6" xr3:uid="{1D01E027-583A-4C4F-A4A3-C36F2928FDE5}" name="Estimation (Story Points)"/>
    <tableColumn id="7" xr3:uid="{8572DB61-AEAD-407E-9454-02C465C4CE56}" name="Planned Sprint"/>
    <tableColumn id="8" xr3:uid="{EEB39D72-988B-4F4E-A976-4FEAF445DE3F}" name="Acceptance Criteria"/>
    <tableColumn id="9" xr3:uid="{950F3903-3020-4913-BE8D-939823A7CE32}" name="Tasks"/>
    <tableColumn id="10" xr3:uid="{184F66DB-1158-42DD-8D56-AA48D872DB94}" name="Dependencies"/>
    <tableColumn id="11" xr3:uid="{FF39FECA-2918-4CE2-A758-71ADBBF8A600}" name="Risks"/>
    <tableColumn id="12" xr3:uid="{77E1F0E4-C81D-409B-BC5E-DDAD37134469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drawing" Target="../drawings/drawing3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drawing" Target="../drawings/drawing4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2" Type="http://schemas.openxmlformats.org/officeDocument/2006/relationships/table" Target="../tables/table29.xml"/><Relationship Id="rId1" Type="http://schemas.openxmlformats.org/officeDocument/2006/relationships/drawing" Target="../drawings/drawing5.xml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2" Type="http://schemas.openxmlformats.org/officeDocument/2006/relationships/table" Target="../tables/table36.xml"/><Relationship Id="rId1" Type="http://schemas.openxmlformats.org/officeDocument/2006/relationships/drawing" Target="../drawings/drawing6.xml"/><Relationship Id="rId6" Type="http://schemas.openxmlformats.org/officeDocument/2006/relationships/table" Target="../tables/table40.xml"/><Relationship Id="rId5" Type="http://schemas.openxmlformats.org/officeDocument/2006/relationships/table" Target="../tables/table39.xml"/><Relationship Id="rId4" Type="http://schemas.openxmlformats.org/officeDocument/2006/relationships/table" Target="../tables/table3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9.xml"/><Relationship Id="rId3" Type="http://schemas.openxmlformats.org/officeDocument/2006/relationships/table" Target="../tables/table44.xml"/><Relationship Id="rId7" Type="http://schemas.openxmlformats.org/officeDocument/2006/relationships/table" Target="../tables/table48.xml"/><Relationship Id="rId2" Type="http://schemas.openxmlformats.org/officeDocument/2006/relationships/table" Target="../tables/table43.xml"/><Relationship Id="rId1" Type="http://schemas.openxmlformats.org/officeDocument/2006/relationships/drawing" Target="../drawings/drawing7.xml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2" Type="http://schemas.openxmlformats.org/officeDocument/2006/relationships/table" Target="../tables/table50.xml"/><Relationship Id="rId1" Type="http://schemas.openxmlformats.org/officeDocument/2006/relationships/drawing" Target="../drawings/drawing8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A12" zoomScale="68" zoomScaleNormal="64" workbookViewId="0">
      <selection activeCell="C92" sqref="C92"/>
    </sheetView>
  </sheetViews>
  <sheetFormatPr defaultRowHeight="14.5" x14ac:dyDescent="0.35"/>
  <cols>
    <col min="1" max="1" width="37.90625" bestFit="1" customWidth="1"/>
    <col min="2" max="2" width="28.81640625" bestFit="1" customWidth="1"/>
    <col min="3" max="3" width="34.90625" bestFit="1" customWidth="1"/>
    <col min="4" max="4" width="21.6328125" bestFit="1" customWidth="1"/>
    <col min="5" max="5" width="54.81640625" bestFit="1" customWidth="1"/>
    <col min="6" max="6" width="30.36328125" bestFit="1" customWidth="1"/>
    <col min="7" max="7" width="25.453125" bestFit="1" customWidth="1"/>
    <col min="8" max="8" width="65.7265625" bestFit="1" customWidth="1"/>
    <col min="9" max="9" width="45" bestFit="1" customWidth="1"/>
    <col min="10" max="10" width="25.1796875" bestFit="1" customWidth="1"/>
    <col min="11" max="11" width="28.54296875" bestFit="1" customWidth="1"/>
    <col min="12" max="12" width="29.81640625" bestFit="1" customWidth="1"/>
    <col min="13" max="13" width="26.36328125" bestFit="1" customWidth="1"/>
    <col min="14" max="14" width="20.453125" bestFit="1" customWidth="1"/>
    <col min="15" max="15" width="22" bestFit="1" customWidth="1"/>
    <col min="16" max="16" width="30.26953125" bestFit="1" customWidth="1"/>
    <col min="17" max="17" width="27.6328125" bestFit="1" customWidth="1"/>
    <col min="18" max="18" width="16.36328125" bestFit="1" customWidth="1"/>
    <col min="19" max="19" width="23.6328125" bestFit="1" customWidth="1"/>
    <col min="20" max="20" width="19.26953125" bestFit="1" customWidth="1"/>
    <col min="21" max="21" width="26.6328125" bestFit="1" customWidth="1"/>
    <col min="22" max="22" width="37.36328125" bestFit="1" customWidth="1"/>
  </cols>
  <sheetData>
    <row r="1" spans="1:22" s="3" customFormat="1" ht="31" x14ac:dyDescent="0.7">
      <c r="A1" s="10" t="s">
        <v>270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23.5" x14ac:dyDescent="0.55000000000000004">
      <c r="A2" s="2" t="s">
        <v>279</v>
      </c>
    </row>
    <row r="4" spans="1:22" ht="21" x14ac:dyDescent="0.5">
      <c r="A4" s="8" t="s">
        <v>272</v>
      </c>
      <c r="B4" s="9"/>
      <c r="C4" s="9"/>
    </row>
    <row r="5" spans="1:22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5" t="s">
        <v>17</v>
      </c>
      <c r="S5" s="1" t="s">
        <v>18</v>
      </c>
      <c r="T5" s="1" t="s">
        <v>19</v>
      </c>
      <c r="U5" s="1" t="s">
        <v>20</v>
      </c>
      <c r="V5" s="1" t="s">
        <v>21</v>
      </c>
    </row>
    <row r="6" spans="1:22" x14ac:dyDescent="0.35">
      <c r="A6">
        <v>1</v>
      </c>
      <c r="B6" t="s">
        <v>22</v>
      </c>
      <c r="C6" t="s">
        <v>23</v>
      </c>
      <c r="D6" t="s">
        <v>24</v>
      </c>
      <c r="E6" t="s">
        <v>25</v>
      </c>
      <c r="F6">
        <v>1000000</v>
      </c>
      <c r="G6">
        <v>75000</v>
      </c>
      <c r="H6">
        <v>100000</v>
      </c>
      <c r="I6">
        <v>100000</v>
      </c>
      <c r="J6">
        <v>0</v>
      </c>
      <c r="K6">
        <v>75000</v>
      </c>
      <c r="L6">
        <f>SUM(B1S1[[#This Row],[BA Salary (Rs)]:[Data Analyst Salary (Rs)]])</f>
        <v>350000</v>
      </c>
      <c r="M6">
        <v>100000</v>
      </c>
      <c r="N6">
        <f>SUM(B1S1[[#This Row],[Total Salary Expense (Rs)]:[Operational Cost (Rs)]])</f>
        <v>450000</v>
      </c>
      <c r="O6">
        <v>5</v>
      </c>
      <c r="P6">
        <f>B1S1[[#This Row],[Total Cost (Rs)]]*B1S1[[#This Row],[Contingency (%)]]/100</f>
        <v>22500</v>
      </c>
      <c r="Q6">
        <f>SUM(N6,P6)</f>
        <v>472500</v>
      </c>
      <c r="R6">
        <f>B1S1[[#This Row],[Budget Allocated (Rs)]]-B1S1[[#This Row],[Total Cost (Rs)]]</f>
        <v>550000</v>
      </c>
      <c r="S6">
        <f>B1S1[[#This Row],[Budget Allocated (Rs)]]-B1S1[[#This Row],[Revised Total Cost (Rs)]]</f>
        <v>527500</v>
      </c>
      <c r="T6">
        <f>SUM(B1S1[[#This Row],[Total Cost (Rs)]],B1S1[[#This Row],[Profit (Rs)]])</f>
        <v>1000000</v>
      </c>
      <c r="U6">
        <f>SUM(B1S1[[#This Row],[Revised Total Cost (Rs)]],B1S1[[#This Row],[Revised Profit (Rs)]])</f>
        <v>1000000</v>
      </c>
      <c r="V6">
        <f>13/1</f>
        <v>13</v>
      </c>
    </row>
    <row r="9" spans="1:22" ht="21" x14ac:dyDescent="0.5">
      <c r="A9" s="4" t="s">
        <v>271</v>
      </c>
    </row>
    <row r="10" spans="1:22" x14ac:dyDescent="0.3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22" x14ac:dyDescent="0.35">
      <c r="A11">
        <v>1</v>
      </c>
      <c r="B11" t="s">
        <v>38</v>
      </c>
      <c r="C11" t="s">
        <v>39</v>
      </c>
      <c r="D11" t="s">
        <v>40</v>
      </c>
      <c r="E11" t="s">
        <v>41</v>
      </c>
      <c r="F11">
        <v>5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</row>
    <row r="12" spans="1:22" x14ac:dyDescent="0.35">
      <c r="A12">
        <v>2</v>
      </c>
      <c r="B12" t="s">
        <v>48</v>
      </c>
      <c r="C12" t="s">
        <v>49</v>
      </c>
      <c r="D12" t="s">
        <v>40</v>
      </c>
      <c r="E12" t="s">
        <v>41</v>
      </c>
      <c r="F12">
        <v>8</v>
      </c>
      <c r="G12" t="s">
        <v>42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</row>
    <row r="14" spans="1:22" x14ac:dyDescent="0.35">
      <c r="T14" t="s">
        <v>278</v>
      </c>
    </row>
    <row r="15" spans="1:22" ht="21" x14ac:dyDescent="0.5">
      <c r="A15" s="12" t="s">
        <v>273</v>
      </c>
      <c r="B15" s="12"/>
    </row>
    <row r="16" spans="1:22" x14ac:dyDescent="0.3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67</v>
      </c>
    </row>
    <row r="17" spans="1:13" x14ac:dyDescent="0.35">
      <c r="A17" t="s">
        <v>22</v>
      </c>
      <c r="B17" t="s">
        <v>68</v>
      </c>
      <c r="C17">
        <v>1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</row>
    <row r="18" spans="1:13" x14ac:dyDescent="0.35">
      <c r="A18" t="s">
        <v>70</v>
      </c>
      <c r="B18" t="s">
        <v>71</v>
      </c>
      <c r="C18">
        <v>1</v>
      </c>
      <c r="D18" t="s">
        <v>72</v>
      </c>
      <c r="E18">
        <v>8</v>
      </c>
      <c r="F18" t="s">
        <v>72</v>
      </c>
      <c r="G18">
        <v>8</v>
      </c>
      <c r="H18" t="s">
        <v>72</v>
      </c>
      <c r="I18">
        <v>8</v>
      </c>
      <c r="J18" t="s">
        <v>73</v>
      </c>
      <c r="K18">
        <v>0</v>
      </c>
      <c r="L18" t="s">
        <v>72</v>
      </c>
      <c r="M18">
        <v>8</v>
      </c>
    </row>
    <row r="19" spans="1:13" x14ac:dyDescent="0.35">
      <c r="A19" t="s">
        <v>74</v>
      </c>
      <c r="B19" t="s">
        <v>75</v>
      </c>
      <c r="C19">
        <v>1</v>
      </c>
      <c r="D19" t="s">
        <v>72</v>
      </c>
      <c r="E19">
        <v>8</v>
      </c>
      <c r="F19" t="s">
        <v>72</v>
      </c>
      <c r="G19">
        <v>8</v>
      </c>
      <c r="H19" t="s">
        <v>72</v>
      </c>
      <c r="I19">
        <v>8</v>
      </c>
      <c r="J19" t="s">
        <v>73</v>
      </c>
      <c r="K19">
        <v>0</v>
      </c>
      <c r="L19" t="s">
        <v>73</v>
      </c>
      <c r="M19">
        <v>0</v>
      </c>
    </row>
    <row r="20" spans="1:13" x14ac:dyDescent="0.35">
      <c r="A20" t="s">
        <v>76</v>
      </c>
      <c r="B20" t="s">
        <v>77</v>
      </c>
      <c r="C20">
        <v>1</v>
      </c>
      <c r="D20" t="s">
        <v>73</v>
      </c>
      <c r="E20">
        <v>0</v>
      </c>
      <c r="F20" t="s">
        <v>72</v>
      </c>
      <c r="G20">
        <v>8</v>
      </c>
      <c r="H20" t="s">
        <v>72</v>
      </c>
      <c r="I20">
        <v>8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78</v>
      </c>
      <c r="B21" t="s">
        <v>79</v>
      </c>
      <c r="C21">
        <v>1</v>
      </c>
      <c r="D21" t="s">
        <v>72</v>
      </c>
      <c r="E21">
        <v>8</v>
      </c>
      <c r="F21" t="s">
        <v>72</v>
      </c>
      <c r="G21">
        <v>8</v>
      </c>
      <c r="H21" t="s">
        <v>72</v>
      </c>
      <c r="I21">
        <v>8</v>
      </c>
      <c r="J21" t="s">
        <v>72</v>
      </c>
      <c r="K21">
        <v>8</v>
      </c>
      <c r="L21" t="s">
        <v>73</v>
      </c>
      <c r="M21">
        <v>0</v>
      </c>
    </row>
    <row r="22" spans="1:13" x14ac:dyDescent="0.35">
      <c r="A22" t="s">
        <v>80</v>
      </c>
      <c r="B22" t="s">
        <v>81</v>
      </c>
      <c r="C22">
        <v>1</v>
      </c>
      <c r="D22" t="s">
        <v>72</v>
      </c>
      <c r="E22">
        <v>8</v>
      </c>
      <c r="F22" t="s">
        <v>72</v>
      </c>
      <c r="G22">
        <v>8</v>
      </c>
      <c r="H22" t="s">
        <v>72</v>
      </c>
      <c r="I22">
        <v>8</v>
      </c>
      <c r="J22" t="s">
        <v>73</v>
      </c>
      <c r="K22">
        <v>0</v>
      </c>
      <c r="L22" t="s">
        <v>72</v>
      </c>
      <c r="M22">
        <v>8</v>
      </c>
    </row>
    <row r="23" spans="1:13" x14ac:dyDescent="0.35">
      <c r="A23" t="s">
        <v>82</v>
      </c>
      <c r="B23" t="s">
        <v>83</v>
      </c>
      <c r="C23">
        <v>1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</row>
    <row r="24" spans="1:13" x14ac:dyDescent="0.35">
      <c r="A24" t="s">
        <v>84</v>
      </c>
      <c r="B24" t="s">
        <v>68</v>
      </c>
      <c r="C24">
        <v>2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</row>
    <row r="25" spans="1:13" x14ac:dyDescent="0.35">
      <c r="A25" t="s">
        <v>85</v>
      </c>
      <c r="B25" t="s">
        <v>71</v>
      </c>
      <c r="C25">
        <v>2</v>
      </c>
      <c r="D25" t="s">
        <v>72</v>
      </c>
      <c r="E25">
        <v>8</v>
      </c>
      <c r="F25" t="s">
        <v>72</v>
      </c>
      <c r="G25">
        <v>8</v>
      </c>
      <c r="H25" t="s">
        <v>72</v>
      </c>
      <c r="I25">
        <v>8</v>
      </c>
      <c r="J25" t="s">
        <v>72</v>
      </c>
      <c r="K25">
        <v>8</v>
      </c>
      <c r="L25" t="s">
        <v>73</v>
      </c>
      <c r="M25">
        <v>0</v>
      </c>
    </row>
    <row r="26" spans="1:13" x14ac:dyDescent="0.35">
      <c r="A26" t="s">
        <v>86</v>
      </c>
      <c r="B26" t="s">
        <v>75</v>
      </c>
      <c r="C26">
        <v>2</v>
      </c>
      <c r="D26" t="s">
        <v>72</v>
      </c>
      <c r="E26">
        <v>8</v>
      </c>
      <c r="F26" t="s">
        <v>72</v>
      </c>
      <c r="G26">
        <v>8</v>
      </c>
      <c r="H26" t="s">
        <v>72</v>
      </c>
      <c r="I26">
        <v>8</v>
      </c>
      <c r="J26" t="s">
        <v>72</v>
      </c>
      <c r="K26">
        <v>8</v>
      </c>
      <c r="L26" t="s">
        <v>72</v>
      </c>
      <c r="M26">
        <v>8</v>
      </c>
    </row>
    <row r="27" spans="1:13" x14ac:dyDescent="0.35">
      <c r="A27" t="s">
        <v>87</v>
      </c>
      <c r="B27" t="s">
        <v>77</v>
      </c>
      <c r="C27">
        <v>2</v>
      </c>
      <c r="D27" t="s">
        <v>72</v>
      </c>
      <c r="E27">
        <v>8</v>
      </c>
      <c r="F27" t="s">
        <v>72</v>
      </c>
      <c r="G27">
        <v>8</v>
      </c>
      <c r="H27" t="s">
        <v>72</v>
      </c>
      <c r="I27">
        <v>8</v>
      </c>
      <c r="J27" t="s">
        <v>72</v>
      </c>
      <c r="K27">
        <v>8</v>
      </c>
      <c r="L27" t="s">
        <v>72</v>
      </c>
      <c r="M27">
        <v>8</v>
      </c>
    </row>
    <row r="28" spans="1:13" x14ac:dyDescent="0.35">
      <c r="A28" t="s">
        <v>88</v>
      </c>
      <c r="B28" t="s">
        <v>79</v>
      </c>
      <c r="C28">
        <v>2</v>
      </c>
      <c r="D28" t="s">
        <v>72</v>
      </c>
      <c r="E28">
        <v>8</v>
      </c>
      <c r="F28" t="s">
        <v>72</v>
      </c>
      <c r="G28">
        <v>8</v>
      </c>
      <c r="H28" t="s">
        <v>72</v>
      </c>
      <c r="I28">
        <v>8</v>
      </c>
      <c r="J28" t="s">
        <v>72</v>
      </c>
      <c r="K28">
        <v>8</v>
      </c>
      <c r="L28" t="s">
        <v>72</v>
      </c>
      <c r="M28">
        <v>8</v>
      </c>
    </row>
    <row r="29" spans="1:13" x14ac:dyDescent="0.35">
      <c r="A29" t="s">
        <v>89</v>
      </c>
      <c r="B29" t="s">
        <v>81</v>
      </c>
      <c r="C29">
        <v>2</v>
      </c>
      <c r="D29" t="s">
        <v>72</v>
      </c>
      <c r="E29">
        <v>8</v>
      </c>
      <c r="F29" t="s">
        <v>73</v>
      </c>
      <c r="G29">
        <v>0</v>
      </c>
      <c r="H29" t="s">
        <v>72</v>
      </c>
      <c r="I29">
        <v>8</v>
      </c>
      <c r="J29" t="s">
        <v>72</v>
      </c>
      <c r="K29">
        <v>8</v>
      </c>
      <c r="L29" t="s">
        <v>72</v>
      </c>
      <c r="M29">
        <v>8</v>
      </c>
    </row>
    <row r="30" spans="1:13" x14ac:dyDescent="0.35">
      <c r="A30" t="s">
        <v>23</v>
      </c>
      <c r="B30" t="s">
        <v>83</v>
      </c>
      <c r="C30">
        <v>2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</row>
    <row r="33" spans="1:3" ht="21" x14ac:dyDescent="0.5">
      <c r="A33" s="4" t="s">
        <v>274</v>
      </c>
    </row>
    <row r="34" spans="1:3" x14ac:dyDescent="0.35">
      <c r="A34" s="1" t="s">
        <v>90</v>
      </c>
      <c r="B34" s="1" t="s">
        <v>72</v>
      </c>
      <c r="C34" s="1" t="s">
        <v>73</v>
      </c>
    </row>
    <row r="35" spans="1:3" x14ac:dyDescent="0.35">
      <c r="A35" t="s">
        <v>91</v>
      </c>
      <c r="B35">
        <v>9</v>
      </c>
      <c r="C35">
        <v>1</v>
      </c>
    </row>
    <row r="36" spans="1:3" x14ac:dyDescent="0.35">
      <c r="A36" t="s">
        <v>92</v>
      </c>
      <c r="B36">
        <v>9</v>
      </c>
      <c r="C36">
        <v>1</v>
      </c>
    </row>
    <row r="37" spans="1:3" x14ac:dyDescent="0.35">
      <c r="A37" t="s">
        <v>93</v>
      </c>
      <c r="B37">
        <v>10</v>
      </c>
      <c r="C37">
        <v>0</v>
      </c>
    </row>
    <row r="38" spans="1:3" x14ac:dyDescent="0.35">
      <c r="A38" t="s">
        <v>94</v>
      </c>
      <c r="B38">
        <v>7</v>
      </c>
      <c r="C38">
        <v>3</v>
      </c>
    </row>
    <row r="39" spans="1:3" x14ac:dyDescent="0.35">
      <c r="A39" t="s">
        <v>95</v>
      </c>
      <c r="B39">
        <v>7</v>
      </c>
      <c r="C39">
        <v>3</v>
      </c>
    </row>
    <row r="52" spans="1:2" ht="21" x14ac:dyDescent="0.5">
      <c r="A52" s="4" t="s">
        <v>275</v>
      </c>
    </row>
    <row r="53" spans="1:2" x14ac:dyDescent="0.35">
      <c r="A53" s="1" t="s">
        <v>96</v>
      </c>
      <c r="B53" s="1" t="s">
        <v>97</v>
      </c>
    </row>
    <row r="54" spans="1:2" x14ac:dyDescent="0.35">
      <c r="A54" t="s">
        <v>98</v>
      </c>
      <c r="B54">
        <v>13</v>
      </c>
    </row>
    <row r="55" spans="1:2" x14ac:dyDescent="0.35">
      <c r="A55" t="s">
        <v>21</v>
      </c>
      <c r="B55">
        <v>13</v>
      </c>
    </row>
    <row r="63" spans="1:2" ht="21" x14ac:dyDescent="0.5">
      <c r="A63" s="4" t="s">
        <v>276</v>
      </c>
    </row>
    <row r="64" spans="1:2" x14ac:dyDescent="0.35">
      <c r="A64" s="1" t="s">
        <v>55</v>
      </c>
      <c r="B64" s="1" t="s">
        <v>99</v>
      </c>
    </row>
    <row r="65" spans="1:2" x14ac:dyDescent="0.35">
      <c r="A65" t="s">
        <v>22</v>
      </c>
      <c r="B65">
        <v>13.1</v>
      </c>
    </row>
    <row r="66" spans="1:2" x14ac:dyDescent="0.35">
      <c r="A66" t="s">
        <v>70</v>
      </c>
      <c r="B66">
        <v>12.2</v>
      </c>
    </row>
    <row r="67" spans="1:2" x14ac:dyDescent="0.35">
      <c r="A67" t="s">
        <v>74</v>
      </c>
      <c r="B67">
        <v>11.3</v>
      </c>
    </row>
    <row r="68" spans="1:2" x14ac:dyDescent="0.35">
      <c r="A68" t="s">
        <v>76</v>
      </c>
      <c r="B68">
        <v>10.3</v>
      </c>
    </row>
    <row r="69" spans="1:2" x14ac:dyDescent="0.35">
      <c r="A69" t="s">
        <v>78</v>
      </c>
      <c r="B69">
        <v>9.1</v>
      </c>
    </row>
    <row r="70" spans="1:2" x14ac:dyDescent="0.35">
      <c r="A70" t="s">
        <v>80</v>
      </c>
      <c r="B70">
        <v>8.1999999999999993</v>
      </c>
    </row>
    <row r="71" spans="1:2" x14ac:dyDescent="0.35">
      <c r="A71" t="s">
        <v>82</v>
      </c>
      <c r="B71">
        <v>7.7</v>
      </c>
    </row>
    <row r="72" spans="1:2" x14ac:dyDescent="0.35">
      <c r="A72" t="s">
        <v>84</v>
      </c>
      <c r="B72">
        <v>6.5</v>
      </c>
    </row>
    <row r="73" spans="1:2" x14ac:dyDescent="0.35">
      <c r="A73" t="s">
        <v>85</v>
      </c>
      <c r="B73">
        <v>5.3</v>
      </c>
    </row>
    <row r="74" spans="1:2" x14ac:dyDescent="0.35">
      <c r="A74" t="s">
        <v>86</v>
      </c>
      <c r="B74">
        <v>4.9000000000000004</v>
      </c>
    </row>
    <row r="75" spans="1:2" x14ac:dyDescent="0.35">
      <c r="A75" t="s">
        <v>87</v>
      </c>
      <c r="B75">
        <v>3.6</v>
      </c>
    </row>
    <row r="76" spans="1:2" x14ac:dyDescent="0.35">
      <c r="A76" t="s">
        <v>88</v>
      </c>
      <c r="B76">
        <v>2.7</v>
      </c>
    </row>
    <row r="77" spans="1:2" x14ac:dyDescent="0.35">
      <c r="A77" t="s">
        <v>89</v>
      </c>
      <c r="B77">
        <v>1.8</v>
      </c>
    </row>
    <row r="78" spans="1:2" x14ac:dyDescent="0.35">
      <c r="A78" t="s">
        <v>23</v>
      </c>
      <c r="B78">
        <v>1</v>
      </c>
    </row>
    <row r="79" spans="1:2" x14ac:dyDescent="0.35">
      <c r="A79" t="s">
        <v>100</v>
      </c>
      <c r="B79">
        <v>0</v>
      </c>
    </row>
    <row r="86" spans="1:4" ht="21" x14ac:dyDescent="0.5">
      <c r="A86" s="4"/>
    </row>
    <row r="87" spans="1:4" ht="21" x14ac:dyDescent="0.5">
      <c r="A87" s="4" t="s">
        <v>277</v>
      </c>
    </row>
    <row r="88" spans="1:4" x14ac:dyDescent="0.35">
      <c r="A88" s="1" t="s">
        <v>101</v>
      </c>
      <c r="B88" s="1" t="s">
        <v>102</v>
      </c>
      <c r="C88" s="1" t="s">
        <v>103</v>
      </c>
      <c r="D88" s="1" t="s">
        <v>104</v>
      </c>
    </row>
    <row r="89" spans="1:4" x14ac:dyDescent="0.35">
      <c r="A89" t="s">
        <v>42</v>
      </c>
      <c r="B89" t="s">
        <v>105</v>
      </c>
      <c r="C89" t="s">
        <v>106</v>
      </c>
      <c r="D89" t="s">
        <v>107</v>
      </c>
    </row>
  </sheetData>
  <mergeCells count="3">
    <mergeCell ref="A4:C4"/>
    <mergeCell ref="A1:V1"/>
    <mergeCell ref="A15:B15"/>
  </mergeCells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1"/>
  <sheetViews>
    <sheetView topLeftCell="A79" zoomScale="77" zoomScaleNormal="83" workbookViewId="0">
      <selection activeCell="D91" sqref="D91"/>
    </sheetView>
  </sheetViews>
  <sheetFormatPr defaultRowHeight="14.5" x14ac:dyDescent="0.35"/>
  <cols>
    <col min="1" max="1" width="32.08984375" bestFit="1" customWidth="1"/>
    <col min="2" max="2" width="31.08984375" bestFit="1" customWidth="1"/>
    <col min="3" max="3" width="41.81640625" bestFit="1" customWidth="1"/>
    <col min="4" max="4" width="30.08984375" bestFit="1" customWidth="1"/>
    <col min="5" max="5" width="52.26953125" bestFit="1" customWidth="1"/>
    <col min="6" max="6" width="30.6328125" customWidth="1"/>
    <col min="7" max="7" width="24.08984375" customWidth="1"/>
    <col min="8" max="8" width="60.54296875" bestFit="1" customWidth="1"/>
    <col min="9" max="9" width="53.453125" bestFit="1" customWidth="1"/>
    <col min="10" max="10" width="23.54296875" customWidth="1"/>
    <col min="11" max="11" width="29.453125" customWidth="1"/>
    <col min="12" max="12" width="31" customWidth="1"/>
    <col min="13" max="13" width="26.453125" customWidth="1"/>
    <col min="14" max="14" width="19.1796875" customWidth="1"/>
    <col min="15" max="15" width="21.1796875" customWidth="1"/>
    <col min="16" max="16" width="30.81640625" customWidth="1"/>
    <col min="17" max="17" width="28.453125" customWidth="1"/>
    <col min="18" max="18" width="14" customWidth="1"/>
    <col min="19" max="19" width="23.36328125" customWidth="1"/>
    <col min="20" max="20" width="17.81640625" customWidth="1"/>
    <col min="21" max="21" width="27.08984375" customWidth="1"/>
    <col min="22" max="22" width="39.7265625" customWidth="1"/>
  </cols>
  <sheetData>
    <row r="1" spans="1:22" ht="23.5" x14ac:dyDescent="0.55000000000000004">
      <c r="A1" s="2" t="s">
        <v>280</v>
      </c>
    </row>
    <row r="3" spans="1:22" ht="21" x14ac:dyDescent="0.5">
      <c r="A3" s="4" t="s">
        <v>272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>
        <v>2</v>
      </c>
      <c r="B5" t="s">
        <v>100</v>
      </c>
      <c r="C5" t="s">
        <v>108</v>
      </c>
      <c r="D5" t="s">
        <v>24</v>
      </c>
      <c r="E5" t="s">
        <v>109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f>SUM(Table8[[#This Row],[BA Salary (Rs)]:[Data Analyst Salary (Rs)]])</f>
        <v>425000</v>
      </c>
      <c r="M5">
        <v>100000</v>
      </c>
      <c r="N5">
        <f>SUM(Table8[[#This Row],[Total Salary Expense (Rs)]:[Operational Cost (Rs)]])</f>
        <v>525000</v>
      </c>
      <c r="O5">
        <v>5</v>
      </c>
      <c r="P5">
        <f>Table8[[#This Row],[Total Cost (Rs)]]*Table8[[#This Row],[Contingency (%)]]/100</f>
        <v>26250</v>
      </c>
      <c r="Q5">
        <f>SUM(Table8[[#This Row],[Total Cost (Rs)]],Table8[[#This Row],[Contingency Amount (Rs)]])</f>
        <v>551250</v>
      </c>
      <c r="R5">
        <f>Table8[[#This Row],[Budget Allocated (Rs)]]-Table8[[#This Row],[Total Cost (Rs)]]</f>
        <v>475000</v>
      </c>
      <c r="S5">
        <f>Table8[[#This Row],[Budget Allocated (Rs)]]-Table8[[#This Row],[Revised Total Cost (Rs)]]</f>
        <v>448750</v>
      </c>
      <c r="T5">
        <f>Table8[[#This Row],[Total Cost (Rs)]]+Table8[[#This Row],[Profit (Rs)]]</f>
        <v>1000000</v>
      </c>
      <c r="U5">
        <f>Table8[[#This Row],[Revised Total Cost (Rs)]]+Table8[[#This Row],[Revised Profit (Rs)]]</f>
        <v>1000000</v>
      </c>
      <c r="V5" s="6">
        <f>SUM(B1S1[Velocity (Story Points Completed)],'Sprint 2'!B52)/2</f>
        <v>14.5</v>
      </c>
    </row>
    <row r="9" spans="1:22" ht="21" x14ac:dyDescent="0.5">
      <c r="A9" s="4" t="s">
        <v>271</v>
      </c>
    </row>
    <row r="10" spans="1:22" x14ac:dyDescent="0.3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22" x14ac:dyDescent="0.35">
      <c r="A11">
        <v>3</v>
      </c>
      <c r="B11" t="s">
        <v>110</v>
      </c>
      <c r="C11" t="s">
        <v>111</v>
      </c>
      <c r="D11" t="s">
        <v>40</v>
      </c>
      <c r="E11" t="s">
        <v>41</v>
      </c>
      <c r="F11">
        <v>8</v>
      </c>
      <c r="G11" t="s">
        <v>112</v>
      </c>
      <c r="H11" t="s">
        <v>113</v>
      </c>
      <c r="I11" t="s">
        <v>114</v>
      </c>
      <c r="J11" t="s">
        <v>48</v>
      </c>
      <c r="K11" t="s">
        <v>40</v>
      </c>
      <c r="L11" t="s">
        <v>115</v>
      </c>
    </row>
    <row r="12" spans="1:22" x14ac:dyDescent="0.35">
      <c r="A12">
        <v>4</v>
      </c>
      <c r="B12" t="s">
        <v>116</v>
      </c>
      <c r="C12" t="s">
        <v>117</v>
      </c>
      <c r="D12" t="s">
        <v>40</v>
      </c>
      <c r="E12" t="s">
        <v>41</v>
      </c>
      <c r="F12">
        <v>8</v>
      </c>
      <c r="G12" t="s">
        <v>112</v>
      </c>
      <c r="H12" t="s">
        <v>118</v>
      </c>
      <c r="I12" t="s">
        <v>119</v>
      </c>
      <c r="J12" t="s">
        <v>110</v>
      </c>
      <c r="K12" t="s">
        <v>53</v>
      </c>
      <c r="L12" t="s">
        <v>115</v>
      </c>
    </row>
    <row r="18" spans="1:13" ht="21" x14ac:dyDescent="0.5">
      <c r="A18" s="4" t="s">
        <v>273</v>
      </c>
    </row>
    <row r="19" spans="1:13" x14ac:dyDescent="0.3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65</v>
      </c>
      <c r="L19" s="1" t="s">
        <v>66</v>
      </c>
      <c r="M19" s="1" t="s">
        <v>67</v>
      </c>
    </row>
    <row r="20" spans="1:13" x14ac:dyDescent="0.35">
      <c r="A20" t="s">
        <v>100</v>
      </c>
      <c r="B20" t="s">
        <v>68</v>
      </c>
      <c r="C20">
        <v>1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</row>
    <row r="21" spans="1:13" x14ac:dyDescent="0.35">
      <c r="A21" t="s">
        <v>120</v>
      </c>
      <c r="B21" t="s">
        <v>71</v>
      </c>
      <c r="C21">
        <v>1</v>
      </c>
      <c r="D21" t="s">
        <v>72</v>
      </c>
      <c r="E21">
        <v>8</v>
      </c>
      <c r="F21" t="s">
        <v>72</v>
      </c>
      <c r="G21">
        <v>8</v>
      </c>
      <c r="H21" t="s">
        <v>72</v>
      </c>
      <c r="I21">
        <v>8</v>
      </c>
      <c r="J21" t="s">
        <v>72</v>
      </c>
      <c r="K21">
        <v>8</v>
      </c>
      <c r="L21" t="s">
        <v>72</v>
      </c>
      <c r="M21">
        <v>8</v>
      </c>
    </row>
    <row r="22" spans="1:13" x14ac:dyDescent="0.35">
      <c r="A22" t="s">
        <v>121</v>
      </c>
      <c r="B22" t="s">
        <v>75</v>
      </c>
      <c r="C22">
        <v>1</v>
      </c>
      <c r="D22" t="s">
        <v>73</v>
      </c>
      <c r="E22">
        <v>0</v>
      </c>
      <c r="F22" t="s">
        <v>72</v>
      </c>
      <c r="G22">
        <v>8</v>
      </c>
      <c r="H22" t="s">
        <v>72</v>
      </c>
      <c r="I22">
        <v>8</v>
      </c>
      <c r="J22" t="s">
        <v>72</v>
      </c>
      <c r="K22">
        <v>8</v>
      </c>
      <c r="L22" t="s">
        <v>72</v>
      </c>
      <c r="M22">
        <v>8</v>
      </c>
    </row>
    <row r="23" spans="1:13" x14ac:dyDescent="0.35">
      <c r="A23" t="s">
        <v>122</v>
      </c>
      <c r="B23" t="s">
        <v>77</v>
      </c>
      <c r="C23">
        <v>1</v>
      </c>
      <c r="D23" t="s">
        <v>72</v>
      </c>
      <c r="E23">
        <v>8</v>
      </c>
      <c r="F23" t="s">
        <v>72</v>
      </c>
      <c r="G23">
        <v>8</v>
      </c>
      <c r="H23" t="s">
        <v>72</v>
      </c>
      <c r="I23">
        <v>8</v>
      </c>
      <c r="J23" t="s">
        <v>72</v>
      </c>
      <c r="K23">
        <v>8</v>
      </c>
      <c r="L23" t="s">
        <v>72</v>
      </c>
      <c r="M23">
        <v>8</v>
      </c>
    </row>
    <row r="24" spans="1:13" x14ac:dyDescent="0.35">
      <c r="A24" t="s">
        <v>123</v>
      </c>
      <c r="B24" t="s">
        <v>79</v>
      </c>
      <c r="C24">
        <v>1</v>
      </c>
      <c r="D24" t="s">
        <v>72</v>
      </c>
      <c r="E24">
        <v>8</v>
      </c>
      <c r="F24" t="s">
        <v>72</v>
      </c>
      <c r="G24">
        <v>8</v>
      </c>
      <c r="H24" t="s">
        <v>72</v>
      </c>
      <c r="I24">
        <v>8</v>
      </c>
      <c r="J24" t="s">
        <v>72</v>
      </c>
      <c r="K24">
        <v>8</v>
      </c>
      <c r="L24" t="s">
        <v>72</v>
      </c>
      <c r="M24">
        <v>8</v>
      </c>
    </row>
    <row r="25" spans="1:13" x14ac:dyDescent="0.35">
      <c r="A25" t="s">
        <v>124</v>
      </c>
      <c r="B25" t="s">
        <v>81</v>
      </c>
      <c r="C25">
        <v>1</v>
      </c>
      <c r="D25" t="s">
        <v>72</v>
      </c>
      <c r="E25">
        <v>8</v>
      </c>
      <c r="F25" t="s">
        <v>72</v>
      </c>
      <c r="G25">
        <v>8</v>
      </c>
      <c r="H25" t="s">
        <v>72</v>
      </c>
      <c r="I25">
        <v>8</v>
      </c>
      <c r="J25" t="s">
        <v>72</v>
      </c>
      <c r="K25">
        <v>8</v>
      </c>
      <c r="L25" t="s">
        <v>72</v>
      </c>
      <c r="M25">
        <v>8</v>
      </c>
    </row>
    <row r="26" spans="1:13" x14ac:dyDescent="0.35">
      <c r="A26" t="s">
        <v>125</v>
      </c>
      <c r="B26" t="s">
        <v>83</v>
      </c>
      <c r="C26">
        <v>1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</row>
    <row r="27" spans="1:13" x14ac:dyDescent="0.35">
      <c r="A27" t="s">
        <v>126</v>
      </c>
      <c r="B27" t="s">
        <v>68</v>
      </c>
      <c r="C27">
        <v>2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</row>
    <row r="28" spans="1:13" x14ac:dyDescent="0.35">
      <c r="A28" t="s">
        <v>127</v>
      </c>
      <c r="B28" t="s">
        <v>71</v>
      </c>
      <c r="C28">
        <v>2</v>
      </c>
      <c r="D28" t="s">
        <v>72</v>
      </c>
      <c r="E28">
        <v>8</v>
      </c>
      <c r="F28" t="s">
        <v>72</v>
      </c>
      <c r="G28">
        <v>8</v>
      </c>
      <c r="H28" t="s">
        <v>73</v>
      </c>
      <c r="I28">
        <v>0</v>
      </c>
      <c r="J28" t="s">
        <v>72</v>
      </c>
      <c r="K28">
        <v>8</v>
      </c>
      <c r="L28" t="s">
        <v>72</v>
      </c>
      <c r="M28">
        <v>8</v>
      </c>
    </row>
    <row r="29" spans="1:13" x14ac:dyDescent="0.35">
      <c r="A29" t="s">
        <v>128</v>
      </c>
      <c r="B29" t="s">
        <v>75</v>
      </c>
      <c r="C29">
        <v>2</v>
      </c>
      <c r="D29" t="s">
        <v>73</v>
      </c>
      <c r="E29">
        <v>0</v>
      </c>
      <c r="F29" t="s">
        <v>72</v>
      </c>
      <c r="G29">
        <v>8</v>
      </c>
      <c r="H29" t="s">
        <v>72</v>
      </c>
      <c r="I29">
        <v>8</v>
      </c>
      <c r="J29" t="s">
        <v>73</v>
      </c>
      <c r="K29">
        <v>0</v>
      </c>
      <c r="L29" t="s">
        <v>72</v>
      </c>
      <c r="M29">
        <v>8</v>
      </c>
    </row>
    <row r="30" spans="1:13" x14ac:dyDescent="0.35">
      <c r="A30" t="s">
        <v>129</v>
      </c>
      <c r="B30" t="s">
        <v>77</v>
      </c>
      <c r="C30">
        <v>2</v>
      </c>
      <c r="D30" t="s">
        <v>72</v>
      </c>
      <c r="E30">
        <v>8</v>
      </c>
      <c r="F30" t="s">
        <v>72</v>
      </c>
      <c r="G30">
        <v>8</v>
      </c>
      <c r="H30" t="s">
        <v>72</v>
      </c>
      <c r="I30">
        <v>8</v>
      </c>
      <c r="J30" t="s">
        <v>72</v>
      </c>
      <c r="K30">
        <v>8</v>
      </c>
      <c r="L30" t="s">
        <v>72</v>
      </c>
      <c r="M30">
        <v>8</v>
      </c>
    </row>
    <row r="31" spans="1:13" x14ac:dyDescent="0.35">
      <c r="A31" t="s">
        <v>130</v>
      </c>
      <c r="B31" t="s">
        <v>79</v>
      </c>
      <c r="C31">
        <v>2</v>
      </c>
      <c r="D31" t="s">
        <v>72</v>
      </c>
      <c r="E31">
        <v>8</v>
      </c>
      <c r="F31" t="s">
        <v>72</v>
      </c>
      <c r="G31">
        <v>8</v>
      </c>
      <c r="H31" t="s">
        <v>72</v>
      </c>
      <c r="I31">
        <v>8</v>
      </c>
      <c r="J31" t="s">
        <v>73</v>
      </c>
      <c r="K31">
        <v>0</v>
      </c>
      <c r="L31" t="s">
        <v>72</v>
      </c>
      <c r="M31">
        <v>8</v>
      </c>
    </row>
    <row r="32" spans="1:13" x14ac:dyDescent="0.35">
      <c r="A32" t="s">
        <v>131</v>
      </c>
      <c r="B32" t="s">
        <v>81</v>
      </c>
      <c r="C32">
        <v>2</v>
      </c>
      <c r="D32" t="s">
        <v>73</v>
      </c>
      <c r="E32">
        <v>0</v>
      </c>
      <c r="F32" t="s">
        <v>72</v>
      </c>
      <c r="G32">
        <v>8</v>
      </c>
      <c r="H32" t="s">
        <v>72</v>
      </c>
      <c r="I32">
        <v>8</v>
      </c>
      <c r="J32" t="s">
        <v>73</v>
      </c>
      <c r="K32">
        <v>0</v>
      </c>
      <c r="L32" t="s">
        <v>72</v>
      </c>
      <c r="M32">
        <v>8</v>
      </c>
    </row>
    <row r="33" spans="1:13" x14ac:dyDescent="0.35">
      <c r="A33" t="s">
        <v>108</v>
      </c>
      <c r="B33" t="s">
        <v>83</v>
      </c>
      <c r="C33">
        <v>2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</row>
    <row r="39" spans="1:13" ht="21" x14ac:dyDescent="0.5">
      <c r="A39" s="4" t="s">
        <v>274</v>
      </c>
    </row>
    <row r="40" spans="1:13" x14ac:dyDescent="0.35">
      <c r="A40" s="1" t="s">
        <v>90</v>
      </c>
      <c r="B40" s="1" t="s">
        <v>72</v>
      </c>
      <c r="C40" s="1" t="s">
        <v>73</v>
      </c>
    </row>
    <row r="41" spans="1:13" x14ac:dyDescent="0.35">
      <c r="A41" t="s">
        <v>91</v>
      </c>
      <c r="B41">
        <v>7</v>
      </c>
      <c r="C41">
        <v>3</v>
      </c>
    </row>
    <row r="42" spans="1:13" x14ac:dyDescent="0.35">
      <c r="A42" t="s">
        <v>92</v>
      </c>
      <c r="B42">
        <v>10</v>
      </c>
      <c r="C42">
        <v>0</v>
      </c>
    </row>
    <row r="43" spans="1:13" x14ac:dyDescent="0.35">
      <c r="A43" t="s">
        <v>93</v>
      </c>
      <c r="B43">
        <v>9</v>
      </c>
      <c r="C43">
        <v>1</v>
      </c>
    </row>
    <row r="44" spans="1:13" x14ac:dyDescent="0.35">
      <c r="A44" t="s">
        <v>94</v>
      </c>
      <c r="B44">
        <v>7</v>
      </c>
      <c r="C44">
        <v>3</v>
      </c>
    </row>
    <row r="45" spans="1:13" x14ac:dyDescent="0.35">
      <c r="A45" t="s">
        <v>95</v>
      </c>
      <c r="B45">
        <v>10</v>
      </c>
      <c r="C45">
        <v>0</v>
      </c>
    </row>
    <row r="50" spans="1:2" ht="21" x14ac:dyDescent="0.5">
      <c r="A50" s="4" t="s">
        <v>275</v>
      </c>
    </row>
    <row r="51" spans="1:2" x14ac:dyDescent="0.35">
      <c r="A51" s="1" t="s">
        <v>96</v>
      </c>
      <c r="B51" s="1" t="s">
        <v>97</v>
      </c>
    </row>
    <row r="52" spans="1:2" x14ac:dyDescent="0.35">
      <c r="A52" t="s">
        <v>98</v>
      </c>
      <c r="B52">
        <v>16</v>
      </c>
    </row>
    <row r="53" spans="1:2" x14ac:dyDescent="0.35">
      <c r="A53" t="s">
        <v>21</v>
      </c>
      <c r="B53">
        <f>V5</f>
        <v>14.5</v>
      </c>
    </row>
    <row r="69" spans="1:2" ht="21" x14ac:dyDescent="0.5">
      <c r="A69" s="4" t="s">
        <v>276</v>
      </c>
    </row>
    <row r="70" spans="1:2" x14ac:dyDescent="0.35">
      <c r="A70" s="1" t="s">
        <v>55</v>
      </c>
      <c r="B70" s="1" t="s">
        <v>99</v>
      </c>
    </row>
    <row r="71" spans="1:2" x14ac:dyDescent="0.35">
      <c r="A71" t="s">
        <v>100</v>
      </c>
      <c r="B71">
        <v>16.600000000000001</v>
      </c>
    </row>
    <row r="72" spans="1:2" x14ac:dyDescent="0.35">
      <c r="A72" t="s">
        <v>120</v>
      </c>
      <c r="B72">
        <v>15.3</v>
      </c>
    </row>
    <row r="73" spans="1:2" x14ac:dyDescent="0.35">
      <c r="A73" t="s">
        <v>121</v>
      </c>
      <c r="B73">
        <v>13.3</v>
      </c>
    </row>
    <row r="74" spans="1:2" x14ac:dyDescent="0.35">
      <c r="A74" t="s">
        <v>122</v>
      </c>
      <c r="B74">
        <v>12.2</v>
      </c>
    </row>
    <row r="75" spans="1:2" x14ac:dyDescent="0.35">
      <c r="A75" t="s">
        <v>123</v>
      </c>
      <c r="B75">
        <v>12</v>
      </c>
    </row>
    <row r="76" spans="1:2" x14ac:dyDescent="0.35">
      <c r="A76" t="s">
        <v>124</v>
      </c>
      <c r="B76">
        <v>10.1</v>
      </c>
    </row>
    <row r="77" spans="1:2" x14ac:dyDescent="0.35">
      <c r="A77" t="s">
        <v>125</v>
      </c>
      <c r="B77">
        <v>8.6999999999999993</v>
      </c>
    </row>
    <row r="78" spans="1:2" x14ac:dyDescent="0.35">
      <c r="A78" t="s">
        <v>126</v>
      </c>
      <c r="B78">
        <v>8.4</v>
      </c>
    </row>
    <row r="79" spans="1:2" x14ac:dyDescent="0.35">
      <c r="A79" t="s">
        <v>127</v>
      </c>
      <c r="B79">
        <v>6.6</v>
      </c>
    </row>
    <row r="80" spans="1:2" x14ac:dyDescent="0.35">
      <c r="A80" t="s">
        <v>128</v>
      </c>
      <c r="B80">
        <v>5.9</v>
      </c>
    </row>
    <row r="81" spans="1:4" x14ac:dyDescent="0.35">
      <c r="A81" t="s">
        <v>129</v>
      </c>
      <c r="B81">
        <v>4.5</v>
      </c>
    </row>
    <row r="82" spans="1:4" x14ac:dyDescent="0.35">
      <c r="A82" t="s">
        <v>130</v>
      </c>
      <c r="B82">
        <v>3.6</v>
      </c>
    </row>
    <row r="83" spans="1:4" x14ac:dyDescent="0.35">
      <c r="A83" t="s">
        <v>131</v>
      </c>
      <c r="B83">
        <v>2.4</v>
      </c>
    </row>
    <row r="84" spans="1:4" x14ac:dyDescent="0.35">
      <c r="A84" t="s">
        <v>108</v>
      </c>
      <c r="B84">
        <v>1.1000000000000001</v>
      </c>
    </row>
    <row r="85" spans="1:4" x14ac:dyDescent="0.35">
      <c r="A85" t="s">
        <v>132</v>
      </c>
      <c r="B85">
        <v>0</v>
      </c>
    </row>
    <row r="89" spans="1:4" ht="21" x14ac:dyDescent="0.5">
      <c r="A89" s="4" t="s">
        <v>277</v>
      </c>
    </row>
    <row r="90" spans="1:4" x14ac:dyDescent="0.35">
      <c r="A90" s="1" t="s">
        <v>101</v>
      </c>
      <c r="B90" s="1" t="s">
        <v>102</v>
      </c>
      <c r="C90" s="1" t="s">
        <v>103</v>
      </c>
      <c r="D90" s="1" t="s">
        <v>104</v>
      </c>
    </row>
    <row r="91" spans="1:4" x14ac:dyDescent="0.35">
      <c r="A91" t="s">
        <v>112</v>
      </c>
      <c r="B91" t="s">
        <v>133</v>
      </c>
      <c r="C91" t="s">
        <v>106</v>
      </c>
      <c r="D91" t="s">
        <v>288</v>
      </c>
    </row>
  </sheetData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2"/>
  <sheetViews>
    <sheetView topLeftCell="O1" zoomScale="90" workbookViewId="0">
      <selection activeCell="B44" sqref="B44"/>
    </sheetView>
  </sheetViews>
  <sheetFormatPr defaultRowHeight="14.5" x14ac:dyDescent="0.35"/>
  <cols>
    <col min="1" max="1" width="28.7265625" bestFit="1" customWidth="1"/>
    <col min="2" max="2" width="28.81640625" bestFit="1" customWidth="1"/>
    <col min="3" max="3" width="37.90625" bestFit="1" customWidth="1"/>
    <col min="4" max="4" width="19.1796875" bestFit="1" customWidth="1"/>
    <col min="5" max="5" width="42.1796875" bestFit="1" customWidth="1"/>
    <col min="6" max="6" width="26.90625" bestFit="1" customWidth="1"/>
    <col min="7" max="7" width="22.08984375" bestFit="1" customWidth="1"/>
    <col min="8" max="8" width="45.7265625" bestFit="1" customWidth="1"/>
    <col min="9" max="9" width="50.1796875" bestFit="1" customWidth="1"/>
    <col min="10" max="10" width="20.90625" bestFit="1" customWidth="1"/>
    <col min="11" max="11" width="25.26953125" bestFit="1" customWidth="1"/>
    <col min="12" max="12" width="26.453125" bestFit="1" customWidth="1"/>
    <col min="13" max="13" width="23.36328125" bestFit="1" customWidth="1"/>
    <col min="14" max="14" width="17.54296875" bestFit="1" customWidth="1"/>
    <col min="15" max="15" width="18.90625" bestFit="1" customWidth="1"/>
    <col min="16" max="16" width="26.81640625" bestFit="1" customWidth="1"/>
    <col min="17" max="17" width="24.453125" bestFit="1" customWidth="1"/>
    <col min="18" max="18" width="13.7265625" bestFit="1" customWidth="1"/>
    <col min="19" max="19" width="20.6328125" bestFit="1" customWidth="1"/>
    <col min="20" max="20" width="16.1796875" bestFit="1" customWidth="1"/>
    <col min="21" max="21" width="23.1796875" bestFit="1" customWidth="1"/>
    <col min="22" max="22" width="33.90625" bestFit="1" customWidth="1"/>
  </cols>
  <sheetData>
    <row r="1" spans="1:22" ht="23.5" x14ac:dyDescent="0.55000000000000004">
      <c r="A1" s="2" t="s">
        <v>281</v>
      </c>
    </row>
    <row r="3" spans="1:22" ht="21" x14ac:dyDescent="0.5">
      <c r="A3" s="4" t="s">
        <v>272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>
        <v>3</v>
      </c>
      <c r="B5" t="s">
        <v>132</v>
      </c>
      <c r="C5" t="s">
        <v>134</v>
      </c>
      <c r="D5" t="s">
        <v>24</v>
      </c>
      <c r="E5" t="s">
        <v>135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f>SUM(Table15[[#This Row],[BA Salary (Rs)]:[Data Analyst Salary (Rs)]])</f>
        <v>425000</v>
      </c>
      <c r="M5">
        <v>100000</v>
      </c>
      <c r="N5">
        <f>SUM(Table15[[#This Row],[Total Salary Expense (Rs)]:[Operational Cost (Rs)]])</f>
        <v>525000</v>
      </c>
      <c r="O5">
        <v>5</v>
      </c>
      <c r="P5">
        <f>Table15[[#This Row],[Total Cost (Rs)]]*Table15[[#This Row],[Contingency (%)]]/100</f>
        <v>26250</v>
      </c>
      <c r="Q5">
        <f>Table15[[#This Row],[Total Cost (Rs)]]+Table15[[#This Row],[Contingency Amount (Rs)]]</f>
        <v>551250</v>
      </c>
      <c r="R5">
        <f>Table15[[#This Row],[Budget Allocated (Rs)]]-Table15[[#This Row],[Total Cost (Rs)]]</f>
        <v>475000</v>
      </c>
      <c r="S5">
        <f>Table15[[#This Row],[Budget Allocated (Rs)]]-Table15[[#This Row],[Revised Total Cost (Rs)]]</f>
        <v>448750</v>
      </c>
      <c r="T5">
        <f>SUM(Table15[[#This Row],[Total Cost (Rs)]],Table15[[#This Row],[Profit (Rs)]])</f>
        <v>1000000</v>
      </c>
      <c r="U5">
        <f>SUM(Table15[[#This Row],[Revised Total Cost (Rs)]],Table15[[#This Row],[Revised Profit (Rs)]])</f>
        <v>1000000</v>
      </c>
      <c r="V5" s="7">
        <f>SUM('Sprint 1'!B54,'Sprint 2'!B52,'Sprint 3'!B43)/3</f>
        <v>12.333333333333334</v>
      </c>
    </row>
    <row r="8" spans="1:22" ht="21" x14ac:dyDescent="0.5">
      <c r="A8" s="4" t="s">
        <v>271</v>
      </c>
    </row>
    <row r="9" spans="1:22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</row>
    <row r="10" spans="1:22" x14ac:dyDescent="0.35">
      <c r="A10">
        <v>5</v>
      </c>
      <c r="B10" t="s">
        <v>136</v>
      </c>
      <c r="C10" t="s">
        <v>137</v>
      </c>
      <c r="D10" t="s">
        <v>53</v>
      </c>
      <c r="E10" t="s">
        <v>41</v>
      </c>
      <c r="F10">
        <v>8</v>
      </c>
      <c r="G10" t="s">
        <v>138</v>
      </c>
      <c r="H10" t="s">
        <v>139</v>
      </c>
      <c r="I10" t="s">
        <v>140</v>
      </c>
      <c r="J10" t="s">
        <v>116</v>
      </c>
      <c r="K10" t="s">
        <v>46</v>
      </c>
      <c r="L10" t="s">
        <v>141</v>
      </c>
    </row>
    <row r="13" spans="1:22" ht="21" x14ac:dyDescent="0.5">
      <c r="A13" s="4" t="s">
        <v>273</v>
      </c>
    </row>
    <row r="14" spans="1:22" x14ac:dyDescent="0.3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64</v>
      </c>
      <c r="K14" s="1" t="s">
        <v>65</v>
      </c>
      <c r="L14" s="1" t="s">
        <v>66</v>
      </c>
      <c r="M14" s="1" t="s">
        <v>67</v>
      </c>
    </row>
    <row r="15" spans="1:22" x14ac:dyDescent="0.35">
      <c r="A15" t="s">
        <v>132</v>
      </c>
      <c r="B15" t="s">
        <v>68</v>
      </c>
      <c r="C15">
        <v>1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</row>
    <row r="16" spans="1:22" x14ac:dyDescent="0.35">
      <c r="A16" t="s">
        <v>142</v>
      </c>
      <c r="B16" t="s">
        <v>71</v>
      </c>
      <c r="C16">
        <v>1</v>
      </c>
      <c r="D16" t="s">
        <v>73</v>
      </c>
      <c r="E16">
        <v>0</v>
      </c>
      <c r="F16" t="s">
        <v>72</v>
      </c>
      <c r="G16">
        <v>8</v>
      </c>
      <c r="H16" t="s">
        <v>72</v>
      </c>
      <c r="I16">
        <v>8</v>
      </c>
      <c r="J16" t="s">
        <v>72</v>
      </c>
      <c r="K16">
        <v>8</v>
      </c>
      <c r="L16" t="s">
        <v>72</v>
      </c>
      <c r="M16">
        <v>8</v>
      </c>
    </row>
    <row r="17" spans="1:13" x14ac:dyDescent="0.35">
      <c r="A17" t="s">
        <v>143</v>
      </c>
      <c r="B17" t="s">
        <v>75</v>
      </c>
      <c r="C17">
        <v>1</v>
      </c>
      <c r="D17" t="s">
        <v>72</v>
      </c>
      <c r="E17">
        <v>8</v>
      </c>
      <c r="F17" t="s">
        <v>73</v>
      </c>
      <c r="G17">
        <v>0</v>
      </c>
      <c r="H17" t="s">
        <v>72</v>
      </c>
      <c r="I17">
        <v>8</v>
      </c>
      <c r="J17" t="s">
        <v>72</v>
      </c>
      <c r="K17">
        <v>8</v>
      </c>
      <c r="L17" t="s">
        <v>72</v>
      </c>
      <c r="M17">
        <v>8</v>
      </c>
    </row>
    <row r="18" spans="1:13" x14ac:dyDescent="0.35">
      <c r="A18" t="s">
        <v>144</v>
      </c>
      <c r="B18" t="s">
        <v>77</v>
      </c>
      <c r="C18">
        <v>1</v>
      </c>
      <c r="D18" t="s">
        <v>72</v>
      </c>
      <c r="E18">
        <v>8</v>
      </c>
      <c r="F18" t="s">
        <v>72</v>
      </c>
      <c r="G18">
        <v>8</v>
      </c>
      <c r="H18" t="s">
        <v>72</v>
      </c>
      <c r="I18">
        <v>8</v>
      </c>
      <c r="J18" t="s">
        <v>72</v>
      </c>
      <c r="K18">
        <v>8</v>
      </c>
      <c r="L18" t="s">
        <v>72</v>
      </c>
      <c r="M18">
        <v>8</v>
      </c>
    </row>
    <row r="19" spans="1:13" x14ac:dyDescent="0.35">
      <c r="A19" t="s">
        <v>145</v>
      </c>
      <c r="B19" t="s">
        <v>79</v>
      </c>
      <c r="C19">
        <v>1</v>
      </c>
      <c r="D19" t="s">
        <v>72</v>
      </c>
      <c r="E19">
        <v>8</v>
      </c>
      <c r="F19" t="s">
        <v>72</v>
      </c>
      <c r="G19">
        <v>8</v>
      </c>
      <c r="H19" t="s">
        <v>72</v>
      </c>
      <c r="I19">
        <v>8</v>
      </c>
      <c r="J19" t="s">
        <v>73</v>
      </c>
      <c r="K19">
        <v>0</v>
      </c>
      <c r="L19" t="s">
        <v>72</v>
      </c>
      <c r="M19">
        <v>8</v>
      </c>
    </row>
    <row r="20" spans="1:13" x14ac:dyDescent="0.35">
      <c r="A20" t="s">
        <v>146</v>
      </c>
      <c r="B20" t="s">
        <v>81</v>
      </c>
      <c r="C20">
        <v>1</v>
      </c>
      <c r="D20" t="s">
        <v>72</v>
      </c>
      <c r="E20">
        <v>8</v>
      </c>
      <c r="F20" t="s">
        <v>73</v>
      </c>
      <c r="G20">
        <v>0</v>
      </c>
      <c r="H20" t="s">
        <v>72</v>
      </c>
      <c r="I20">
        <v>8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147</v>
      </c>
      <c r="B21" t="s">
        <v>83</v>
      </c>
      <c r="C21">
        <v>1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</row>
    <row r="22" spans="1:13" x14ac:dyDescent="0.35">
      <c r="A22" t="s">
        <v>148</v>
      </c>
      <c r="B22" t="s">
        <v>68</v>
      </c>
      <c r="C22">
        <v>2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</row>
    <row r="23" spans="1:13" x14ac:dyDescent="0.35">
      <c r="A23" t="s">
        <v>149</v>
      </c>
      <c r="B23" t="s">
        <v>71</v>
      </c>
      <c r="C23">
        <v>2</v>
      </c>
      <c r="D23" t="s">
        <v>72</v>
      </c>
      <c r="E23">
        <v>8</v>
      </c>
      <c r="F23" t="s">
        <v>72</v>
      </c>
      <c r="G23">
        <v>8</v>
      </c>
      <c r="H23" t="s">
        <v>72</v>
      </c>
      <c r="I23">
        <v>8</v>
      </c>
      <c r="J23" t="s">
        <v>72</v>
      </c>
      <c r="K23">
        <v>8</v>
      </c>
      <c r="L23" t="s">
        <v>72</v>
      </c>
      <c r="M23">
        <v>8</v>
      </c>
    </row>
    <row r="24" spans="1:13" x14ac:dyDescent="0.35">
      <c r="A24" t="s">
        <v>150</v>
      </c>
      <c r="B24" t="s">
        <v>75</v>
      </c>
      <c r="C24">
        <v>2</v>
      </c>
      <c r="D24" t="s">
        <v>72</v>
      </c>
      <c r="E24">
        <v>8</v>
      </c>
      <c r="F24" t="s">
        <v>72</v>
      </c>
      <c r="G24">
        <v>8</v>
      </c>
      <c r="H24" t="s">
        <v>72</v>
      </c>
      <c r="I24">
        <v>8</v>
      </c>
      <c r="J24" t="s">
        <v>72</v>
      </c>
      <c r="K24">
        <v>8</v>
      </c>
      <c r="L24" t="s">
        <v>72</v>
      </c>
      <c r="M24">
        <v>8</v>
      </c>
    </row>
    <row r="25" spans="1:13" x14ac:dyDescent="0.35">
      <c r="A25" t="s">
        <v>151</v>
      </c>
      <c r="B25" t="s">
        <v>77</v>
      </c>
      <c r="C25">
        <v>2</v>
      </c>
      <c r="D25" t="s">
        <v>72</v>
      </c>
      <c r="E25">
        <v>8</v>
      </c>
      <c r="F25" t="s">
        <v>72</v>
      </c>
      <c r="G25">
        <v>8</v>
      </c>
      <c r="H25" t="s">
        <v>72</v>
      </c>
      <c r="I25">
        <v>8</v>
      </c>
      <c r="J25" t="s">
        <v>72</v>
      </c>
      <c r="K25">
        <v>8</v>
      </c>
      <c r="L25" t="s">
        <v>72</v>
      </c>
      <c r="M25">
        <v>8</v>
      </c>
    </row>
    <row r="26" spans="1:13" x14ac:dyDescent="0.35">
      <c r="A26" t="s">
        <v>152</v>
      </c>
      <c r="B26" t="s">
        <v>79</v>
      </c>
      <c r="C26">
        <v>2</v>
      </c>
      <c r="D26" t="s">
        <v>72</v>
      </c>
      <c r="E26">
        <v>8</v>
      </c>
      <c r="F26" t="s">
        <v>72</v>
      </c>
      <c r="G26">
        <v>8</v>
      </c>
      <c r="H26" t="s">
        <v>72</v>
      </c>
      <c r="I26">
        <v>8</v>
      </c>
      <c r="J26" t="s">
        <v>72</v>
      </c>
      <c r="K26">
        <v>8</v>
      </c>
      <c r="L26" t="s">
        <v>72</v>
      </c>
      <c r="M26">
        <v>8</v>
      </c>
    </row>
    <row r="27" spans="1:13" x14ac:dyDescent="0.35">
      <c r="A27" t="s">
        <v>153</v>
      </c>
      <c r="B27" t="s">
        <v>81</v>
      </c>
      <c r="C27">
        <v>2</v>
      </c>
      <c r="D27" t="s">
        <v>72</v>
      </c>
      <c r="E27">
        <v>8</v>
      </c>
      <c r="F27" t="s">
        <v>72</v>
      </c>
      <c r="G27">
        <v>8</v>
      </c>
      <c r="H27" t="s">
        <v>72</v>
      </c>
      <c r="I27">
        <v>8</v>
      </c>
      <c r="J27" t="s">
        <v>72</v>
      </c>
      <c r="K27">
        <v>8</v>
      </c>
      <c r="L27" t="s">
        <v>72</v>
      </c>
      <c r="M27">
        <v>8</v>
      </c>
    </row>
    <row r="28" spans="1:13" x14ac:dyDescent="0.35">
      <c r="A28" t="s">
        <v>134</v>
      </c>
      <c r="B28" t="s">
        <v>83</v>
      </c>
      <c r="C28">
        <v>2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</row>
    <row r="32" spans="1:13" ht="21" x14ac:dyDescent="0.5">
      <c r="A32" s="4" t="s">
        <v>274</v>
      </c>
    </row>
    <row r="33" spans="1:3" x14ac:dyDescent="0.35">
      <c r="A33" s="1" t="s">
        <v>90</v>
      </c>
      <c r="B33" s="1" t="s">
        <v>72</v>
      </c>
      <c r="C33" s="1" t="s">
        <v>73</v>
      </c>
    </row>
    <row r="34" spans="1:3" x14ac:dyDescent="0.35">
      <c r="A34" t="s">
        <v>91</v>
      </c>
      <c r="B34">
        <v>9</v>
      </c>
      <c r="C34">
        <v>1</v>
      </c>
    </row>
    <row r="35" spans="1:3" x14ac:dyDescent="0.35">
      <c r="A35" t="s">
        <v>92</v>
      </c>
      <c r="B35">
        <v>8</v>
      </c>
      <c r="C35">
        <v>2</v>
      </c>
    </row>
    <row r="36" spans="1:3" x14ac:dyDescent="0.35">
      <c r="A36" t="s">
        <v>93</v>
      </c>
      <c r="B36">
        <v>10</v>
      </c>
      <c r="C36">
        <v>0</v>
      </c>
    </row>
    <row r="37" spans="1:3" x14ac:dyDescent="0.35">
      <c r="A37" t="s">
        <v>94</v>
      </c>
      <c r="B37">
        <v>9</v>
      </c>
      <c r="C37">
        <v>1</v>
      </c>
    </row>
    <row r="38" spans="1:3" x14ac:dyDescent="0.35">
      <c r="A38" t="s">
        <v>95</v>
      </c>
      <c r="B38">
        <v>10</v>
      </c>
      <c r="C38">
        <v>0</v>
      </c>
    </row>
    <row r="41" spans="1:3" ht="21" x14ac:dyDescent="0.5">
      <c r="A41" s="4" t="s">
        <v>275</v>
      </c>
    </row>
    <row r="42" spans="1:3" x14ac:dyDescent="0.35">
      <c r="A42" s="1" t="s">
        <v>96</v>
      </c>
      <c r="B42" s="1" t="s">
        <v>97</v>
      </c>
    </row>
    <row r="43" spans="1:3" x14ac:dyDescent="0.35">
      <c r="A43" t="s">
        <v>98</v>
      </c>
      <c r="B43">
        <v>8</v>
      </c>
    </row>
    <row r="44" spans="1:3" x14ac:dyDescent="0.35">
      <c r="A44" t="s">
        <v>21</v>
      </c>
      <c r="B44">
        <f>V5</f>
        <v>12.333333333333334</v>
      </c>
    </row>
    <row r="58" spans="1:2" ht="21" x14ac:dyDescent="0.5">
      <c r="A58" s="4" t="s">
        <v>276</v>
      </c>
    </row>
    <row r="59" spans="1:2" x14ac:dyDescent="0.35">
      <c r="A59" s="1" t="s">
        <v>55</v>
      </c>
      <c r="B59" s="1" t="s">
        <v>99</v>
      </c>
    </row>
    <row r="60" spans="1:2" x14ac:dyDescent="0.35">
      <c r="A60" t="s">
        <v>132</v>
      </c>
      <c r="B60">
        <v>8.3000000000000007</v>
      </c>
    </row>
    <row r="61" spans="1:2" x14ac:dyDescent="0.35">
      <c r="A61" t="s">
        <v>142</v>
      </c>
      <c r="B61">
        <v>7.3</v>
      </c>
    </row>
    <row r="62" spans="1:2" x14ac:dyDescent="0.35">
      <c r="A62" t="s">
        <v>143</v>
      </c>
      <c r="B62">
        <v>6.9</v>
      </c>
    </row>
    <row r="63" spans="1:2" x14ac:dyDescent="0.35">
      <c r="A63" t="s">
        <v>144</v>
      </c>
      <c r="B63">
        <v>6.2</v>
      </c>
    </row>
    <row r="64" spans="1:2" x14ac:dyDescent="0.35">
      <c r="A64" t="s">
        <v>145</v>
      </c>
      <c r="B64">
        <v>6</v>
      </c>
    </row>
    <row r="65" spans="1:2" x14ac:dyDescent="0.35">
      <c r="A65" t="s">
        <v>146</v>
      </c>
      <c r="B65">
        <v>5.2</v>
      </c>
    </row>
    <row r="66" spans="1:2" x14ac:dyDescent="0.35">
      <c r="A66" t="s">
        <v>147</v>
      </c>
      <c r="B66">
        <v>4.4000000000000004</v>
      </c>
    </row>
    <row r="67" spans="1:2" x14ac:dyDescent="0.35">
      <c r="A67" t="s">
        <v>148</v>
      </c>
      <c r="B67">
        <v>4</v>
      </c>
    </row>
    <row r="68" spans="1:2" x14ac:dyDescent="0.35">
      <c r="A68" t="s">
        <v>149</v>
      </c>
      <c r="B68">
        <v>3.4</v>
      </c>
    </row>
    <row r="69" spans="1:2" x14ac:dyDescent="0.35">
      <c r="A69" t="s">
        <v>150</v>
      </c>
      <c r="B69">
        <v>2.7</v>
      </c>
    </row>
    <row r="70" spans="1:2" x14ac:dyDescent="0.35">
      <c r="A70" t="s">
        <v>151</v>
      </c>
      <c r="B70">
        <v>2.2999999999999998</v>
      </c>
    </row>
    <row r="71" spans="1:2" x14ac:dyDescent="0.35">
      <c r="A71" t="s">
        <v>152</v>
      </c>
      <c r="B71">
        <v>1.7</v>
      </c>
    </row>
    <row r="72" spans="1:2" x14ac:dyDescent="0.35">
      <c r="A72" t="s">
        <v>153</v>
      </c>
      <c r="B72">
        <v>1.1000000000000001</v>
      </c>
    </row>
    <row r="73" spans="1:2" x14ac:dyDescent="0.35">
      <c r="A73" t="s">
        <v>134</v>
      </c>
      <c r="B73">
        <v>0.6</v>
      </c>
    </row>
    <row r="74" spans="1:2" x14ac:dyDescent="0.35">
      <c r="A74" t="s">
        <v>154</v>
      </c>
      <c r="B74">
        <v>0</v>
      </c>
    </row>
    <row r="80" spans="1:2" ht="21" x14ac:dyDescent="0.5">
      <c r="A80" s="4" t="s">
        <v>277</v>
      </c>
    </row>
    <row r="81" spans="1:4" x14ac:dyDescent="0.35">
      <c r="A81" s="1" t="s">
        <v>101</v>
      </c>
      <c r="B81" s="1" t="s">
        <v>102</v>
      </c>
      <c r="C81" s="1" t="s">
        <v>103</v>
      </c>
      <c r="D81" s="1" t="s">
        <v>104</v>
      </c>
    </row>
    <row r="82" spans="1:4" x14ac:dyDescent="0.35">
      <c r="A82" t="s">
        <v>138</v>
      </c>
      <c r="B82" t="s">
        <v>105</v>
      </c>
      <c r="C82" t="s">
        <v>106</v>
      </c>
      <c r="D82" t="s">
        <v>155</v>
      </c>
    </row>
  </sheetData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8"/>
  <sheetViews>
    <sheetView topLeftCell="A67" zoomScale="56" zoomScaleNormal="89" workbookViewId="0">
      <selection activeCell="E96" sqref="E96"/>
    </sheetView>
  </sheetViews>
  <sheetFormatPr defaultRowHeight="14.5" x14ac:dyDescent="0.35"/>
  <cols>
    <col min="1" max="2" width="30" bestFit="1" customWidth="1"/>
    <col min="3" max="3" width="33.26953125" bestFit="1" customWidth="1"/>
    <col min="4" max="4" width="28" bestFit="1" customWidth="1"/>
    <col min="5" max="5" width="43.81640625" bestFit="1" customWidth="1"/>
    <col min="6" max="6" width="28.1796875" bestFit="1" customWidth="1"/>
    <col min="7" max="7" width="23.26953125" bestFit="1" customWidth="1"/>
    <col min="8" max="8" width="44.453125" bestFit="1" customWidth="1"/>
    <col min="9" max="9" width="56.26953125" bestFit="1" customWidth="1"/>
    <col min="10" max="10" width="34" bestFit="1" customWidth="1"/>
    <col min="11" max="11" width="26.453125" bestFit="1" customWidth="1"/>
    <col min="12" max="12" width="27.6328125" bestFit="1" customWidth="1"/>
    <col min="13" max="13" width="24.54296875" bestFit="1" customWidth="1"/>
    <col min="14" max="14" width="18.453125" bestFit="1" customWidth="1"/>
    <col min="15" max="15" width="19.90625" bestFit="1" customWidth="1"/>
    <col min="16" max="16" width="28" bestFit="1" customWidth="1"/>
    <col min="17" max="17" width="25.6328125" bestFit="1" customWidth="1"/>
    <col min="18" max="18" width="14.453125" bestFit="1" customWidth="1"/>
    <col min="19" max="19" width="21.6328125" bestFit="1" customWidth="1"/>
    <col min="20" max="20" width="17.08984375" bestFit="1" customWidth="1"/>
    <col min="21" max="21" width="24.26953125" bestFit="1" customWidth="1"/>
    <col min="22" max="22" width="35.36328125" bestFit="1" customWidth="1"/>
  </cols>
  <sheetData>
    <row r="1" spans="1:22" ht="23.5" x14ac:dyDescent="0.55000000000000004">
      <c r="A1" s="2" t="s">
        <v>283</v>
      </c>
    </row>
    <row r="3" spans="1:22" ht="21" x14ac:dyDescent="0.5">
      <c r="A3" s="4" t="s">
        <v>272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>
        <v>4</v>
      </c>
      <c r="B5" t="s">
        <v>154</v>
      </c>
      <c r="C5" t="s">
        <v>156</v>
      </c>
      <c r="D5" t="s">
        <v>24</v>
      </c>
      <c r="E5" t="s">
        <v>157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f>SUM(Table22[[#This Row],[BA Salary (Rs)]:[Data Analyst Salary (Rs)]])</f>
        <v>425000</v>
      </c>
      <c r="M5">
        <v>100000</v>
      </c>
      <c r="N5">
        <f>SUM(Table22[[#This Row],[Total Salary Expense (Rs)]:[Operational Cost (Rs)]])</f>
        <v>525000</v>
      </c>
      <c r="O5">
        <v>5</v>
      </c>
      <c r="P5">
        <f>Table22[[#This Row],[Total Cost (Rs)]]*Table22[[#This Row],[Contingency (%)]]/100</f>
        <v>26250</v>
      </c>
      <c r="Q5">
        <f>SUM(Table22[[#This Row],[Total Cost (Rs)]],Table22[[#This Row],[Contingency Amount (Rs)]])</f>
        <v>551250</v>
      </c>
      <c r="R5">
        <f>Table22[[#This Row],[Budget Allocated (Rs)]]-Table22[[#This Row],[Total Cost (Rs)]]</f>
        <v>475000</v>
      </c>
      <c r="S5">
        <f>Table22[[#This Row],[Budget Allocated (Rs)]]-Table22[[#This Row],[Revised Total Cost (Rs)]]</f>
        <v>448750</v>
      </c>
      <c r="T5">
        <f>SUM(Table22[[#This Row],[Total Cost (Rs)]],Table22[[#This Row],[Profit (Rs)]])</f>
        <v>1000000</v>
      </c>
      <c r="U5">
        <f>SUM(Table22[[#This Row],[Revised Total Cost (Rs)]],Table22[[#This Row],[Revised Profit (Rs)]])</f>
        <v>1000000</v>
      </c>
      <c r="V5">
        <f>SUM('Sprint 1'!B54,'Sprint 2'!B52,'Sprint 3'!B43,'Sprint 4'!B42)/4</f>
        <v>11.25</v>
      </c>
    </row>
    <row r="8" spans="1:22" ht="21" x14ac:dyDescent="0.5">
      <c r="A8" s="4" t="s">
        <v>271</v>
      </c>
    </row>
    <row r="9" spans="1:22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</row>
    <row r="10" spans="1:22" x14ac:dyDescent="0.35">
      <c r="A10">
        <v>6</v>
      </c>
      <c r="B10" t="s">
        <v>158</v>
      </c>
      <c r="C10" t="s">
        <v>159</v>
      </c>
      <c r="D10" t="s">
        <v>53</v>
      </c>
      <c r="E10" t="s">
        <v>41</v>
      </c>
      <c r="F10">
        <v>8</v>
      </c>
      <c r="G10" t="s">
        <v>160</v>
      </c>
      <c r="H10" t="s">
        <v>161</v>
      </c>
      <c r="I10" t="s">
        <v>162</v>
      </c>
      <c r="J10" t="s">
        <v>163</v>
      </c>
      <c r="K10" t="s">
        <v>40</v>
      </c>
      <c r="L10" t="s">
        <v>141</v>
      </c>
    </row>
    <row r="13" spans="1:22" ht="21" x14ac:dyDescent="0.5">
      <c r="A13" s="4" t="s">
        <v>273</v>
      </c>
    </row>
    <row r="14" spans="1:22" x14ac:dyDescent="0.3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64</v>
      </c>
      <c r="K14" s="1" t="s">
        <v>65</v>
      </c>
      <c r="L14" s="1" t="s">
        <v>66</v>
      </c>
      <c r="M14" s="1" t="s">
        <v>67</v>
      </c>
    </row>
    <row r="15" spans="1:22" x14ac:dyDescent="0.35">
      <c r="A15" t="s">
        <v>154</v>
      </c>
      <c r="B15" t="s">
        <v>68</v>
      </c>
      <c r="C15">
        <v>1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</row>
    <row r="16" spans="1:22" x14ac:dyDescent="0.35">
      <c r="A16" t="s">
        <v>164</v>
      </c>
      <c r="B16" t="s">
        <v>71</v>
      </c>
      <c r="C16">
        <v>1</v>
      </c>
      <c r="D16" t="s">
        <v>72</v>
      </c>
      <c r="E16">
        <v>8</v>
      </c>
      <c r="F16" t="s">
        <v>72</v>
      </c>
      <c r="G16">
        <v>8</v>
      </c>
      <c r="H16" t="s">
        <v>72</v>
      </c>
      <c r="I16">
        <v>8</v>
      </c>
      <c r="J16" t="s">
        <v>72</v>
      </c>
      <c r="K16">
        <v>8</v>
      </c>
      <c r="L16" t="s">
        <v>72</v>
      </c>
      <c r="M16">
        <v>8</v>
      </c>
    </row>
    <row r="17" spans="1:13" x14ac:dyDescent="0.35">
      <c r="A17" t="s">
        <v>165</v>
      </c>
      <c r="B17" t="s">
        <v>75</v>
      </c>
      <c r="C17">
        <v>1</v>
      </c>
      <c r="D17" t="s">
        <v>72</v>
      </c>
      <c r="E17">
        <v>8</v>
      </c>
      <c r="F17" t="s">
        <v>72</v>
      </c>
      <c r="G17">
        <v>8</v>
      </c>
      <c r="H17" t="s">
        <v>73</v>
      </c>
      <c r="I17">
        <v>0</v>
      </c>
      <c r="J17" t="s">
        <v>72</v>
      </c>
      <c r="K17">
        <v>8</v>
      </c>
      <c r="L17" t="s">
        <v>72</v>
      </c>
      <c r="M17">
        <v>8</v>
      </c>
    </row>
    <row r="18" spans="1:13" x14ac:dyDescent="0.35">
      <c r="A18" t="s">
        <v>166</v>
      </c>
      <c r="B18" t="s">
        <v>77</v>
      </c>
      <c r="C18">
        <v>1</v>
      </c>
      <c r="D18" t="s">
        <v>72</v>
      </c>
      <c r="E18">
        <v>8</v>
      </c>
      <c r="F18" t="s">
        <v>72</v>
      </c>
      <c r="G18">
        <v>8</v>
      </c>
      <c r="H18" t="s">
        <v>72</v>
      </c>
      <c r="I18">
        <v>8</v>
      </c>
      <c r="J18" t="s">
        <v>73</v>
      </c>
      <c r="K18">
        <v>0</v>
      </c>
      <c r="L18" t="s">
        <v>72</v>
      </c>
      <c r="M18">
        <v>8</v>
      </c>
    </row>
    <row r="19" spans="1:13" x14ac:dyDescent="0.35">
      <c r="A19" t="s">
        <v>167</v>
      </c>
      <c r="B19" t="s">
        <v>79</v>
      </c>
      <c r="C19">
        <v>1</v>
      </c>
      <c r="D19" t="s">
        <v>72</v>
      </c>
      <c r="E19">
        <v>8</v>
      </c>
      <c r="F19" t="s">
        <v>72</v>
      </c>
      <c r="G19">
        <v>8</v>
      </c>
      <c r="H19" t="s">
        <v>72</v>
      </c>
      <c r="I19">
        <v>8</v>
      </c>
      <c r="J19" t="s">
        <v>72</v>
      </c>
      <c r="K19">
        <v>8</v>
      </c>
      <c r="L19" t="s">
        <v>72</v>
      </c>
      <c r="M19">
        <v>8</v>
      </c>
    </row>
    <row r="20" spans="1:13" x14ac:dyDescent="0.35">
      <c r="A20" t="s">
        <v>168</v>
      </c>
      <c r="B20" t="s">
        <v>81</v>
      </c>
      <c r="C20">
        <v>1</v>
      </c>
      <c r="D20" t="s">
        <v>72</v>
      </c>
      <c r="E20">
        <v>8</v>
      </c>
      <c r="F20" t="s">
        <v>72</v>
      </c>
      <c r="G20">
        <v>8</v>
      </c>
      <c r="H20" t="s">
        <v>72</v>
      </c>
      <c r="I20">
        <v>8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169</v>
      </c>
      <c r="B21" t="s">
        <v>83</v>
      </c>
      <c r="C21">
        <v>1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</row>
    <row r="22" spans="1:13" x14ac:dyDescent="0.35">
      <c r="A22" t="s">
        <v>170</v>
      </c>
      <c r="B22" t="s">
        <v>68</v>
      </c>
      <c r="C22">
        <v>2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</row>
    <row r="23" spans="1:13" x14ac:dyDescent="0.35">
      <c r="A23" t="s">
        <v>171</v>
      </c>
      <c r="B23" t="s">
        <v>71</v>
      </c>
      <c r="C23">
        <v>2</v>
      </c>
      <c r="D23" t="s">
        <v>72</v>
      </c>
      <c r="E23">
        <v>8</v>
      </c>
      <c r="F23" t="s">
        <v>72</v>
      </c>
      <c r="G23">
        <v>8</v>
      </c>
      <c r="H23" t="s">
        <v>72</v>
      </c>
      <c r="I23">
        <v>8</v>
      </c>
      <c r="J23" t="s">
        <v>72</v>
      </c>
      <c r="K23">
        <v>8</v>
      </c>
      <c r="L23" t="s">
        <v>72</v>
      </c>
      <c r="M23">
        <v>8</v>
      </c>
    </row>
    <row r="24" spans="1:13" x14ac:dyDescent="0.35">
      <c r="A24" t="s">
        <v>172</v>
      </c>
      <c r="B24" t="s">
        <v>75</v>
      </c>
      <c r="C24">
        <v>2</v>
      </c>
      <c r="D24" t="s">
        <v>72</v>
      </c>
      <c r="E24">
        <v>8</v>
      </c>
      <c r="F24" t="s">
        <v>73</v>
      </c>
      <c r="G24">
        <v>0</v>
      </c>
      <c r="H24" t="s">
        <v>72</v>
      </c>
      <c r="I24">
        <v>8</v>
      </c>
      <c r="J24" t="s">
        <v>72</v>
      </c>
      <c r="K24">
        <v>8</v>
      </c>
      <c r="L24" t="s">
        <v>72</v>
      </c>
      <c r="M24">
        <v>8</v>
      </c>
    </row>
    <row r="25" spans="1:13" x14ac:dyDescent="0.35">
      <c r="A25" t="s">
        <v>173</v>
      </c>
      <c r="B25" t="s">
        <v>77</v>
      </c>
      <c r="C25">
        <v>2</v>
      </c>
      <c r="D25" t="s">
        <v>72</v>
      </c>
      <c r="E25">
        <v>8</v>
      </c>
      <c r="F25" t="s">
        <v>72</v>
      </c>
      <c r="G25">
        <v>8</v>
      </c>
      <c r="H25" t="s">
        <v>72</v>
      </c>
      <c r="I25">
        <v>8</v>
      </c>
      <c r="J25" t="s">
        <v>72</v>
      </c>
      <c r="K25">
        <v>8</v>
      </c>
      <c r="L25" t="s">
        <v>72</v>
      </c>
      <c r="M25">
        <v>8</v>
      </c>
    </row>
    <row r="26" spans="1:13" x14ac:dyDescent="0.35">
      <c r="A26" t="s">
        <v>174</v>
      </c>
      <c r="B26" t="s">
        <v>79</v>
      </c>
      <c r="C26">
        <v>2</v>
      </c>
      <c r="D26" t="s">
        <v>72</v>
      </c>
      <c r="E26">
        <v>8</v>
      </c>
      <c r="F26" t="s">
        <v>72</v>
      </c>
      <c r="G26">
        <v>8</v>
      </c>
      <c r="H26" t="s">
        <v>72</v>
      </c>
      <c r="I26">
        <v>8</v>
      </c>
      <c r="J26" t="s">
        <v>72</v>
      </c>
      <c r="K26">
        <v>8</v>
      </c>
      <c r="L26" t="s">
        <v>72</v>
      </c>
      <c r="M26">
        <v>8</v>
      </c>
    </row>
    <row r="27" spans="1:13" x14ac:dyDescent="0.35">
      <c r="A27" t="s">
        <v>175</v>
      </c>
      <c r="B27" t="s">
        <v>81</v>
      </c>
      <c r="C27">
        <v>2</v>
      </c>
      <c r="D27" t="s">
        <v>72</v>
      </c>
      <c r="E27">
        <v>8</v>
      </c>
      <c r="F27" t="s">
        <v>72</v>
      </c>
      <c r="G27">
        <v>8</v>
      </c>
      <c r="H27" t="s">
        <v>72</v>
      </c>
      <c r="I27">
        <v>8</v>
      </c>
      <c r="J27" t="s">
        <v>72</v>
      </c>
      <c r="K27">
        <v>8</v>
      </c>
      <c r="L27" t="s">
        <v>73</v>
      </c>
      <c r="M27">
        <v>0</v>
      </c>
    </row>
    <row r="28" spans="1:13" x14ac:dyDescent="0.35">
      <c r="A28" t="s">
        <v>156</v>
      </c>
      <c r="B28" t="s">
        <v>83</v>
      </c>
      <c r="C28">
        <v>2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</row>
    <row r="31" spans="1:13" ht="21" x14ac:dyDescent="0.5">
      <c r="A31" s="4" t="s">
        <v>274</v>
      </c>
    </row>
    <row r="32" spans="1:13" x14ac:dyDescent="0.35">
      <c r="A32" s="1" t="s">
        <v>90</v>
      </c>
      <c r="B32" s="1" t="s">
        <v>72</v>
      </c>
      <c r="C32" s="1" t="s">
        <v>73</v>
      </c>
    </row>
    <row r="33" spans="1:3" x14ac:dyDescent="0.35">
      <c r="A33" t="s">
        <v>91</v>
      </c>
      <c r="B33">
        <v>10</v>
      </c>
      <c r="C33">
        <v>0</v>
      </c>
    </row>
    <row r="34" spans="1:3" x14ac:dyDescent="0.35">
      <c r="A34" t="s">
        <v>92</v>
      </c>
      <c r="B34">
        <v>9</v>
      </c>
      <c r="C34">
        <v>1</v>
      </c>
    </row>
    <row r="35" spans="1:3" x14ac:dyDescent="0.35">
      <c r="A35" t="s">
        <v>93</v>
      </c>
      <c r="B35">
        <v>9</v>
      </c>
      <c r="C35">
        <v>1</v>
      </c>
    </row>
    <row r="36" spans="1:3" x14ac:dyDescent="0.35">
      <c r="A36" t="s">
        <v>94</v>
      </c>
      <c r="B36">
        <v>9</v>
      </c>
      <c r="C36">
        <v>1</v>
      </c>
    </row>
    <row r="37" spans="1:3" x14ac:dyDescent="0.35">
      <c r="A37" t="s">
        <v>95</v>
      </c>
      <c r="B37">
        <v>9</v>
      </c>
      <c r="C37">
        <v>1</v>
      </c>
    </row>
    <row r="40" spans="1:3" ht="21" x14ac:dyDescent="0.5">
      <c r="A40" s="4" t="s">
        <v>275</v>
      </c>
    </row>
    <row r="41" spans="1:3" x14ac:dyDescent="0.35">
      <c r="A41" s="1" t="s">
        <v>96</v>
      </c>
      <c r="B41" s="1" t="s">
        <v>97</v>
      </c>
    </row>
    <row r="42" spans="1:3" x14ac:dyDescent="0.35">
      <c r="A42" t="s">
        <v>98</v>
      </c>
      <c r="B42">
        <v>8</v>
      </c>
    </row>
    <row r="43" spans="1:3" x14ac:dyDescent="0.35">
      <c r="A43" t="s">
        <v>21</v>
      </c>
      <c r="B43">
        <f>V5</f>
        <v>11.25</v>
      </c>
    </row>
    <row r="62" spans="1:2" ht="21" x14ac:dyDescent="0.5">
      <c r="A62" s="4" t="s">
        <v>276</v>
      </c>
    </row>
    <row r="63" spans="1:2" x14ac:dyDescent="0.35">
      <c r="A63" s="1" t="s">
        <v>55</v>
      </c>
      <c r="B63" s="1" t="s">
        <v>99</v>
      </c>
    </row>
    <row r="64" spans="1:2" x14ac:dyDescent="0.35">
      <c r="A64" t="s">
        <v>154</v>
      </c>
      <c r="B64">
        <v>8.1999999999999993</v>
      </c>
    </row>
    <row r="65" spans="1:2" x14ac:dyDescent="0.35">
      <c r="A65" t="s">
        <v>164</v>
      </c>
      <c r="B65">
        <v>7.3</v>
      </c>
    </row>
    <row r="66" spans="1:2" x14ac:dyDescent="0.35">
      <c r="A66" t="s">
        <v>165</v>
      </c>
      <c r="B66">
        <v>6.5</v>
      </c>
    </row>
    <row r="67" spans="1:2" x14ac:dyDescent="0.35">
      <c r="A67" t="s">
        <v>166</v>
      </c>
      <c r="B67">
        <v>6.2</v>
      </c>
    </row>
    <row r="68" spans="1:2" x14ac:dyDescent="0.35">
      <c r="A68" t="s">
        <v>167</v>
      </c>
      <c r="B68">
        <v>5.5</v>
      </c>
    </row>
    <row r="69" spans="1:2" x14ac:dyDescent="0.35">
      <c r="A69" t="s">
        <v>168</v>
      </c>
      <c r="B69">
        <v>5.4</v>
      </c>
    </row>
    <row r="70" spans="1:2" x14ac:dyDescent="0.35">
      <c r="A70" t="s">
        <v>169</v>
      </c>
      <c r="B70">
        <v>4.5999999999999996</v>
      </c>
    </row>
    <row r="71" spans="1:2" x14ac:dyDescent="0.35">
      <c r="A71" t="s">
        <v>170</v>
      </c>
      <c r="B71">
        <v>4.0999999999999996</v>
      </c>
    </row>
    <row r="72" spans="1:2" x14ac:dyDescent="0.35">
      <c r="A72" t="s">
        <v>171</v>
      </c>
      <c r="B72">
        <v>3.4</v>
      </c>
    </row>
    <row r="73" spans="1:2" x14ac:dyDescent="0.35">
      <c r="A73" t="s">
        <v>172</v>
      </c>
      <c r="B73">
        <v>2.9</v>
      </c>
    </row>
    <row r="74" spans="1:2" x14ac:dyDescent="0.35">
      <c r="A74" t="s">
        <v>173</v>
      </c>
      <c r="B74">
        <v>2.2999999999999998</v>
      </c>
    </row>
    <row r="75" spans="1:2" x14ac:dyDescent="0.35">
      <c r="A75" t="s">
        <v>174</v>
      </c>
      <c r="B75">
        <v>1.7</v>
      </c>
    </row>
    <row r="76" spans="1:2" x14ac:dyDescent="0.35">
      <c r="A76" t="s">
        <v>175</v>
      </c>
      <c r="B76">
        <v>1.2</v>
      </c>
    </row>
    <row r="77" spans="1:2" x14ac:dyDescent="0.35">
      <c r="A77" t="s">
        <v>156</v>
      </c>
      <c r="B77">
        <v>0.5</v>
      </c>
    </row>
    <row r="78" spans="1:2" x14ac:dyDescent="0.35">
      <c r="A78" t="s">
        <v>176</v>
      </c>
      <c r="B78">
        <v>0</v>
      </c>
    </row>
    <row r="86" spans="1:4" ht="21" x14ac:dyDescent="0.5">
      <c r="A86" s="4" t="s">
        <v>277</v>
      </c>
    </row>
    <row r="87" spans="1:4" x14ac:dyDescent="0.35">
      <c r="A87" s="1" t="s">
        <v>101</v>
      </c>
      <c r="B87" s="1" t="s">
        <v>102</v>
      </c>
      <c r="C87" s="1" t="s">
        <v>103</v>
      </c>
      <c r="D87" s="1" t="s">
        <v>104</v>
      </c>
    </row>
    <row r="88" spans="1:4" x14ac:dyDescent="0.35">
      <c r="A88" t="s">
        <v>160</v>
      </c>
      <c r="B88" t="s">
        <v>105</v>
      </c>
      <c r="C88" t="s">
        <v>106</v>
      </c>
      <c r="D88" t="s">
        <v>289</v>
      </c>
    </row>
  </sheetData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6"/>
  <sheetViews>
    <sheetView topLeftCell="A79" zoomScale="51" zoomScaleNormal="100" workbookViewId="0">
      <selection activeCell="D106" sqref="D106"/>
    </sheetView>
  </sheetViews>
  <sheetFormatPr defaultRowHeight="14.5" x14ac:dyDescent="0.35"/>
  <cols>
    <col min="1" max="1" width="28.7265625" bestFit="1" customWidth="1"/>
    <col min="2" max="2" width="28.6328125" bestFit="1" customWidth="1"/>
    <col min="3" max="3" width="31.81640625" bestFit="1" customWidth="1"/>
    <col min="4" max="4" width="27.08984375" bestFit="1" customWidth="1"/>
    <col min="5" max="5" width="45.7265625" bestFit="1" customWidth="1"/>
    <col min="6" max="6" width="26.90625" bestFit="1" customWidth="1"/>
    <col min="7" max="7" width="22.08984375" bestFit="1" customWidth="1"/>
    <col min="8" max="8" width="44.1796875" bestFit="1" customWidth="1"/>
    <col min="9" max="9" width="50.7265625" bestFit="1" customWidth="1"/>
    <col min="10" max="10" width="20.90625" bestFit="1" customWidth="1"/>
    <col min="11" max="11" width="25.26953125" bestFit="1" customWidth="1"/>
    <col min="12" max="12" width="26.6328125" bestFit="1" customWidth="1"/>
    <col min="13" max="13" width="23.36328125" bestFit="1" customWidth="1"/>
    <col min="14" max="14" width="17.54296875" bestFit="1" customWidth="1"/>
    <col min="15" max="15" width="18.90625" bestFit="1" customWidth="1"/>
    <col min="16" max="16" width="26.81640625" bestFit="1" customWidth="1"/>
    <col min="17" max="17" width="24.453125" bestFit="1" customWidth="1"/>
    <col min="18" max="18" width="13.7265625" bestFit="1" customWidth="1"/>
    <col min="19" max="19" width="20.6328125" bestFit="1" customWidth="1"/>
    <col min="20" max="20" width="16.1796875" bestFit="1" customWidth="1"/>
    <col min="21" max="21" width="23.1796875" bestFit="1" customWidth="1"/>
    <col min="22" max="22" width="33.90625" bestFit="1" customWidth="1"/>
  </cols>
  <sheetData>
    <row r="1" spans="1:22" ht="23.5" x14ac:dyDescent="0.55000000000000004">
      <c r="A1" s="2" t="s">
        <v>282</v>
      </c>
    </row>
    <row r="3" spans="1:22" ht="21" x14ac:dyDescent="0.5">
      <c r="A3" s="4" t="s">
        <v>272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>
        <v>5</v>
      </c>
      <c r="B5" t="s">
        <v>176</v>
      </c>
      <c r="C5" t="s">
        <v>177</v>
      </c>
      <c r="D5" t="s">
        <v>24</v>
      </c>
      <c r="E5" t="s">
        <v>178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f>SUM(Table29[[#This Row],[BA Salary (Rs)]:[Data Analyst Salary (Rs)]])</f>
        <v>425000</v>
      </c>
      <c r="M5">
        <v>100000</v>
      </c>
      <c r="N5">
        <f>SUM(Table29[[#This Row],[Total Salary Expense (Rs)]],Table29[[#This Row],[Operational Cost (Rs)]])</f>
        <v>525000</v>
      </c>
      <c r="O5">
        <v>5</v>
      </c>
      <c r="P5">
        <f>Table29[[#This Row],[Total Cost (Rs)]]*5/100</f>
        <v>26250</v>
      </c>
      <c r="Q5">
        <f>SUM(Table29[[#This Row],[Total Cost (Rs)]],Table29[[#This Row],[Contingency Amount (Rs)]])</f>
        <v>551250</v>
      </c>
      <c r="R5">
        <f>Table29[[#This Row],[Budget Allocated (Rs)]]-Table29[[#This Row],[Total Cost (Rs)]]</f>
        <v>475000</v>
      </c>
      <c r="S5">
        <f>Table29[[#This Row],[Budget Allocated (Rs)]]-Table29[[#This Row],[Revised Total Cost (Rs)]]</f>
        <v>448750</v>
      </c>
      <c r="T5">
        <f>SUM(Table29[[#This Row],[Total Cost (Rs)]],Table29[[#This Row],[Profit (Rs)]])</f>
        <v>1000000</v>
      </c>
      <c r="U5">
        <f>SUM(Table29[[#This Row],[Revised Total Cost (Rs)]],Table29[[#This Row],[Revised Profit (Rs)]])</f>
        <v>1000000</v>
      </c>
      <c r="V5" s="6">
        <f>SUM('Sprint 1'!B54,'Sprint 2'!B52,'Sprint 3'!B43,'Sprint 4'!B42,'Sprint 5'!B53)/5</f>
        <v>10.6</v>
      </c>
    </row>
    <row r="9" spans="1:22" ht="21" x14ac:dyDescent="0.5">
      <c r="A9" s="4" t="s">
        <v>271</v>
      </c>
    </row>
    <row r="10" spans="1:22" x14ac:dyDescent="0.3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22" x14ac:dyDescent="0.35">
      <c r="A11">
        <v>7</v>
      </c>
      <c r="B11" t="s">
        <v>179</v>
      </c>
      <c r="C11" t="s">
        <v>180</v>
      </c>
      <c r="D11" t="s">
        <v>46</v>
      </c>
      <c r="E11" t="s">
        <v>41</v>
      </c>
      <c r="F11">
        <v>8</v>
      </c>
      <c r="G11" t="s">
        <v>181</v>
      </c>
      <c r="H11" t="s">
        <v>182</v>
      </c>
      <c r="I11" t="s">
        <v>183</v>
      </c>
      <c r="J11" t="s">
        <v>38</v>
      </c>
      <c r="K11" t="s">
        <v>53</v>
      </c>
      <c r="L11" t="s">
        <v>184</v>
      </c>
    </row>
    <row r="14" spans="1:22" ht="21" x14ac:dyDescent="0.5">
      <c r="A14" s="4" t="s">
        <v>273</v>
      </c>
    </row>
    <row r="15" spans="1:22" x14ac:dyDescent="0.3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66</v>
      </c>
      <c r="M15" s="1" t="s">
        <v>67</v>
      </c>
    </row>
    <row r="16" spans="1:22" x14ac:dyDescent="0.35">
      <c r="A16" t="s">
        <v>176</v>
      </c>
      <c r="B16" t="s">
        <v>68</v>
      </c>
      <c r="C16">
        <v>1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</row>
    <row r="17" spans="1:13" x14ac:dyDescent="0.35">
      <c r="A17" t="s">
        <v>185</v>
      </c>
      <c r="B17" t="s">
        <v>71</v>
      </c>
      <c r="C17">
        <v>1</v>
      </c>
      <c r="D17" t="s">
        <v>72</v>
      </c>
      <c r="E17">
        <v>8</v>
      </c>
      <c r="F17" t="s">
        <v>72</v>
      </c>
      <c r="G17">
        <v>8</v>
      </c>
      <c r="H17" t="s">
        <v>72</v>
      </c>
      <c r="I17">
        <v>8</v>
      </c>
      <c r="J17" t="s">
        <v>72</v>
      </c>
      <c r="K17">
        <v>8</v>
      </c>
      <c r="L17" t="s">
        <v>72</v>
      </c>
      <c r="M17">
        <v>8</v>
      </c>
    </row>
    <row r="18" spans="1:13" x14ac:dyDescent="0.35">
      <c r="A18" t="s">
        <v>186</v>
      </c>
      <c r="B18" t="s">
        <v>75</v>
      </c>
      <c r="C18">
        <v>1</v>
      </c>
      <c r="D18" t="s">
        <v>72</v>
      </c>
      <c r="E18">
        <v>8</v>
      </c>
      <c r="F18" t="s">
        <v>72</v>
      </c>
      <c r="G18">
        <v>8</v>
      </c>
      <c r="H18" t="s">
        <v>72</v>
      </c>
      <c r="I18">
        <v>8</v>
      </c>
      <c r="J18" t="s">
        <v>72</v>
      </c>
      <c r="K18">
        <v>8</v>
      </c>
      <c r="L18" t="s">
        <v>72</v>
      </c>
      <c r="M18">
        <v>8</v>
      </c>
    </row>
    <row r="19" spans="1:13" x14ac:dyDescent="0.35">
      <c r="A19" t="s">
        <v>187</v>
      </c>
      <c r="B19" t="s">
        <v>77</v>
      </c>
      <c r="C19">
        <v>1</v>
      </c>
      <c r="D19" t="s">
        <v>72</v>
      </c>
      <c r="E19">
        <v>8</v>
      </c>
      <c r="F19" t="s">
        <v>72</v>
      </c>
      <c r="G19">
        <v>8</v>
      </c>
      <c r="H19" t="s">
        <v>72</v>
      </c>
      <c r="I19">
        <v>8</v>
      </c>
      <c r="J19" t="s">
        <v>72</v>
      </c>
      <c r="K19">
        <v>8</v>
      </c>
      <c r="L19" t="s">
        <v>72</v>
      </c>
      <c r="M19">
        <v>8</v>
      </c>
    </row>
    <row r="20" spans="1:13" x14ac:dyDescent="0.35">
      <c r="A20" t="s">
        <v>188</v>
      </c>
      <c r="B20" t="s">
        <v>79</v>
      </c>
      <c r="C20">
        <v>1</v>
      </c>
      <c r="D20" t="s">
        <v>72</v>
      </c>
      <c r="E20">
        <v>8</v>
      </c>
      <c r="F20" t="s">
        <v>72</v>
      </c>
      <c r="G20">
        <v>8</v>
      </c>
      <c r="H20" t="s">
        <v>72</v>
      </c>
      <c r="I20">
        <v>8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189</v>
      </c>
      <c r="B21" t="s">
        <v>81</v>
      </c>
      <c r="C21">
        <v>1</v>
      </c>
      <c r="D21" t="s">
        <v>72</v>
      </c>
      <c r="E21">
        <v>8</v>
      </c>
      <c r="F21" t="s">
        <v>72</v>
      </c>
      <c r="G21">
        <v>8</v>
      </c>
      <c r="H21" t="s">
        <v>72</v>
      </c>
      <c r="I21">
        <v>8</v>
      </c>
      <c r="J21" t="s">
        <v>72</v>
      </c>
      <c r="K21">
        <v>8</v>
      </c>
      <c r="L21" t="s">
        <v>72</v>
      </c>
      <c r="M21">
        <v>8</v>
      </c>
    </row>
    <row r="22" spans="1:13" x14ac:dyDescent="0.35">
      <c r="A22" t="s">
        <v>190</v>
      </c>
      <c r="B22" t="s">
        <v>83</v>
      </c>
      <c r="C22">
        <v>1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</row>
    <row r="23" spans="1:13" x14ac:dyDescent="0.35">
      <c r="A23" t="s">
        <v>191</v>
      </c>
      <c r="B23" t="s">
        <v>68</v>
      </c>
      <c r="C23">
        <v>2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</row>
    <row r="24" spans="1:13" x14ac:dyDescent="0.35">
      <c r="A24" t="s">
        <v>192</v>
      </c>
      <c r="B24" t="s">
        <v>71</v>
      </c>
      <c r="C24">
        <v>2</v>
      </c>
      <c r="D24" t="s">
        <v>72</v>
      </c>
      <c r="E24">
        <v>8</v>
      </c>
      <c r="F24" t="s">
        <v>72</v>
      </c>
      <c r="G24">
        <v>8</v>
      </c>
      <c r="H24" t="s">
        <v>72</v>
      </c>
      <c r="I24">
        <v>8</v>
      </c>
      <c r="J24" t="s">
        <v>72</v>
      </c>
      <c r="K24">
        <v>8</v>
      </c>
      <c r="L24" t="s">
        <v>72</v>
      </c>
      <c r="M24">
        <v>8</v>
      </c>
    </row>
    <row r="25" spans="1:13" x14ac:dyDescent="0.35">
      <c r="A25" t="s">
        <v>193</v>
      </c>
      <c r="B25" t="s">
        <v>75</v>
      </c>
      <c r="C25">
        <v>2</v>
      </c>
      <c r="D25" t="s">
        <v>72</v>
      </c>
      <c r="E25">
        <v>8</v>
      </c>
      <c r="F25" t="s">
        <v>72</v>
      </c>
      <c r="G25">
        <v>8</v>
      </c>
      <c r="H25" t="s">
        <v>73</v>
      </c>
      <c r="I25">
        <v>0</v>
      </c>
      <c r="J25" t="s">
        <v>72</v>
      </c>
      <c r="K25">
        <v>8</v>
      </c>
      <c r="L25" t="s">
        <v>72</v>
      </c>
      <c r="M25">
        <v>8</v>
      </c>
    </row>
    <row r="26" spans="1:13" x14ac:dyDescent="0.35">
      <c r="A26" t="s">
        <v>194</v>
      </c>
      <c r="B26" t="s">
        <v>77</v>
      </c>
      <c r="C26">
        <v>2</v>
      </c>
      <c r="D26" t="s">
        <v>73</v>
      </c>
      <c r="E26">
        <v>0</v>
      </c>
      <c r="F26" t="s">
        <v>72</v>
      </c>
      <c r="G26">
        <v>8</v>
      </c>
      <c r="H26" t="s">
        <v>72</v>
      </c>
      <c r="I26">
        <v>8</v>
      </c>
      <c r="J26" t="s">
        <v>72</v>
      </c>
      <c r="K26">
        <v>8</v>
      </c>
      <c r="L26" t="s">
        <v>73</v>
      </c>
      <c r="M26">
        <v>0</v>
      </c>
    </row>
    <row r="27" spans="1:13" x14ac:dyDescent="0.35">
      <c r="A27" t="s">
        <v>195</v>
      </c>
      <c r="B27" t="s">
        <v>79</v>
      </c>
      <c r="C27">
        <v>2</v>
      </c>
      <c r="D27" t="s">
        <v>72</v>
      </c>
      <c r="E27">
        <v>8</v>
      </c>
      <c r="F27" t="s">
        <v>72</v>
      </c>
      <c r="G27">
        <v>8</v>
      </c>
      <c r="H27" t="s">
        <v>72</v>
      </c>
      <c r="I27">
        <v>8</v>
      </c>
      <c r="J27" t="s">
        <v>73</v>
      </c>
      <c r="K27">
        <v>0</v>
      </c>
      <c r="L27" t="s">
        <v>72</v>
      </c>
      <c r="M27">
        <v>8</v>
      </c>
    </row>
    <row r="28" spans="1:13" x14ac:dyDescent="0.35">
      <c r="A28" t="s">
        <v>196</v>
      </c>
      <c r="B28" t="s">
        <v>81</v>
      </c>
      <c r="C28">
        <v>2</v>
      </c>
      <c r="D28" t="s">
        <v>72</v>
      </c>
      <c r="E28">
        <v>8</v>
      </c>
      <c r="F28" t="s">
        <v>72</v>
      </c>
      <c r="G28">
        <v>8</v>
      </c>
      <c r="H28" t="s">
        <v>72</v>
      </c>
      <c r="I28">
        <v>8</v>
      </c>
      <c r="J28" t="s">
        <v>72</v>
      </c>
      <c r="K28">
        <v>8</v>
      </c>
      <c r="L28" t="s">
        <v>72</v>
      </c>
      <c r="M28">
        <v>8</v>
      </c>
    </row>
    <row r="29" spans="1:13" x14ac:dyDescent="0.35">
      <c r="A29" t="s">
        <v>177</v>
      </c>
      <c r="B29" t="s">
        <v>83</v>
      </c>
      <c r="C29">
        <v>2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</row>
    <row r="33" spans="1:3" ht="21" x14ac:dyDescent="0.5">
      <c r="A33" s="4" t="s">
        <v>274</v>
      </c>
    </row>
    <row r="34" spans="1:3" x14ac:dyDescent="0.35">
      <c r="A34" s="1" t="s">
        <v>90</v>
      </c>
      <c r="B34" s="1" t="s">
        <v>72</v>
      </c>
      <c r="C34" s="1" t="s">
        <v>73</v>
      </c>
    </row>
    <row r="35" spans="1:3" x14ac:dyDescent="0.35">
      <c r="A35" t="s">
        <v>91</v>
      </c>
      <c r="B35">
        <v>9</v>
      </c>
      <c r="C35">
        <v>1</v>
      </c>
    </row>
    <row r="36" spans="1:3" x14ac:dyDescent="0.35">
      <c r="A36" t="s">
        <v>92</v>
      </c>
      <c r="B36">
        <v>10</v>
      </c>
      <c r="C36">
        <v>0</v>
      </c>
    </row>
    <row r="37" spans="1:3" x14ac:dyDescent="0.35">
      <c r="A37" t="s">
        <v>93</v>
      </c>
      <c r="B37">
        <v>9</v>
      </c>
      <c r="C37">
        <v>1</v>
      </c>
    </row>
    <row r="38" spans="1:3" x14ac:dyDescent="0.35">
      <c r="A38" t="s">
        <v>94</v>
      </c>
      <c r="B38">
        <v>9</v>
      </c>
      <c r="C38">
        <v>1</v>
      </c>
    </row>
    <row r="39" spans="1:3" x14ac:dyDescent="0.35">
      <c r="A39" t="s">
        <v>95</v>
      </c>
      <c r="B39">
        <v>9</v>
      </c>
      <c r="C39">
        <v>1</v>
      </c>
    </row>
    <row r="51" spans="1:2" ht="21" x14ac:dyDescent="0.5">
      <c r="A51" s="4" t="s">
        <v>275</v>
      </c>
    </row>
    <row r="52" spans="1:2" x14ac:dyDescent="0.35">
      <c r="A52" s="1" t="s">
        <v>96</v>
      </c>
      <c r="B52" s="1" t="s">
        <v>97</v>
      </c>
    </row>
    <row r="53" spans="1:2" x14ac:dyDescent="0.35">
      <c r="A53" t="s">
        <v>98</v>
      </c>
      <c r="B53">
        <v>8</v>
      </c>
    </row>
    <row r="54" spans="1:2" x14ac:dyDescent="0.35">
      <c r="A54" t="s">
        <v>21</v>
      </c>
      <c r="B54" s="6">
        <f>V5</f>
        <v>10.6</v>
      </c>
    </row>
    <row r="66" spans="1:2" ht="21" x14ac:dyDescent="0.5">
      <c r="A66" s="4" t="s">
        <v>276</v>
      </c>
    </row>
    <row r="67" spans="1:2" x14ac:dyDescent="0.35">
      <c r="A67" s="1" t="s">
        <v>55</v>
      </c>
      <c r="B67" s="1" t="s">
        <v>99</v>
      </c>
    </row>
    <row r="68" spans="1:2" x14ac:dyDescent="0.35">
      <c r="A68" t="s">
        <v>176</v>
      </c>
      <c r="B68">
        <v>7.7</v>
      </c>
    </row>
    <row r="69" spans="1:2" x14ac:dyDescent="0.35">
      <c r="A69" t="s">
        <v>185</v>
      </c>
      <c r="B69">
        <v>7.5</v>
      </c>
    </row>
    <row r="70" spans="1:2" x14ac:dyDescent="0.35">
      <c r="A70" t="s">
        <v>186</v>
      </c>
      <c r="B70">
        <v>6.7</v>
      </c>
    </row>
    <row r="71" spans="1:2" x14ac:dyDescent="0.35">
      <c r="A71" t="s">
        <v>187</v>
      </c>
      <c r="B71">
        <v>6</v>
      </c>
    </row>
    <row r="72" spans="1:2" x14ac:dyDescent="0.35">
      <c r="A72" t="s">
        <v>188</v>
      </c>
      <c r="B72">
        <v>5.7</v>
      </c>
    </row>
    <row r="73" spans="1:2" x14ac:dyDescent="0.35">
      <c r="A73" t="s">
        <v>189</v>
      </c>
      <c r="B73">
        <v>5.3</v>
      </c>
    </row>
    <row r="74" spans="1:2" x14ac:dyDescent="0.35">
      <c r="A74" t="s">
        <v>190</v>
      </c>
      <c r="B74">
        <v>4.7</v>
      </c>
    </row>
    <row r="75" spans="1:2" x14ac:dyDescent="0.35">
      <c r="A75" t="s">
        <v>191</v>
      </c>
      <c r="B75">
        <v>4.0999999999999996</v>
      </c>
    </row>
    <row r="76" spans="1:2" x14ac:dyDescent="0.35">
      <c r="A76" t="s">
        <v>192</v>
      </c>
      <c r="B76">
        <v>3.5</v>
      </c>
    </row>
    <row r="77" spans="1:2" x14ac:dyDescent="0.35">
      <c r="A77" t="s">
        <v>193</v>
      </c>
      <c r="B77">
        <v>2.8</v>
      </c>
    </row>
    <row r="78" spans="1:2" x14ac:dyDescent="0.35">
      <c r="A78" t="s">
        <v>194</v>
      </c>
      <c r="B78">
        <v>2.2000000000000002</v>
      </c>
    </row>
    <row r="79" spans="1:2" x14ac:dyDescent="0.35">
      <c r="A79" t="s">
        <v>195</v>
      </c>
      <c r="B79">
        <v>1.7</v>
      </c>
    </row>
    <row r="80" spans="1:2" x14ac:dyDescent="0.35">
      <c r="A80" t="s">
        <v>196</v>
      </c>
      <c r="B80">
        <v>1.1000000000000001</v>
      </c>
    </row>
    <row r="81" spans="1:4" x14ac:dyDescent="0.35">
      <c r="A81" t="s">
        <v>177</v>
      </c>
      <c r="B81">
        <v>0.6</v>
      </c>
    </row>
    <row r="82" spans="1:4" x14ac:dyDescent="0.35">
      <c r="A82" t="s">
        <v>197</v>
      </c>
      <c r="B82">
        <v>0</v>
      </c>
    </row>
    <row r="94" spans="1:4" ht="21" x14ac:dyDescent="0.5">
      <c r="A94" s="4" t="s">
        <v>277</v>
      </c>
    </row>
    <row r="95" spans="1:4" x14ac:dyDescent="0.35">
      <c r="A95" s="1" t="s">
        <v>101</v>
      </c>
      <c r="B95" s="1" t="s">
        <v>102</v>
      </c>
      <c r="C95" s="1" t="s">
        <v>103</v>
      </c>
      <c r="D95" s="1" t="s">
        <v>104</v>
      </c>
    </row>
    <row r="96" spans="1:4" x14ac:dyDescent="0.35">
      <c r="A96" t="s">
        <v>181</v>
      </c>
      <c r="B96" t="s">
        <v>133</v>
      </c>
      <c r="C96" t="s">
        <v>198</v>
      </c>
      <c r="D96" t="s">
        <v>290</v>
      </c>
    </row>
  </sheetData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9"/>
  <sheetViews>
    <sheetView topLeftCell="A76" zoomScale="81" workbookViewId="0">
      <selection activeCell="E90" sqref="E90"/>
    </sheetView>
  </sheetViews>
  <sheetFormatPr defaultRowHeight="14.5" x14ac:dyDescent="0.35"/>
  <cols>
    <col min="1" max="1" width="28.7265625" bestFit="1" customWidth="1"/>
    <col min="2" max="2" width="28.81640625" bestFit="1" customWidth="1"/>
    <col min="3" max="3" width="32.7265625" bestFit="1" customWidth="1"/>
    <col min="4" max="4" width="27.08984375" bestFit="1" customWidth="1"/>
    <col min="5" max="5" width="43.54296875" bestFit="1" customWidth="1"/>
    <col min="6" max="6" width="29" bestFit="1" customWidth="1"/>
    <col min="7" max="7" width="23.90625" bestFit="1" customWidth="1"/>
    <col min="8" max="8" width="34.7265625" bestFit="1" customWidth="1"/>
    <col min="9" max="9" width="52.81640625" bestFit="1" customWidth="1"/>
    <col min="10" max="10" width="22.54296875" bestFit="1" customWidth="1"/>
    <col min="11" max="11" width="27.26953125" bestFit="1" customWidth="1"/>
    <col min="12" max="12" width="28.36328125" bestFit="1" customWidth="1"/>
    <col min="13" max="13" width="24.90625" bestFit="1" customWidth="1"/>
    <col min="14" max="14" width="19" bestFit="1" customWidth="1"/>
    <col min="15" max="15" width="20.7265625" bestFit="1" customWidth="1"/>
    <col min="16" max="16" width="28.7265625" bestFit="1" customWidth="1"/>
    <col min="17" max="17" width="26" bestFit="1" customWidth="1"/>
    <col min="18" max="18" width="15.36328125" bestFit="1" customWidth="1"/>
    <col min="19" max="19" width="22.36328125" bestFit="1" customWidth="1"/>
    <col min="20" max="20" width="17.81640625" bestFit="1" customWidth="1"/>
    <col min="21" max="21" width="24.90625" bestFit="1" customWidth="1"/>
    <col min="22" max="22" width="36" bestFit="1" customWidth="1"/>
  </cols>
  <sheetData>
    <row r="1" spans="1:22" ht="23.5" x14ac:dyDescent="0.55000000000000004">
      <c r="A1" s="2" t="s">
        <v>286</v>
      </c>
    </row>
    <row r="2" spans="1:22" ht="23.5" x14ac:dyDescent="0.55000000000000004">
      <c r="A2" s="2"/>
    </row>
    <row r="3" spans="1:22" ht="21" x14ac:dyDescent="0.5">
      <c r="A3" s="4" t="s">
        <v>272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>
        <v>6</v>
      </c>
      <c r="B5" t="s">
        <v>197</v>
      </c>
      <c r="C5" t="s">
        <v>199</v>
      </c>
      <c r="D5" t="s">
        <v>24</v>
      </c>
      <c r="E5" t="s">
        <v>200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f>SUM(Table36[[#This Row],[BA Salary (Rs)]:[Data Analyst Salary (Rs)]])</f>
        <v>425000</v>
      </c>
      <c r="M5">
        <v>100000</v>
      </c>
      <c r="N5">
        <f>SUM(Table36[[#This Row],[Total Salary Expense (Rs)]:[Operational Cost (Rs)]])</f>
        <v>525000</v>
      </c>
      <c r="O5">
        <v>5</v>
      </c>
      <c r="P5">
        <f>Table36[[#This Row],[Total Cost (Rs)]]*Table36[[#This Row],[Contingency (%)]]/100</f>
        <v>26250</v>
      </c>
      <c r="Q5">
        <f>SUM(Table36[[#This Row],[Total Cost (Rs)]],Table36[[#This Row],[Contingency Amount (Rs)]])</f>
        <v>551250</v>
      </c>
      <c r="R5">
        <f>Table36[[#This Row],[Budget Allocated (Rs)]]-Table36[[#This Row],[Total Cost (Rs)]]</f>
        <v>475000</v>
      </c>
      <c r="S5">
        <f>Table36[[#This Row],[Budget Allocated (Rs)]]-Table36[[#This Row],[Revised Total Cost (Rs)]]</f>
        <v>448750</v>
      </c>
      <c r="T5">
        <f>SUM(Table36[[#This Row],[Total Cost (Rs)]],Table36[[#This Row],[Profit (Rs)]])</f>
        <v>1000000</v>
      </c>
      <c r="U5">
        <f>SUM(Table36[[#This Row],[Revised Total Cost (Rs)]],Table36[[#This Row],[Revised Profit (Rs)]])</f>
        <v>1000000</v>
      </c>
      <c r="V5" s="7">
        <f>SUM('Sprint 1'!B54,'Sprint 2'!B52,'Sprint 3'!B43,'Sprint 4'!B42,'Sprint 5'!B53,'Sprint 6'!B44)/6</f>
        <v>9.6666666666666661</v>
      </c>
    </row>
    <row r="8" spans="1:22" ht="21" x14ac:dyDescent="0.5">
      <c r="A8" s="4" t="s">
        <v>271</v>
      </c>
    </row>
    <row r="9" spans="1:22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</row>
    <row r="10" spans="1:22" x14ac:dyDescent="0.35">
      <c r="A10">
        <v>8</v>
      </c>
      <c r="B10" t="s">
        <v>201</v>
      </c>
      <c r="C10" t="s">
        <v>202</v>
      </c>
      <c r="D10" t="s">
        <v>46</v>
      </c>
      <c r="E10" t="s">
        <v>41</v>
      </c>
      <c r="F10">
        <v>5</v>
      </c>
      <c r="G10" t="s">
        <v>203</v>
      </c>
      <c r="H10" t="s">
        <v>204</v>
      </c>
      <c r="I10" t="s">
        <v>205</v>
      </c>
      <c r="J10" t="s">
        <v>158</v>
      </c>
      <c r="K10" t="s">
        <v>46</v>
      </c>
      <c r="L10" t="s">
        <v>54</v>
      </c>
    </row>
    <row r="14" spans="1:22" ht="21" x14ac:dyDescent="0.5">
      <c r="A14" s="4" t="s">
        <v>273</v>
      </c>
    </row>
    <row r="15" spans="1:22" x14ac:dyDescent="0.3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66</v>
      </c>
      <c r="M15" s="1" t="s">
        <v>67</v>
      </c>
    </row>
    <row r="16" spans="1:22" x14ac:dyDescent="0.35">
      <c r="A16" t="s">
        <v>197</v>
      </c>
      <c r="B16" t="s">
        <v>68</v>
      </c>
      <c r="C16">
        <v>1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</row>
    <row r="17" spans="1:13" x14ac:dyDescent="0.35">
      <c r="A17" t="s">
        <v>206</v>
      </c>
      <c r="B17" t="s">
        <v>71</v>
      </c>
      <c r="C17">
        <v>1</v>
      </c>
      <c r="D17" t="s">
        <v>72</v>
      </c>
      <c r="E17">
        <v>8</v>
      </c>
      <c r="F17" t="s">
        <v>72</v>
      </c>
      <c r="G17">
        <v>8</v>
      </c>
      <c r="H17" t="s">
        <v>72</v>
      </c>
      <c r="I17">
        <v>8</v>
      </c>
      <c r="J17" t="s">
        <v>72</v>
      </c>
      <c r="K17">
        <v>8</v>
      </c>
      <c r="L17" t="s">
        <v>72</v>
      </c>
      <c r="M17">
        <v>8</v>
      </c>
    </row>
    <row r="18" spans="1:13" x14ac:dyDescent="0.35">
      <c r="A18" t="s">
        <v>207</v>
      </c>
      <c r="B18" t="s">
        <v>75</v>
      </c>
      <c r="C18">
        <v>1</v>
      </c>
      <c r="D18" t="s">
        <v>73</v>
      </c>
      <c r="E18">
        <v>0</v>
      </c>
      <c r="F18" t="s">
        <v>72</v>
      </c>
      <c r="G18">
        <v>8</v>
      </c>
      <c r="H18" t="s">
        <v>72</v>
      </c>
      <c r="I18">
        <v>8</v>
      </c>
      <c r="J18" t="s">
        <v>72</v>
      </c>
      <c r="K18">
        <v>8</v>
      </c>
      <c r="L18" t="s">
        <v>72</v>
      </c>
      <c r="M18">
        <v>8</v>
      </c>
    </row>
    <row r="19" spans="1:13" x14ac:dyDescent="0.35">
      <c r="A19" t="s">
        <v>208</v>
      </c>
      <c r="B19" t="s">
        <v>77</v>
      </c>
      <c r="C19">
        <v>1</v>
      </c>
      <c r="D19" t="s">
        <v>72</v>
      </c>
      <c r="E19">
        <v>8</v>
      </c>
      <c r="F19" t="s">
        <v>73</v>
      </c>
      <c r="G19">
        <v>0</v>
      </c>
      <c r="H19" t="s">
        <v>72</v>
      </c>
      <c r="I19">
        <v>8</v>
      </c>
      <c r="J19" t="s">
        <v>72</v>
      </c>
      <c r="K19">
        <v>8</v>
      </c>
      <c r="L19" t="s">
        <v>73</v>
      </c>
      <c r="M19">
        <v>0</v>
      </c>
    </row>
    <row r="20" spans="1:13" x14ac:dyDescent="0.35">
      <c r="A20" t="s">
        <v>209</v>
      </c>
      <c r="B20" t="s">
        <v>79</v>
      </c>
      <c r="C20">
        <v>1</v>
      </c>
      <c r="D20" t="s">
        <v>72</v>
      </c>
      <c r="E20">
        <v>8</v>
      </c>
      <c r="F20" t="s">
        <v>72</v>
      </c>
      <c r="G20">
        <v>8</v>
      </c>
      <c r="H20" t="s">
        <v>72</v>
      </c>
      <c r="I20">
        <v>8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210</v>
      </c>
      <c r="B21" t="s">
        <v>81</v>
      </c>
      <c r="C21">
        <v>1</v>
      </c>
      <c r="D21" t="s">
        <v>72</v>
      </c>
      <c r="E21">
        <v>8</v>
      </c>
      <c r="F21" t="s">
        <v>72</v>
      </c>
      <c r="G21">
        <v>8</v>
      </c>
      <c r="H21" t="s">
        <v>72</v>
      </c>
      <c r="I21">
        <v>8</v>
      </c>
      <c r="J21" t="s">
        <v>72</v>
      </c>
      <c r="K21">
        <v>8</v>
      </c>
      <c r="L21" t="s">
        <v>72</v>
      </c>
      <c r="M21">
        <v>8</v>
      </c>
    </row>
    <row r="22" spans="1:13" x14ac:dyDescent="0.35">
      <c r="A22" t="s">
        <v>211</v>
      </c>
      <c r="B22" t="s">
        <v>83</v>
      </c>
      <c r="C22">
        <v>1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</row>
    <row r="23" spans="1:13" x14ac:dyDescent="0.35">
      <c r="A23" t="s">
        <v>212</v>
      </c>
      <c r="B23" t="s">
        <v>68</v>
      </c>
      <c r="C23">
        <v>2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</row>
    <row r="24" spans="1:13" x14ac:dyDescent="0.35">
      <c r="A24" t="s">
        <v>213</v>
      </c>
      <c r="B24" t="s">
        <v>71</v>
      </c>
      <c r="C24">
        <v>2</v>
      </c>
      <c r="D24" t="s">
        <v>72</v>
      </c>
      <c r="E24">
        <v>8</v>
      </c>
      <c r="F24" t="s">
        <v>72</v>
      </c>
      <c r="G24">
        <v>8</v>
      </c>
      <c r="H24" t="s">
        <v>72</v>
      </c>
      <c r="I24">
        <v>8</v>
      </c>
      <c r="J24" t="s">
        <v>72</v>
      </c>
      <c r="K24">
        <v>8</v>
      </c>
      <c r="L24" t="s">
        <v>72</v>
      </c>
      <c r="M24">
        <v>8</v>
      </c>
    </row>
    <row r="25" spans="1:13" x14ac:dyDescent="0.35">
      <c r="A25" t="s">
        <v>214</v>
      </c>
      <c r="B25" t="s">
        <v>75</v>
      </c>
      <c r="C25">
        <v>2</v>
      </c>
      <c r="D25" t="s">
        <v>72</v>
      </c>
      <c r="E25">
        <v>8</v>
      </c>
      <c r="F25" t="s">
        <v>72</v>
      </c>
      <c r="G25">
        <v>8</v>
      </c>
      <c r="H25" t="s">
        <v>72</v>
      </c>
      <c r="I25">
        <v>8</v>
      </c>
      <c r="J25" t="s">
        <v>72</v>
      </c>
      <c r="K25">
        <v>8</v>
      </c>
      <c r="L25" t="s">
        <v>72</v>
      </c>
      <c r="M25">
        <v>8</v>
      </c>
    </row>
    <row r="26" spans="1:13" x14ac:dyDescent="0.35">
      <c r="A26" t="s">
        <v>215</v>
      </c>
      <c r="B26" t="s">
        <v>77</v>
      </c>
      <c r="C26">
        <v>2</v>
      </c>
      <c r="D26" t="s">
        <v>72</v>
      </c>
      <c r="E26">
        <v>8</v>
      </c>
      <c r="F26" t="s">
        <v>72</v>
      </c>
      <c r="G26">
        <v>8</v>
      </c>
      <c r="H26" t="s">
        <v>72</v>
      </c>
      <c r="I26">
        <v>8</v>
      </c>
      <c r="J26" t="s">
        <v>72</v>
      </c>
      <c r="K26">
        <v>8</v>
      </c>
      <c r="L26" t="s">
        <v>72</v>
      </c>
      <c r="M26">
        <v>8</v>
      </c>
    </row>
    <row r="27" spans="1:13" x14ac:dyDescent="0.35">
      <c r="A27" t="s">
        <v>216</v>
      </c>
      <c r="B27" t="s">
        <v>79</v>
      </c>
      <c r="C27">
        <v>2</v>
      </c>
      <c r="D27" t="s">
        <v>73</v>
      </c>
      <c r="E27">
        <v>0</v>
      </c>
      <c r="F27" t="s">
        <v>72</v>
      </c>
      <c r="G27">
        <v>8</v>
      </c>
      <c r="H27" t="s">
        <v>72</v>
      </c>
      <c r="I27">
        <v>8</v>
      </c>
      <c r="J27" t="s">
        <v>72</v>
      </c>
      <c r="K27">
        <v>8</v>
      </c>
      <c r="L27" t="s">
        <v>72</v>
      </c>
      <c r="M27">
        <v>8</v>
      </c>
    </row>
    <row r="28" spans="1:13" x14ac:dyDescent="0.35">
      <c r="A28" t="s">
        <v>217</v>
      </c>
      <c r="B28" t="s">
        <v>81</v>
      </c>
      <c r="C28">
        <v>2</v>
      </c>
      <c r="D28" t="s">
        <v>72</v>
      </c>
      <c r="E28">
        <v>8</v>
      </c>
      <c r="F28" t="s">
        <v>72</v>
      </c>
      <c r="G28">
        <v>8</v>
      </c>
      <c r="H28" t="s">
        <v>72</v>
      </c>
      <c r="I28">
        <v>8</v>
      </c>
      <c r="J28" t="s">
        <v>72</v>
      </c>
      <c r="K28">
        <v>8</v>
      </c>
      <c r="L28" t="s">
        <v>72</v>
      </c>
      <c r="M28">
        <v>8</v>
      </c>
    </row>
    <row r="29" spans="1:13" x14ac:dyDescent="0.35">
      <c r="A29" t="s">
        <v>199</v>
      </c>
      <c r="B29" t="s">
        <v>83</v>
      </c>
      <c r="C29">
        <v>2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</row>
    <row r="33" spans="1:3" ht="21" x14ac:dyDescent="0.5">
      <c r="A33" s="4" t="s">
        <v>274</v>
      </c>
    </row>
    <row r="34" spans="1:3" x14ac:dyDescent="0.35">
      <c r="A34" s="1" t="s">
        <v>90</v>
      </c>
      <c r="B34" s="1" t="s">
        <v>72</v>
      </c>
      <c r="C34" s="1" t="s">
        <v>73</v>
      </c>
    </row>
    <row r="35" spans="1:3" x14ac:dyDescent="0.35">
      <c r="A35" t="s">
        <v>91</v>
      </c>
      <c r="B35">
        <v>8</v>
      </c>
      <c r="C35">
        <v>2</v>
      </c>
    </row>
    <row r="36" spans="1:3" x14ac:dyDescent="0.35">
      <c r="A36" t="s">
        <v>92</v>
      </c>
      <c r="B36">
        <v>9</v>
      </c>
      <c r="C36">
        <v>1</v>
      </c>
    </row>
    <row r="37" spans="1:3" x14ac:dyDescent="0.35">
      <c r="A37" t="s">
        <v>93</v>
      </c>
      <c r="B37">
        <v>10</v>
      </c>
      <c r="C37">
        <v>0</v>
      </c>
    </row>
    <row r="38" spans="1:3" x14ac:dyDescent="0.35">
      <c r="A38" t="s">
        <v>94</v>
      </c>
      <c r="B38">
        <v>10</v>
      </c>
      <c r="C38">
        <v>0</v>
      </c>
    </row>
    <row r="39" spans="1:3" x14ac:dyDescent="0.35">
      <c r="A39" t="s">
        <v>95</v>
      </c>
      <c r="B39">
        <v>9</v>
      </c>
      <c r="C39">
        <v>1</v>
      </c>
    </row>
    <row r="42" spans="1:3" ht="21" x14ac:dyDescent="0.5">
      <c r="A42" s="4" t="s">
        <v>275</v>
      </c>
    </row>
    <row r="43" spans="1:3" x14ac:dyDescent="0.35">
      <c r="A43" s="1" t="s">
        <v>96</v>
      </c>
      <c r="B43" s="1" t="s">
        <v>97</v>
      </c>
    </row>
    <row r="44" spans="1:3" x14ac:dyDescent="0.35">
      <c r="A44" t="s">
        <v>98</v>
      </c>
      <c r="B44">
        <v>5</v>
      </c>
    </row>
    <row r="45" spans="1:3" x14ac:dyDescent="0.35">
      <c r="A45" t="s">
        <v>21</v>
      </c>
      <c r="B45" s="7">
        <f>V5</f>
        <v>9.6666666666666661</v>
      </c>
    </row>
    <row r="62" spans="1:2" ht="21" x14ac:dyDescent="0.5">
      <c r="A62" s="4" t="s">
        <v>276</v>
      </c>
    </row>
    <row r="63" spans="1:2" x14ac:dyDescent="0.35">
      <c r="A63" s="1" t="s">
        <v>55</v>
      </c>
      <c r="B63" s="1" t="s">
        <v>99</v>
      </c>
    </row>
    <row r="64" spans="1:2" x14ac:dyDescent="0.35">
      <c r="A64" t="s">
        <v>197</v>
      </c>
      <c r="B64">
        <v>4.8</v>
      </c>
    </row>
    <row r="65" spans="1:2" x14ac:dyDescent="0.35">
      <c r="A65" t="s">
        <v>206</v>
      </c>
      <c r="B65">
        <v>4.8</v>
      </c>
    </row>
    <row r="66" spans="1:2" x14ac:dyDescent="0.35">
      <c r="A66" t="s">
        <v>207</v>
      </c>
      <c r="B66">
        <v>4.3</v>
      </c>
    </row>
    <row r="67" spans="1:2" x14ac:dyDescent="0.35">
      <c r="A67" t="s">
        <v>208</v>
      </c>
      <c r="B67">
        <v>4</v>
      </c>
    </row>
    <row r="68" spans="1:2" x14ac:dyDescent="0.35">
      <c r="A68" t="s">
        <v>209</v>
      </c>
      <c r="B68">
        <v>3.4</v>
      </c>
    </row>
    <row r="69" spans="1:2" x14ac:dyDescent="0.35">
      <c r="A69" t="s">
        <v>210</v>
      </c>
      <c r="B69">
        <v>3.1</v>
      </c>
    </row>
    <row r="70" spans="1:2" x14ac:dyDescent="0.35">
      <c r="A70" t="s">
        <v>211</v>
      </c>
      <c r="B70">
        <v>2.8</v>
      </c>
    </row>
    <row r="71" spans="1:2" x14ac:dyDescent="0.35">
      <c r="A71" t="s">
        <v>212</v>
      </c>
      <c r="B71">
        <v>2.4</v>
      </c>
    </row>
    <row r="72" spans="1:2" x14ac:dyDescent="0.35">
      <c r="A72" t="s">
        <v>213</v>
      </c>
      <c r="B72">
        <v>2</v>
      </c>
    </row>
    <row r="73" spans="1:2" x14ac:dyDescent="0.35">
      <c r="A73" t="s">
        <v>214</v>
      </c>
      <c r="B73">
        <v>1.9</v>
      </c>
    </row>
    <row r="74" spans="1:2" x14ac:dyDescent="0.35">
      <c r="A74" t="s">
        <v>215</v>
      </c>
      <c r="B74">
        <v>1.5</v>
      </c>
    </row>
    <row r="75" spans="1:2" x14ac:dyDescent="0.35">
      <c r="A75" t="s">
        <v>216</v>
      </c>
      <c r="B75">
        <v>1.1000000000000001</v>
      </c>
    </row>
    <row r="76" spans="1:2" x14ac:dyDescent="0.35">
      <c r="A76" t="s">
        <v>217</v>
      </c>
      <c r="B76">
        <v>0.7</v>
      </c>
    </row>
    <row r="77" spans="1:2" x14ac:dyDescent="0.35">
      <c r="A77" t="s">
        <v>199</v>
      </c>
      <c r="B77">
        <v>0.3</v>
      </c>
    </row>
    <row r="78" spans="1:2" x14ac:dyDescent="0.35">
      <c r="A78" t="s">
        <v>218</v>
      </c>
      <c r="B78">
        <v>0</v>
      </c>
    </row>
    <row r="87" spans="1:4" ht="21" x14ac:dyDescent="0.5">
      <c r="A87" s="4" t="s">
        <v>277</v>
      </c>
    </row>
    <row r="88" spans="1:4" x14ac:dyDescent="0.35">
      <c r="A88" s="1" t="s">
        <v>101</v>
      </c>
      <c r="B88" s="1" t="s">
        <v>102</v>
      </c>
      <c r="C88" s="1" t="s">
        <v>103</v>
      </c>
      <c r="D88" s="1" t="s">
        <v>104</v>
      </c>
    </row>
    <row r="89" spans="1:4" x14ac:dyDescent="0.35">
      <c r="A89" t="s">
        <v>203</v>
      </c>
      <c r="B89" t="s">
        <v>105</v>
      </c>
      <c r="C89" t="s">
        <v>219</v>
      </c>
      <c r="D89" t="s">
        <v>291</v>
      </c>
    </row>
  </sheetData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1"/>
  <sheetViews>
    <sheetView topLeftCell="A70" zoomScale="83" workbookViewId="0">
      <selection activeCell="F46" sqref="F46"/>
    </sheetView>
  </sheetViews>
  <sheetFormatPr defaultRowHeight="14.5" x14ac:dyDescent="0.35"/>
  <cols>
    <col min="1" max="1" width="28.7265625" bestFit="1" customWidth="1"/>
    <col min="2" max="2" width="25.26953125" bestFit="1" customWidth="1"/>
    <col min="3" max="3" width="35.6328125" bestFit="1" customWidth="1"/>
    <col min="4" max="4" width="19.1796875" bestFit="1" customWidth="1"/>
    <col min="5" max="5" width="42.08984375" bestFit="1" customWidth="1"/>
    <col min="6" max="6" width="27.26953125" bestFit="1" customWidth="1"/>
    <col min="7" max="7" width="22.26953125" bestFit="1" customWidth="1"/>
    <col min="8" max="8" width="45" bestFit="1" customWidth="1"/>
    <col min="9" max="9" width="46.7265625" bestFit="1" customWidth="1"/>
    <col min="10" max="10" width="26.90625" bestFit="1" customWidth="1"/>
    <col min="11" max="11" width="25.7265625" bestFit="1" customWidth="1"/>
    <col min="12" max="12" width="26.7265625" bestFit="1" customWidth="1"/>
    <col min="13" max="13" width="23.7265625" bestFit="1" customWidth="1"/>
    <col min="14" max="14" width="17.81640625" bestFit="1" customWidth="1"/>
    <col min="15" max="15" width="19.453125" bestFit="1" customWidth="1"/>
    <col min="16" max="16" width="27.1796875" bestFit="1" customWidth="1"/>
    <col min="17" max="17" width="25" bestFit="1" customWidth="1"/>
    <col min="18" max="18" width="14.36328125" bestFit="1" customWidth="1"/>
    <col min="19" max="19" width="21.36328125" bestFit="1" customWidth="1"/>
    <col min="20" max="20" width="16.90625" bestFit="1" customWidth="1"/>
    <col min="21" max="21" width="24.08984375" bestFit="1" customWidth="1"/>
    <col min="22" max="22" width="34.1796875" bestFit="1" customWidth="1"/>
  </cols>
  <sheetData>
    <row r="1" spans="1:22" ht="31" x14ac:dyDescent="0.7">
      <c r="A1" s="10" t="s">
        <v>287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3" spans="1:22" ht="23.5" x14ac:dyDescent="0.55000000000000004">
      <c r="A3" s="2" t="s">
        <v>284</v>
      </c>
    </row>
    <row r="4" spans="1:22" ht="23.5" x14ac:dyDescent="0.55000000000000004">
      <c r="A4" s="2"/>
    </row>
    <row r="5" spans="1:22" ht="23.5" x14ac:dyDescent="0.55000000000000004">
      <c r="A5" s="2" t="s">
        <v>272</v>
      </c>
    </row>
    <row r="6" spans="1:22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</row>
    <row r="7" spans="1:22" x14ac:dyDescent="0.35">
      <c r="A7">
        <v>7</v>
      </c>
      <c r="B7" t="s">
        <v>218</v>
      </c>
      <c r="C7" t="s">
        <v>220</v>
      </c>
      <c r="D7" t="s">
        <v>24</v>
      </c>
      <c r="E7" t="s">
        <v>221</v>
      </c>
      <c r="F7">
        <v>1000000</v>
      </c>
      <c r="G7">
        <v>75000</v>
      </c>
      <c r="H7">
        <v>100000</v>
      </c>
      <c r="I7">
        <v>100000</v>
      </c>
      <c r="J7">
        <v>75000</v>
      </c>
      <c r="K7">
        <v>75000</v>
      </c>
      <c r="L7">
        <f>SUM(Table43[[#This Row],[BA Salary (Rs)]:[Data Analyst Salary (Rs)]])</f>
        <v>425000</v>
      </c>
      <c r="M7">
        <v>100000</v>
      </c>
      <c r="N7">
        <f>SUM(Table43[[#This Row],[Total Salary Expense (Rs)]:[Operational Cost (Rs)]])</f>
        <v>525000</v>
      </c>
      <c r="O7">
        <v>5</v>
      </c>
      <c r="P7">
        <f>Table43[[#This Row],[Total Cost (Rs)]]*Table43[[#This Row],[Contingency (%)]]/100</f>
        <v>26250</v>
      </c>
      <c r="Q7">
        <f>SUM(Table43[[#This Row],[Total Cost (Rs)]],Table43[[#This Row],[Contingency Amount (Rs)]])</f>
        <v>551250</v>
      </c>
      <c r="R7">
        <f>Table43[[#This Row],[Budget Allocated (Rs)]]-Table43[[#This Row],[Total Cost (Rs)]]</f>
        <v>475000</v>
      </c>
      <c r="S7">
        <f>Table43[[#This Row],[Budget Allocated (Rs)]]-Table43[[#This Row],[Revised Total Cost (Rs)]]</f>
        <v>448750</v>
      </c>
      <c r="T7">
        <f>SUM(Table43[[#This Row],[Total Cost (Rs)]],Table43[[#This Row],[Profit (Rs)]])</f>
        <v>1000000</v>
      </c>
      <c r="U7">
        <f>SUM(Table43[[#This Row],[Revised Total Cost (Rs)]],Table43[[#This Row],[Revised Profit (Rs)]])</f>
        <v>1000000</v>
      </c>
      <c r="V7" s="7">
        <f>SUM('Sprint 1'!B54,'Sprint 2'!B52,'Sprint 3'!B43,'Sprint 4'!B42,'Sprint 5'!B53,'Sprint 6'!B44,'Sprint 7'!B48)/7</f>
        <v>9.4285714285714288</v>
      </c>
    </row>
    <row r="11" spans="1:22" ht="21" x14ac:dyDescent="0.5">
      <c r="A11" s="4" t="s">
        <v>271</v>
      </c>
    </row>
    <row r="12" spans="1:22" x14ac:dyDescent="0.3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22" x14ac:dyDescent="0.35">
      <c r="A13">
        <v>9</v>
      </c>
      <c r="B13" t="s">
        <v>222</v>
      </c>
      <c r="C13" t="s">
        <v>223</v>
      </c>
      <c r="D13" t="s">
        <v>53</v>
      </c>
      <c r="E13" t="s">
        <v>41</v>
      </c>
      <c r="F13">
        <v>8</v>
      </c>
      <c r="G13" t="s">
        <v>224</v>
      </c>
      <c r="H13" t="s">
        <v>225</v>
      </c>
      <c r="I13" t="s">
        <v>226</v>
      </c>
      <c r="J13" t="s">
        <v>227</v>
      </c>
      <c r="K13" t="s">
        <v>40</v>
      </c>
      <c r="L13" t="s">
        <v>47</v>
      </c>
    </row>
    <row r="17" spans="1:13" ht="21" x14ac:dyDescent="0.5">
      <c r="A17" s="4" t="s">
        <v>273</v>
      </c>
    </row>
    <row r="18" spans="1:13" x14ac:dyDescent="0.35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  <c r="K18" s="1" t="s">
        <v>65</v>
      </c>
      <c r="L18" s="1" t="s">
        <v>66</v>
      </c>
      <c r="M18" s="1" t="s">
        <v>67</v>
      </c>
    </row>
    <row r="19" spans="1:13" x14ac:dyDescent="0.35">
      <c r="A19" t="s">
        <v>218</v>
      </c>
      <c r="B19" t="s">
        <v>68</v>
      </c>
      <c r="C19">
        <v>1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20" spans="1:13" x14ac:dyDescent="0.35">
      <c r="A20" t="s">
        <v>228</v>
      </c>
      <c r="B20" t="s">
        <v>71</v>
      </c>
      <c r="C20">
        <v>1</v>
      </c>
      <c r="D20" t="s">
        <v>72</v>
      </c>
      <c r="E20">
        <v>8</v>
      </c>
      <c r="F20" t="s">
        <v>72</v>
      </c>
      <c r="G20">
        <v>8</v>
      </c>
      <c r="H20" t="s">
        <v>72</v>
      </c>
      <c r="I20">
        <v>8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229</v>
      </c>
      <c r="B21" t="s">
        <v>75</v>
      </c>
      <c r="C21">
        <v>1</v>
      </c>
      <c r="D21" t="s">
        <v>72</v>
      </c>
      <c r="E21">
        <v>8</v>
      </c>
      <c r="F21" t="s">
        <v>72</v>
      </c>
      <c r="G21">
        <v>8</v>
      </c>
      <c r="H21" t="s">
        <v>72</v>
      </c>
      <c r="I21">
        <v>8</v>
      </c>
      <c r="J21" t="s">
        <v>72</v>
      </c>
      <c r="K21">
        <v>8</v>
      </c>
      <c r="L21" t="s">
        <v>72</v>
      </c>
      <c r="M21">
        <v>8</v>
      </c>
    </row>
    <row r="22" spans="1:13" x14ac:dyDescent="0.35">
      <c r="A22" t="s">
        <v>230</v>
      </c>
      <c r="B22" t="s">
        <v>77</v>
      </c>
      <c r="C22">
        <v>1</v>
      </c>
      <c r="D22" t="s">
        <v>73</v>
      </c>
      <c r="E22">
        <v>0</v>
      </c>
      <c r="F22" t="s">
        <v>72</v>
      </c>
      <c r="G22">
        <v>8</v>
      </c>
      <c r="H22" t="s">
        <v>72</v>
      </c>
      <c r="I22">
        <v>8</v>
      </c>
      <c r="J22" t="s">
        <v>72</v>
      </c>
      <c r="K22">
        <v>8</v>
      </c>
      <c r="L22" t="s">
        <v>72</v>
      </c>
      <c r="M22">
        <v>8</v>
      </c>
    </row>
    <row r="23" spans="1:13" x14ac:dyDescent="0.35">
      <c r="A23" t="s">
        <v>231</v>
      </c>
      <c r="B23" t="s">
        <v>79</v>
      </c>
      <c r="C23">
        <v>1</v>
      </c>
      <c r="D23" t="s">
        <v>72</v>
      </c>
      <c r="E23">
        <v>8</v>
      </c>
      <c r="F23" t="s">
        <v>72</v>
      </c>
      <c r="G23">
        <v>8</v>
      </c>
      <c r="H23" t="s">
        <v>72</v>
      </c>
      <c r="I23">
        <v>8</v>
      </c>
      <c r="J23" t="s">
        <v>72</v>
      </c>
      <c r="K23">
        <v>8</v>
      </c>
      <c r="L23" t="s">
        <v>72</v>
      </c>
      <c r="M23">
        <v>8</v>
      </c>
    </row>
    <row r="24" spans="1:13" x14ac:dyDescent="0.35">
      <c r="A24" t="s">
        <v>232</v>
      </c>
      <c r="B24" t="s">
        <v>81</v>
      </c>
      <c r="C24">
        <v>1</v>
      </c>
      <c r="D24" t="s">
        <v>72</v>
      </c>
      <c r="E24">
        <v>8</v>
      </c>
      <c r="F24" t="s">
        <v>72</v>
      </c>
      <c r="G24">
        <v>8</v>
      </c>
      <c r="H24" t="s">
        <v>72</v>
      </c>
      <c r="I24">
        <v>8</v>
      </c>
      <c r="J24" t="s">
        <v>72</v>
      </c>
      <c r="K24">
        <v>8</v>
      </c>
      <c r="L24" t="s">
        <v>72</v>
      </c>
      <c r="M24">
        <v>8</v>
      </c>
    </row>
    <row r="25" spans="1:13" x14ac:dyDescent="0.35">
      <c r="A25" t="s">
        <v>233</v>
      </c>
      <c r="B25" t="s">
        <v>83</v>
      </c>
      <c r="C25">
        <v>1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</row>
    <row r="26" spans="1:13" x14ac:dyDescent="0.35">
      <c r="A26" t="s">
        <v>234</v>
      </c>
      <c r="B26" t="s">
        <v>68</v>
      </c>
      <c r="C26">
        <v>2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</row>
    <row r="27" spans="1:13" x14ac:dyDescent="0.35">
      <c r="A27" t="s">
        <v>235</v>
      </c>
      <c r="B27" t="s">
        <v>71</v>
      </c>
      <c r="C27">
        <v>2</v>
      </c>
      <c r="D27" t="s">
        <v>72</v>
      </c>
      <c r="E27">
        <v>8</v>
      </c>
      <c r="F27" t="s">
        <v>72</v>
      </c>
      <c r="G27">
        <v>8</v>
      </c>
      <c r="H27" t="s">
        <v>72</v>
      </c>
      <c r="I27">
        <v>8</v>
      </c>
      <c r="J27" t="s">
        <v>72</v>
      </c>
      <c r="K27">
        <v>8</v>
      </c>
      <c r="L27" t="s">
        <v>72</v>
      </c>
      <c r="M27">
        <v>8</v>
      </c>
    </row>
    <row r="28" spans="1:13" x14ac:dyDescent="0.35">
      <c r="A28" t="s">
        <v>236</v>
      </c>
      <c r="B28" t="s">
        <v>75</v>
      </c>
      <c r="C28">
        <v>2</v>
      </c>
      <c r="D28" t="s">
        <v>72</v>
      </c>
      <c r="E28">
        <v>8</v>
      </c>
      <c r="F28" t="s">
        <v>72</v>
      </c>
      <c r="G28">
        <v>8</v>
      </c>
      <c r="H28" t="s">
        <v>72</v>
      </c>
      <c r="I28">
        <v>8</v>
      </c>
      <c r="J28" t="s">
        <v>72</v>
      </c>
      <c r="K28">
        <v>8</v>
      </c>
      <c r="L28" t="s">
        <v>72</v>
      </c>
      <c r="M28">
        <v>8</v>
      </c>
    </row>
    <row r="29" spans="1:13" x14ac:dyDescent="0.35">
      <c r="A29" t="s">
        <v>237</v>
      </c>
      <c r="B29" t="s">
        <v>77</v>
      </c>
      <c r="C29">
        <v>2</v>
      </c>
      <c r="D29" t="s">
        <v>73</v>
      </c>
      <c r="E29">
        <v>0</v>
      </c>
      <c r="F29" t="s">
        <v>73</v>
      </c>
      <c r="G29">
        <v>0</v>
      </c>
      <c r="H29" t="s">
        <v>72</v>
      </c>
      <c r="I29">
        <v>8</v>
      </c>
      <c r="J29" t="s">
        <v>72</v>
      </c>
      <c r="K29">
        <v>8</v>
      </c>
      <c r="L29" t="s">
        <v>72</v>
      </c>
      <c r="M29">
        <v>8</v>
      </c>
    </row>
    <row r="30" spans="1:13" x14ac:dyDescent="0.35">
      <c r="A30" t="s">
        <v>238</v>
      </c>
      <c r="B30" t="s">
        <v>79</v>
      </c>
      <c r="C30">
        <v>2</v>
      </c>
      <c r="D30" t="s">
        <v>72</v>
      </c>
      <c r="E30">
        <v>8</v>
      </c>
      <c r="F30" t="s">
        <v>72</v>
      </c>
      <c r="G30">
        <v>8</v>
      </c>
      <c r="H30" t="s">
        <v>72</v>
      </c>
      <c r="I30">
        <v>8</v>
      </c>
      <c r="J30" t="s">
        <v>72</v>
      </c>
      <c r="K30">
        <v>8</v>
      </c>
      <c r="L30" t="s">
        <v>72</v>
      </c>
      <c r="M30">
        <v>8</v>
      </c>
    </row>
    <row r="31" spans="1:13" x14ac:dyDescent="0.35">
      <c r="A31" t="s">
        <v>239</v>
      </c>
      <c r="B31" t="s">
        <v>81</v>
      </c>
      <c r="C31">
        <v>2</v>
      </c>
      <c r="D31" t="s">
        <v>72</v>
      </c>
      <c r="E31">
        <v>8</v>
      </c>
      <c r="F31" t="s">
        <v>72</v>
      </c>
      <c r="G31">
        <v>8</v>
      </c>
      <c r="H31" t="s">
        <v>72</v>
      </c>
      <c r="I31">
        <v>8</v>
      </c>
      <c r="J31" t="s">
        <v>72</v>
      </c>
      <c r="K31">
        <v>8</v>
      </c>
      <c r="L31" t="s">
        <v>72</v>
      </c>
      <c r="M31">
        <v>8</v>
      </c>
    </row>
    <row r="32" spans="1:13" x14ac:dyDescent="0.35">
      <c r="A32" t="s">
        <v>220</v>
      </c>
      <c r="B32" t="s">
        <v>83</v>
      </c>
      <c r="C32">
        <v>2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</row>
    <row r="36" spans="1:3" ht="21" x14ac:dyDescent="0.5">
      <c r="A36" s="4" t="s">
        <v>274</v>
      </c>
    </row>
    <row r="37" spans="1:3" x14ac:dyDescent="0.35">
      <c r="A37" s="1" t="s">
        <v>90</v>
      </c>
      <c r="B37" s="1" t="s">
        <v>72</v>
      </c>
      <c r="C37" s="1" t="s">
        <v>73</v>
      </c>
    </row>
    <row r="38" spans="1:3" x14ac:dyDescent="0.35">
      <c r="A38" t="s">
        <v>91</v>
      </c>
      <c r="B38">
        <v>8</v>
      </c>
      <c r="C38">
        <v>2</v>
      </c>
    </row>
    <row r="39" spans="1:3" x14ac:dyDescent="0.35">
      <c r="A39" t="s">
        <v>92</v>
      </c>
      <c r="B39">
        <v>9</v>
      </c>
      <c r="C39">
        <v>1</v>
      </c>
    </row>
    <row r="40" spans="1:3" x14ac:dyDescent="0.35">
      <c r="A40" t="s">
        <v>93</v>
      </c>
      <c r="B40">
        <v>10</v>
      </c>
      <c r="C40">
        <v>0</v>
      </c>
    </row>
    <row r="41" spans="1:3" x14ac:dyDescent="0.35">
      <c r="A41" t="s">
        <v>94</v>
      </c>
      <c r="B41">
        <v>10</v>
      </c>
      <c r="C41">
        <v>0</v>
      </c>
    </row>
    <row r="42" spans="1:3" x14ac:dyDescent="0.35">
      <c r="A42" t="s">
        <v>95</v>
      </c>
      <c r="B42">
        <v>10</v>
      </c>
      <c r="C42">
        <v>0</v>
      </c>
    </row>
    <row r="46" spans="1:3" ht="21" x14ac:dyDescent="0.5">
      <c r="A46" s="4" t="s">
        <v>275</v>
      </c>
    </row>
    <row r="47" spans="1:3" x14ac:dyDescent="0.35">
      <c r="A47" s="1" t="s">
        <v>96</v>
      </c>
      <c r="B47" s="1" t="s">
        <v>97</v>
      </c>
    </row>
    <row r="48" spans="1:3" x14ac:dyDescent="0.35">
      <c r="A48" t="s">
        <v>98</v>
      </c>
      <c r="B48">
        <v>8</v>
      </c>
    </row>
    <row r="49" spans="1:2" x14ac:dyDescent="0.35">
      <c r="A49" t="s">
        <v>21</v>
      </c>
      <c r="B49" s="7">
        <f>V7</f>
        <v>9.4285714285714288</v>
      </c>
    </row>
    <row r="57" spans="1:2" ht="21" x14ac:dyDescent="0.5">
      <c r="A57" s="4" t="s">
        <v>276</v>
      </c>
    </row>
    <row r="58" spans="1:2" x14ac:dyDescent="0.35">
      <c r="A58" s="1" t="s">
        <v>55</v>
      </c>
      <c r="B58" s="1" t="s">
        <v>99</v>
      </c>
    </row>
    <row r="59" spans="1:2" x14ac:dyDescent="0.35">
      <c r="A59" t="s">
        <v>218</v>
      </c>
      <c r="B59">
        <v>7.8</v>
      </c>
    </row>
    <row r="60" spans="1:2" x14ac:dyDescent="0.35">
      <c r="A60" t="s">
        <v>228</v>
      </c>
      <c r="B60">
        <v>7.6</v>
      </c>
    </row>
    <row r="61" spans="1:2" x14ac:dyDescent="0.35">
      <c r="A61" t="s">
        <v>229</v>
      </c>
      <c r="B61">
        <v>6.8</v>
      </c>
    </row>
    <row r="62" spans="1:2" x14ac:dyDescent="0.35">
      <c r="A62" t="s">
        <v>230</v>
      </c>
      <c r="B62">
        <v>6.3</v>
      </c>
    </row>
    <row r="63" spans="1:2" x14ac:dyDescent="0.35">
      <c r="A63" t="s">
        <v>231</v>
      </c>
      <c r="B63">
        <v>5.5</v>
      </c>
    </row>
    <row r="64" spans="1:2" x14ac:dyDescent="0.35">
      <c r="A64" t="s">
        <v>232</v>
      </c>
      <c r="B64">
        <v>4.9000000000000004</v>
      </c>
    </row>
    <row r="65" spans="1:4" x14ac:dyDescent="0.35">
      <c r="A65" t="s">
        <v>233</v>
      </c>
      <c r="B65">
        <v>4.4000000000000004</v>
      </c>
    </row>
    <row r="66" spans="1:4" x14ac:dyDescent="0.35">
      <c r="A66" t="s">
        <v>234</v>
      </c>
      <c r="B66">
        <v>4.0999999999999996</v>
      </c>
    </row>
    <row r="67" spans="1:4" x14ac:dyDescent="0.35">
      <c r="A67" t="s">
        <v>235</v>
      </c>
      <c r="B67">
        <v>3.5</v>
      </c>
    </row>
    <row r="68" spans="1:4" x14ac:dyDescent="0.35">
      <c r="A68" t="s">
        <v>236</v>
      </c>
      <c r="B68">
        <v>3</v>
      </c>
    </row>
    <row r="69" spans="1:4" x14ac:dyDescent="0.35">
      <c r="A69" t="s">
        <v>237</v>
      </c>
      <c r="B69">
        <v>2.2000000000000002</v>
      </c>
    </row>
    <row r="70" spans="1:4" x14ac:dyDescent="0.35">
      <c r="A70" t="s">
        <v>238</v>
      </c>
      <c r="B70">
        <v>1.7</v>
      </c>
    </row>
    <row r="71" spans="1:4" x14ac:dyDescent="0.35">
      <c r="A71" t="s">
        <v>239</v>
      </c>
      <c r="B71">
        <v>1.1000000000000001</v>
      </c>
    </row>
    <row r="72" spans="1:4" x14ac:dyDescent="0.35">
      <c r="A72" t="s">
        <v>220</v>
      </c>
      <c r="B72">
        <v>0.6</v>
      </c>
    </row>
    <row r="73" spans="1:4" x14ac:dyDescent="0.35">
      <c r="A73" t="s">
        <v>240</v>
      </c>
      <c r="B73">
        <v>0</v>
      </c>
    </row>
    <row r="79" spans="1:4" ht="21" x14ac:dyDescent="0.5">
      <c r="A79" s="4" t="s">
        <v>277</v>
      </c>
    </row>
    <row r="80" spans="1:4" x14ac:dyDescent="0.35">
      <c r="A80" s="1" t="s">
        <v>101</v>
      </c>
      <c r="B80" s="1" t="s">
        <v>102</v>
      </c>
      <c r="C80" s="1" t="s">
        <v>103</v>
      </c>
      <c r="D80" s="1" t="s">
        <v>104</v>
      </c>
    </row>
    <row r="81" spans="1:4" x14ac:dyDescent="0.35">
      <c r="A81" t="s">
        <v>224</v>
      </c>
      <c r="B81" t="s">
        <v>241</v>
      </c>
      <c r="C81" t="s">
        <v>219</v>
      </c>
      <c r="D81" t="s">
        <v>155</v>
      </c>
    </row>
  </sheetData>
  <mergeCells count="1">
    <mergeCell ref="A1:V1"/>
  </mergeCells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3"/>
  <sheetViews>
    <sheetView zoomScale="64" zoomScaleNormal="85" workbookViewId="0">
      <selection activeCell="A11" sqref="A11"/>
    </sheetView>
  </sheetViews>
  <sheetFormatPr defaultRowHeight="14.5" x14ac:dyDescent="0.35"/>
  <cols>
    <col min="1" max="1" width="28.7265625" bestFit="1" customWidth="1"/>
    <col min="2" max="2" width="28.6328125" bestFit="1" customWidth="1"/>
    <col min="3" max="3" width="37.453125" bestFit="1" customWidth="1"/>
    <col min="4" max="4" width="21.26953125" bestFit="1" customWidth="1"/>
    <col min="5" max="5" width="42.54296875" bestFit="1" customWidth="1"/>
    <col min="6" max="6" width="29.90625" bestFit="1" customWidth="1"/>
    <col min="7" max="7" width="25.08984375" bestFit="1" customWidth="1"/>
    <col min="8" max="8" width="43.08984375" bestFit="1" customWidth="1"/>
    <col min="9" max="9" width="53.6328125" bestFit="1" customWidth="1"/>
    <col min="10" max="10" width="23.6328125" bestFit="1" customWidth="1"/>
    <col min="11" max="11" width="28.08984375" bestFit="1" customWidth="1"/>
    <col min="12" max="12" width="29.36328125" bestFit="1" customWidth="1"/>
    <col min="13" max="13" width="25.90625" bestFit="1" customWidth="1"/>
    <col min="14" max="14" width="20.08984375" bestFit="1" customWidth="1"/>
    <col min="15" max="15" width="21.7265625" bestFit="1" customWidth="1"/>
    <col min="16" max="16" width="29.81640625" bestFit="1" customWidth="1"/>
    <col min="17" max="17" width="27.1796875" bestFit="1" customWidth="1"/>
    <col min="18" max="18" width="16.1796875" bestFit="1" customWidth="1"/>
    <col min="19" max="19" width="23.26953125" bestFit="1" customWidth="1"/>
    <col min="20" max="20" width="19" bestFit="1" customWidth="1"/>
    <col min="21" max="21" width="26.26953125" bestFit="1" customWidth="1"/>
    <col min="22" max="22" width="36.7265625" bestFit="1" customWidth="1"/>
  </cols>
  <sheetData>
    <row r="1" spans="1:22" ht="23.5" x14ac:dyDescent="0.55000000000000004">
      <c r="A1" s="2" t="s">
        <v>285</v>
      </c>
    </row>
    <row r="3" spans="1:22" ht="21" x14ac:dyDescent="0.5">
      <c r="A3" s="4" t="s">
        <v>272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>
        <v>8</v>
      </c>
      <c r="B5" t="s">
        <v>240</v>
      </c>
      <c r="C5" t="s">
        <v>242</v>
      </c>
      <c r="D5" t="s">
        <v>24</v>
      </c>
      <c r="E5" t="s">
        <v>243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f>SUM(Table50[[#This Row],[BA Salary (Rs)]:[Data Analyst Salary (Rs)]])</f>
        <v>425000</v>
      </c>
      <c r="M5">
        <v>100000</v>
      </c>
      <c r="N5">
        <f>SUM(Table50[[#This Row],[Total Salary Expense (Rs)]:[Operational Cost (Rs)]])</f>
        <v>525000</v>
      </c>
      <c r="O5">
        <v>5</v>
      </c>
      <c r="P5">
        <f>Table50[[#This Row],[Total Cost (Rs)]]*5/100</f>
        <v>26250</v>
      </c>
      <c r="Q5">
        <f>SUM(Table50[[#This Row],[Total Cost (Rs)]],Table50[[#This Row],[Contingency Amount (Rs)]])</f>
        <v>551250</v>
      </c>
      <c r="R5">
        <f>Table50[[#This Row],[Budget Allocated (Rs)]]-Table50[[#This Row],[Total Cost (Rs)]]</f>
        <v>475000</v>
      </c>
      <c r="S5">
        <f>Table50[[#This Row],[Budget Allocated (Rs)]]-Table50[[#This Row],[Revised Total Cost (Rs)]]</f>
        <v>448750</v>
      </c>
      <c r="T5">
        <f>SUM(Table50[[#This Row],[Total Cost (Rs)]],Table50[[#This Row],[Profit (Rs)]])</f>
        <v>1000000</v>
      </c>
      <c r="U5">
        <f>SUM(Table50[[#This Row],[Revised Total Cost (Rs)]],Table50[[#This Row],[Revised Profit (Rs)]])</f>
        <v>1000000</v>
      </c>
      <c r="V5" s="7">
        <f>SUM('Sprint 1'!B54,'Sprint 2'!B52,'Sprint 3'!B43,'Sprint 4'!B42,'Sprint 5'!B53,'Sprint 6'!B44,'Sprint 7'!B48,'Sprint 8'!B46)/8</f>
        <v>8.875</v>
      </c>
    </row>
    <row r="9" spans="1:22" ht="21" x14ac:dyDescent="0.5">
      <c r="A9" s="4" t="s">
        <v>271</v>
      </c>
    </row>
    <row r="10" spans="1:22" x14ac:dyDescent="0.3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22" x14ac:dyDescent="0.35">
      <c r="A11">
        <v>10</v>
      </c>
      <c r="B11" t="s">
        <v>244</v>
      </c>
      <c r="C11" t="s">
        <v>245</v>
      </c>
      <c r="D11" t="s">
        <v>46</v>
      </c>
      <c r="E11" t="s">
        <v>41</v>
      </c>
      <c r="F11">
        <v>5</v>
      </c>
      <c r="G11" t="s">
        <v>246</v>
      </c>
      <c r="H11" t="s">
        <v>247</v>
      </c>
      <c r="I11" t="s">
        <v>248</v>
      </c>
      <c r="J11" t="s">
        <v>249</v>
      </c>
      <c r="K11" t="s">
        <v>46</v>
      </c>
      <c r="L11" t="s">
        <v>184</v>
      </c>
    </row>
    <row r="15" spans="1:22" ht="21" x14ac:dyDescent="0.5">
      <c r="A15" s="4" t="s">
        <v>273</v>
      </c>
    </row>
    <row r="16" spans="1:22" x14ac:dyDescent="0.3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67</v>
      </c>
    </row>
    <row r="17" spans="1:13" x14ac:dyDescent="0.35">
      <c r="A17" t="s">
        <v>240</v>
      </c>
      <c r="B17" t="s">
        <v>68</v>
      </c>
      <c r="C17">
        <v>1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</row>
    <row r="18" spans="1:13" x14ac:dyDescent="0.35">
      <c r="A18" t="s">
        <v>250</v>
      </c>
      <c r="B18" t="s">
        <v>71</v>
      </c>
      <c r="C18">
        <v>1</v>
      </c>
      <c r="D18" t="s">
        <v>72</v>
      </c>
      <c r="E18">
        <v>8</v>
      </c>
      <c r="F18" t="s">
        <v>72</v>
      </c>
      <c r="G18">
        <v>8</v>
      </c>
      <c r="H18" t="s">
        <v>73</v>
      </c>
      <c r="I18">
        <v>0</v>
      </c>
      <c r="J18" t="s">
        <v>72</v>
      </c>
      <c r="K18">
        <v>8</v>
      </c>
      <c r="L18" t="s">
        <v>72</v>
      </c>
      <c r="M18">
        <v>8</v>
      </c>
    </row>
    <row r="19" spans="1:13" x14ac:dyDescent="0.35">
      <c r="A19" t="s">
        <v>251</v>
      </c>
      <c r="B19" t="s">
        <v>75</v>
      </c>
      <c r="C19">
        <v>1</v>
      </c>
      <c r="D19" t="s">
        <v>72</v>
      </c>
      <c r="E19">
        <v>8</v>
      </c>
      <c r="F19" t="s">
        <v>72</v>
      </c>
      <c r="G19">
        <v>8</v>
      </c>
      <c r="H19" t="s">
        <v>73</v>
      </c>
      <c r="I19">
        <v>0</v>
      </c>
      <c r="J19" t="s">
        <v>72</v>
      </c>
      <c r="K19">
        <v>8</v>
      </c>
      <c r="L19" t="s">
        <v>72</v>
      </c>
      <c r="M19">
        <v>8</v>
      </c>
    </row>
    <row r="20" spans="1:13" x14ac:dyDescent="0.35">
      <c r="A20" t="s">
        <v>252</v>
      </c>
      <c r="B20" t="s">
        <v>77</v>
      </c>
      <c r="C20">
        <v>1</v>
      </c>
      <c r="D20" t="s">
        <v>72</v>
      </c>
      <c r="E20">
        <v>8</v>
      </c>
      <c r="F20" t="s">
        <v>72</v>
      </c>
      <c r="G20">
        <v>8</v>
      </c>
      <c r="H20" t="s">
        <v>73</v>
      </c>
      <c r="I20">
        <v>0</v>
      </c>
      <c r="J20" t="s">
        <v>72</v>
      </c>
      <c r="K20">
        <v>8</v>
      </c>
      <c r="L20" t="s">
        <v>72</v>
      </c>
      <c r="M20">
        <v>8</v>
      </c>
    </row>
    <row r="21" spans="1:13" x14ac:dyDescent="0.35">
      <c r="A21" t="s">
        <v>253</v>
      </c>
      <c r="B21" t="s">
        <v>79</v>
      </c>
      <c r="C21">
        <v>1</v>
      </c>
      <c r="D21" t="s">
        <v>72</v>
      </c>
      <c r="E21">
        <v>8</v>
      </c>
      <c r="F21" t="s">
        <v>72</v>
      </c>
      <c r="G21">
        <v>8</v>
      </c>
      <c r="H21" t="s">
        <v>72</v>
      </c>
      <c r="I21">
        <v>8</v>
      </c>
      <c r="J21" t="s">
        <v>72</v>
      </c>
      <c r="K21">
        <v>8</v>
      </c>
      <c r="L21" t="s">
        <v>72</v>
      </c>
      <c r="M21">
        <v>8</v>
      </c>
    </row>
    <row r="22" spans="1:13" x14ac:dyDescent="0.35">
      <c r="A22" t="s">
        <v>254</v>
      </c>
      <c r="B22" t="s">
        <v>81</v>
      </c>
      <c r="C22">
        <v>1</v>
      </c>
      <c r="D22" t="s">
        <v>72</v>
      </c>
      <c r="E22">
        <v>8</v>
      </c>
      <c r="F22" t="s">
        <v>72</v>
      </c>
      <c r="G22">
        <v>8</v>
      </c>
      <c r="H22" t="s">
        <v>72</v>
      </c>
      <c r="I22">
        <v>8</v>
      </c>
      <c r="J22" t="s">
        <v>72</v>
      </c>
      <c r="K22">
        <v>8</v>
      </c>
      <c r="L22" t="s">
        <v>72</v>
      </c>
      <c r="M22">
        <v>8</v>
      </c>
    </row>
    <row r="23" spans="1:13" x14ac:dyDescent="0.35">
      <c r="A23" t="s">
        <v>255</v>
      </c>
      <c r="B23" t="s">
        <v>83</v>
      </c>
      <c r="C23">
        <v>1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</row>
    <row r="24" spans="1:13" x14ac:dyDescent="0.35">
      <c r="A24" t="s">
        <v>256</v>
      </c>
      <c r="B24" t="s">
        <v>68</v>
      </c>
      <c r="C24">
        <v>2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</row>
    <row r="25" spans="1:13" x14ac:dyDescent="0.35">
      <c r="A25" t="s">
        <v>257</v>
      </c>
      <c r="B25" t="s">
        <v>71</v>
      </c>
      <c r="C25">
        <v>2</v>
      </c>
      <c r="D25" t="s">
        <v>72</v>
      </c>
      <c r="E25">
        <v>8</v>
      </c>
      <c r="F25" t="s">
        <v>72</v>
      </c>
      <c r="G25">
        <v>8</v>
      </c>
      <c r="H25" t="s">
        <v>72</v>
      </c>
      <c r="I25">
        <v>8</v>
      </c>
      <c r="J25" t="s">
        <v>73</v>
      </c>
      <c r="K25">
        <v>0</v>
      </c>
      <c r="L25" t="s">
        <v>72</v>
      </c>
      <c r="M25">
        <v>8</v>
      </c>
    </row>
    <row r="26" spans="1:13" x14ac:dyDescent="0.35">
      <c r="A26" t="s">
        <v>258</v>
      </c>
      <c r="B26" t="s">
        <v>75</v>
      </c>
      <c r="C26">
        <v>2</v>
      </c>
      <c r="D26" t="s">
        <v>72</v>
      </c>
      <c r="E26">
        <v>8</v>
      </c>
      <c r="F26" t="s">
        <v>72</v>
      </c>
      <c r="G26">
        <v>8</v>
      </c>
      <c r="H26" t="s">
        <v>72</v>
      </c>
      <c r="I26">
        <v>8</v>
      </c>
      <c r="J26" t="s">
        <v>72</v>
      </c>
      <c r="K26">
        <v>8</v>
      </c>
      <c r="L26" t="s">
        <v>72</v>
      </c>
      <c r="M26">
        <v>8</v>
      </c>
    </row>
    <row r="27" spans="1:13" x14ac:dyDescent="0.35">
      <c r="A27" t="s">
        <v>259</v>
      </c>
      <c r="B27" t="s">
        <v>77</v>
      </c>
      <c r="C27">
        <v>2</v>
      </c>
      <c r="D27" t="s">
        <v>72</v>
      </c>
      <c r="E27">
        <v>8</v>
      </c>
      <c r="F27" t="s">
        <v>72</v>
      </c>
      <c r="G27">
        <v>8</v>
      </c>
      <c r="H27" t="s">
        <v>72</v>
      </c>
      <c r="I27">
        <v>8</v>
      </c>
      <c r="J27" t="s">
        <v>72</v>
      </c>
      <c r="K27">
        <v>8</v>
      </c>
      <c r="L27" t="s">
        <v>72</v>
      </c>
      <c r="M27">
        <v>8</v>
      </c>
    </row>
    <row r="28" spans="1:13" x14ac:dyDescent="0.35">
      <c r="A28" t="s">
        <v>260</v>
      </c>
      <c r="B28" t="s">
        <v>79</v>
      </c>
      <c r="C28">
        <v>2</v>
      </c>
      <c r="D28" t="s">
        <v>72</v>
      </c>
      <c r="E28">
        <v>8</v>
      </c>
      <c r="F28" t="s">
        <v>72</v>
      </c>
      <c r="G28">
        <v>8</v>
      </c>
      <c r="H28" t="s">
        <v>72</v>
      </c>
      <c r="I28">
        <v>8</v>
      </c>
      <c r="J28" t="s">
        <v>72</v>
      </c>
      <c r="K28">
        <v>8</v>
      </c>
      <c r="L28" t="s">
        <v>72</v>
      </c>
      <c r="M28">
        <v>8</v>
      </c>
    </row>
    <row r="29" spans="1:13" x14ac:dyDescent="0.35">
      <c r="A29" t="s">
        <v>261</v>
      </c>
      <c r="B29" t="s">
        <v>81</v>
      </c>
      <c r="C29">
        <v>2</v>
      </c>
      <c r="D29" t="s">
        <v>72</v>
      </c>
      <c r="E29">
        <v>8</v>
      </c>
      <c r="F29" t="s">
        <v>72</v>
      </c>
      <c r="G29">
        <v>8</v>
      </c>
      <c r="H29" t="s">
        <v>72</v>
      </c>
      <c r="I29">
        <v>8</v>
      </c>
      <c r="J29" t="s">
        <v>72</v>
      </c>
      <c r="K29">
        <v>8</v>
      </c>
      <c r="L29" t="s">
        <v>72</v>
      </c>
      <c r="M29">
        <v>8</v>
      </c>
    </row>
    <row r="30" spans="1:13" x14ac:dyDescent="0.35">
      <c r="A30" t="s">
        <v>242</v>
      </c>
      <c r="B30" t="s">
        <v>83</v>
      </c>
      <c r="C30">
        <v>2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</row>
    <row r="34" spans="1:3" ht="21" x14ac:dyDescent="0.5">
      <c r="A34" s="4" t="s">
        <v>274</v>
      </c>
    </row>
    <row r="35" spans="1:3" x14ac:dyDescent="0.35">
      <c r="A35" s="1" t="s">
        <v>90</v>
      </c>
      <c r="B35" s="1" t="s">
        <v>72</v>
      </c>
      <c r="C35" s="1" t="s">
        <v>73</v>
      </c>
    </row>
    <row r="36" spans="1:3" x14ac:dyDescent="0.35">
      <c r="A36" t="s">
        <v>91</v>
      </c>
      <c r="B36">
        <v>10</v>
      </c>
      <c r="C36">
        <v>0</v>
      </c>
    </row>
    <row r="37" spans="1:3" x14ac:dyDescent="0.35">
      <c r="A37" t="s">
        <v>92</v>
      </c>
      <c r="B37">
        <v>10</v>
      </c>
      <c r="C37">
        <v>0</v>
      </c>
    </row>
    <row r="38" spans="1:3" x14ac:dyDescent="0.35">
      <c r="A38" t="s">
        <v>93</v>
      </c>
      <c r="B38">
        <v>7</v>
      </c>
      <c r="C38">
        <v>3</v>
      </c>
    </row>
    <row r="39" spans="1:3" x14ac:dyDescent="0.35">
      <c r="A39" t="s">
        <v>94</v>
      </c>
      <c r="B39">
        <v>9</v>
      </c>
      <c r="C39">
        <v>1</v>
      </c>
    </row>
    <row r="40" spans="1:3" x14ac:dyDescent="0.35">
      <c r="A40" t="s">
        <v>95</v>
      </c>
      <c r="B40">
        <v>10</v>
      </c>
      <c r="C40">
        <v>0</v>
      </c>
    </row>
    <row r="44" spans="1:3" ht="21" x14ac:dyDescent="0.5">
      <c r="A44" s="4" t="s">
        <v>275</v>
      </c>
    </row>
    <row r="45" spans="1:3" x14ac:dyDescent="0.35">
      <c r="A45" s="1" t="s">
        <v>96</v>
      </c>
      <c r="B45" s="1" t="s">
        <v>97</v>
      </c>
    </row>
    <row r="46" spans="1:3" x14ac:dyDescent="0.35">
      <c r="A46" t="s">
        <v>98</v>
      </c>
      <c r="B46">
        <v>5</v>
      </c>
    </row>
    <row r="47" spans="1:3" x14ac:dyDescent="0.35">
      <c r="A47" t="s">
        <v>21</v>
      </c>
      <c r="B47" s="7">
        <f>V5</f>
        <v>8.875</v>
      </c>
    </row>
    <row r="51" spans="1:2" ht="21" x14ac:dyDescent="0.5">
      <c r="A51" s="4" t="s">
        <v>276</v>
      </c>
    </row>
    <row r="52" spans="1:2" x14ac:dyDescent="0.35">
      <c r="A52" s="1" t="s">
        <v>55</v>
      </c>
      <c r="B52" s="1" t="s">
        <v>99</v>
      </c>
    </row>
    <row r="53" spans="1:2" x14ac:dyDescent="0.35">
      <c r="A53" t="s">
        <v>240</v>
      </c>
      <c r="B53">
        <v>4.9000000000000004</v>
      </c>
    </row>
    <row r="54" spans="1:2" x14ac:dyDescent="0.35">
      <c r="A54" t="s">
        <v>250</v>
      </c>
      <c r="B54">
        <v>4.9000000000000004</v>
      </c>
    </row>
    <row r="55" spans="1:2" x14ac:dyDescent="0.35">
      <c r="A55" t="s">
        <v>251</v>
      </c>
      <c r="B55">
        <v>4.4000000000000004</v>
      </c>
    </row>
    <row r="56" spans="1:2" x14ac:dyDescent="0.35">
      <c r="A56" t="s">
        <v>252</v>
      </c>
      <c r="B56">
        <v>3.8</v>
      </c>
    </row>
    <row r="57" spans="1:2" x14ac:dyDescent="0.35">
      <c r="A57" t="s">
        <v>253</v>
      </c>
      <c r="B57">
        <v>3.7</v>
      </c>
    </row>
    <row r="58" spans="1:2" x14ac:dyDescent="0.35">
      <c r="A58" t="s">
        <v>254</v>
      </c>
      <c r="B58">
        <v>3.3</v>
      </c>
    </row>
    <row r="59" spans="1:2" x14ac:dyDescent="0.35">
      <c r="A59" t="s">
        <v>255</v>
      </c>
      <c r="B59">
        <v>3</v>
      </c>
    </row>
    <row r="60" spans="1:2" x14ac:dyDescent="0.35">
      <c r="A60" t="s">
        <v>256</v>
      </c>
      <c r="B60">
        <v>2.4</v>
      </c>
    </row>
    <row r="61" spans="1:2" x14ac:dyDescent="0.35">
      <c r="A61" t="s">
        <v>257</v>
      </c>
      <c r="B61">
        <v>2.2000000000000002</v>
      </c>
    </row>
    <row r="62" spans="1:2" x14ac:dyDescent="0.35">
      <c r="A62" t="s">
        <v>258</v>
      </c>
      <c r="B62">
        <v>1.7</v>
      </c>
    </row>
    <row r="63" spans="1:2" x14ac:dyDescent="0.35">
      <c r="A63" t="s">
        <v>259</v>
      </c>
      <c r="B63">
        <v>1.5</v>
      </c>
    </row>
    <row r="64" spans="1:2" x14ac:dyDescent="0.35">
      <c r="A64" t="s">
        <v>260</v>
      </c>
      <c r="B64">
        <v>1.1000000000000001</v>
      </c>
    </row>
    <row r="65" spans="1:4" x14ac:dyDescent="0.35">
      <c r="A65" t="s">
        <v>261</v>
      </c>
      <c r="B65">
        <v>0.7</v>
      </c>
    </row>
    <row r="66" spans="1:4" x14ac:dyDescent="0.35">
      <c r="A66" t="s">
        <v>242</v>
      </c>
      <c r="B66">
        <v>0.3</v>
      </c>
    </row>
    <row r="67" spans="1:4" x14ac:dyDescent="0.35">
      <c r="A67" t="s">
        <v>262</v>
      </c>
      <c r="B67">
        <v>0</v>
      </c>
    </row>
    <row r="71" spans="1:4" ht="21" x14ac:dyDescent="0.5">
      <c r="A71" s="4" t="s">
        <v>277</v>
      </c>
    </row>
    <row r="72" spans="1:4" x14ac:dyDescent="0.35">
      <c r="A72" s="1" t="s">
        <v>101</v>
      </c>
      <c r="B72" s="1" t="s">
        <v>102</v>
      </c>
      <c r="C72" s="1" t="s">
        <v>103</v>
      </c>
      <c r="D72" s="1" t="s">
        <v>104</v>
      </c>
    </row>
    <row r="73" spans="1:4" x14ac:dyDescent="0.35">
      <c r="A73" t="s">
        <v>246</v>
      </c>
      <c r="B73" t="s">
        <v>133</v>
      </c>
      <c r="C73" t="s">
        <v>106</v>
      </c>
      <c r="D73" t="s">
        <v>155</v>
      </c>
    </row>
  </sheetData>
  <pageMargins left="0.75" right="0.75" top="1" bottom="1" header="0.5" footer="0.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workbookViewId="0">
      <selection activeCell="B7" sqref="B7"/>
    </sheetView>
  </sheetViews>
  <sheetFormatPr defaultRowHeight="14.5" x14ac:dyDescent="0.35"/>
  <cols>
    <col min="1" max="1" width="7.1796875" bestFit="1" customWidth="1"/>
    <col min="2" max="2" width="23" bestFit="1" customWidth="1"/>
    <col min="3" max="3" width="37.453125" bestFit="1" customWidth="1"/>
    <col min="4" max="4" width="11.54296875" bestFit="1" customWidth="1"/>
    <col min="5" max="5" width="10.6328125" bestFit="1" customWidth="1"/>
    <col min="6" max="6" width="26.453125" bestFit="1" customWidth="1"/>
    <col min="7" max="7" width="17.7265625" bestFit="1" customWidth="1"/>
    <col min="8" max="8" width="55.36328125" bestFit="1" customWidth="1"/>
    <col min="9" max="9" width="54" bestFit="1" customWidth="1"/>
    <col min="10" max="10" width="33.08984375" bestFit="1" customWidth="1"/>
    <col min="11" max="11" width="9.54296875" bestFit="1" customWidth="1"/>
    <col min="12" max="12" width="26.6328125" bestFit="1" customWidth="1"/>
  </cols>
  <sheetData>
    <row r="1" spans="1:12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x14ac:dyDescent="0.35">
      <c r="A2">
        <v>2</v>
      </c>
      <c r="B2" t="s">
        <v>48</v>
      </c>
      <c r="C2" t="s">
        <v>49</v>
      </c>
      <c r="D2" t="s">
        <v>40</v>
      </c>
      <c r="E2" t="s">
        <v>41</v>
      </c>
      <c r="F2">
        <v>8</v>
      </c>
      <c r="G2" t="s">
        <v>42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</row>
    <row r="3" spans="1:12" x14ac:dyDescent="0.35">
      <c r="A3">
        <v>3</v>
      </c>
      <c r="B3" t="s">
        <v>110</v>
      </c>
      <c r="C3" t="s">
        <v>111</v>
      </c>
      <c r="D3" t="s">
        <v>40</v>
      </c>
      <c r="E3" t="s">
        <v>41</v>
      </c>
      <c r="F3">
        <v>8</v>
      </c>
      <c r="G3" t="s">
        <v>112</v>
      </c>
      <c r="H3" t="s">
        <v>113</v>
      </c>
      <c r="I3" t="s">
        <v>114</v>
      </c>
      <c r="J3" t="s">
        <v>48</v>
      </c>
      <c r="K3" t="s">
        <v>40</v>
      </c>
      <c r="L3" t="s">
        <v>115</v>
      </c>
    </row>
    <row r="4" spans="1:12" x14ac:dyDescent="0.35">
      <c r="A4">
        <v>4</v>
      </c>
      <c r="B4" t="s">
        <v>116</v>
      </c>
      <c r="C4" t="s">
        <v>117</v>
      </c>
      <c r="D4" t="s">
        <v>40</v>
      </c>
      <c r="E4" t="s">
        <v>41</v>
      </c>
      <c r="F4">
        <v>8</v>
      </c>
      <c r="G4" t="s">
        <v>112</v>
      </c>
      <c r="H4" t="s">
        <v>118</v>
      </c>
      <c r="I4" t="s">
        <v>119</v>
      </c>
      <c r="J4" t="s">
        <v>110</v>
      </c>
      <c r="K4" t="s">
        <v>53</v>
      </c>
      <c r="L4" t="s">
        <v>115</v>
      </c>
    </row>
    <row r="5" spans="1:12" x14ac:dyDescent="0.35">
      <c r="A5">
        <v>6</v>
      </c>
      <c r="B5" t="s">
        <v>158</v>
      </c>
      <c r="C5" t="s">
        <v>159</v>
      </c>
      <c r="D5" t="s">
        <v>53</v>
      </c>
      <c r="E5" t="s">
        <v>41</v>
      </c>
      <c r="F5">
        <v>8</v>
      </c>
      <c r="G5" t="s">
        <v>160</v>
      </c>
      <c r="H5" t="s">
        <v>161</v>
      </c>
      <c r="I5" t="s">
        <v>162</v>
      </c>
      <c r="J5" t="s">
        <v>163</v>
      </c>
      <c r="K5" t="s">
        <v>40</v>
      </c>
      <c r="L5" t="s">
        <v>141</v>
      </c>
    </row>
    <row r="6" spans="1:12" x14ac:dyDescent="0.35">
      <c r="A6">
        <v>7</v>
      </c>
      <c r="B6" t="s">
        <v>179</v>
      </c>
      <c r="C6" t="s">
        <v>180</v>
      </c>
      <c r="D6" t="s">
        <v>46</v>
      </c>
      <c r="E6" t="s">
        <v>41</v>
      </c>
      <c r="F6">
        <v>8</v>
      </c>
      <c r="G6" t="s">
        <v>181</v>
      </c>
      <c r="H6" t="s">
        <v>182</v>
      </c>
      <c r="I6" t="s">
        <v>183</v>
      </c>
      <c r="J6" t="s">
        <v>38</v>
      </c>
      <c r="K6" t="s">
        <v>53</v>
      </c>
      <c r="L6" t="s">
        <v>184</v>
      </c>
    </row>
    <row r="7" spans="1:12" x14ac:dyDescent="0.35">
      <c r="A7">
        <v>9</v>
      </c>
      <c r="B7" t="s">
        <v>222</v>
      </c>
      <c r="C7" t="s">
        <v>223</v>
      </c>
      <c r="D7" t="s">
        <v>53</v>
      </c>
      <c r="E7" t="s">
        <v>41</v>
      </c>
      <c r="F7">
        <v>8</v>
      </c>
      <c r="G7" t="s">
        <v>224</v>
      </c>
      <c r="H7" t="s">
        <v>225</v>
      </c>
      <c r="I7" t="s">
        <v>226</v>
      </c>
      <c r="J7" t="s">
        <v>227</v>
      </c>
      <c r="K7" t="s">
        <v>40</v>
      </c>
      <c r="L7" t="s">
        <v>47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B7" sqref="B7"/>
    </sheetView>
  </sheetViews>
  <sheetFormatPr defaultColWidth="36.08984375" defaultRowHeight="14.5" x14ac:dyDescent="0.35"/>
  <sheetData>
    <row r="1" spans="1:2" x14ac:dyDescent="0.35">
      <c r="A1" s="1" t="s">
        <v>101</v>
      </c>
      <c r="B1" s="1" t="s">
        <v>104</v>
      </c>
    </row>
    <row r="2" spans="1:2" x14ac:dyDescent="0.35">
      <c r="A2" t="s">
        <v>42</v>
      </c>
      <c r="B2" t="s">
        <v>107</v>
      </c>
    </row>
    <row r="3" spans="1:2" x14ac:dyDescent="0.35">
      <c r="A3" t="s">
        <v>112</v>
      </c>
      <c r="B3" t="s">
        <v>288</v>
      </c>
    </row>
    <row r="4" spans="1:2" x14ac:dyDescent="0.35">
      <c r="A4" t="s">
        <v>138</v>
      </c>
      <c r="B4" t="s">
        <v>155</v>
      </c>
    </row>
    <row r="5" spans="1:2" x14ac:dyDescent="0.35">
      <c r="A5" t="s">
        <v>160</v>
      </c>
      <c r="B5" t="s">
        <v>289</v>
      </c>
    </row>
    <row r="6" spans="1:2" x14ac:dyDescent="0.35">
      <c r="A6" t="s">
        <v>181</v>
      </c>
      <c r="B6" t="s">
        <v>290</v>
      </c>
    </row>
    <row r="7" spans="1:2" x14ac:dyDescent="0.35">
      <c r="A7" t="s">
        <v>203</v>
      </c>
      <c r="B7" t="s">
        <v>291</v>
      </c>
    </row>
    <row r="8" spans="1:2" x14ac:dyDescent="0.35">
      <c r="A8" t="s">
        <v>224</v>
      </c>
      <c r="B8" t="s">
        <v>155</v>
      </c>
    </row>
    <row r="9" spans="1:2" x14ac:dyDescent="0.35">
      <c r="A9" t="s">
        <v>246</v>
      </c>
      <c r="B9" t="s">
        <v>155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F9" sqref="F9"/>
    </sheetView>
  </sheetViews>
  <sheetFormatPr defaultRowHeight="14.5" x14ac:dyDescent="0.35"/>
  <cols>
    <col min="1" max="1" width="26.36328125" bestFit="1" customWidth="1"/>
    <col min="2" max="2" width="16.54296875" bestFit="1" customWidth="1"/>
    <col min="3" max="3" width="16" bestFit="1" customWidth="1"/>
  </cols>
  <sheetData>
    <row r="1" spans="1:3" x14ac:dyDescent="0.35">
      <c r="A1" s="1" t="s">
        <v>96</v>
      </c>
      <c r="B1" s="1" t="s">
        <v>97</v>
      </c>
    </row>
    <row r="2" spans="1:3" x14ac:dyDescent="0.35">
      <c r="A2" t="s">
        <v>263</v>
      </c>
      <c r="B2">
        <v>8</v>
      </c>
    </row>
    <row r="3" spans="1:3" x14ac:dyDescent="0.35">
      <c r="A3" t="s">
        <v>264</v>
      </c>
      <c r="B3">
        <v>8000000</v>
      </c>
    </row>
    <row r="4" spans="1:3" x14ac:dyDescent="0.35">
      <c r="A4" t="s">
        <v>265</v>
      </c>
      <c r="B4">
        <v>4125000</v>
      </c>
    </row>
    <row r="5" spans="1:3" x14ac:dyDescent="0.35">
      <c r="A5" t="s">
        <v>266</v>
      </c>
      <c r="B5">
        <v>3668750</v>
      </c>
    </row>
    <row r="6" spans="1:3" x14ac:dyDescent="0.35">
      <c r="A6" t="s">
        <v>267</v>
      </c>
      <c r="B6">
        <v>7.6</v>
      </c>
    </row>
    <row r="9" spans="1:3" x14ac:dyDescent="0.35">
      <c r="A9" s="1" t="s">
        <v>90</v>
      </c>
      <c r="B9" s="1" t="s">
        <v>268</v>
      </c>
      <c r="C9" s="1" t="s">
        <v>269</v>
      </c>
    </row>
    <row r="10" spans="1:3" x14ac:dyDescent="0.35">
      <c r="A10" t="s">
        <v>91</v>
      </c>
      <c r="B10">
        <v>70</v>
      </c>
      <c r="C10">
        <v>10</v>
      </c>
    </row>
    <row r="11" spans="1:3" x14ac:dyDescent="0.35">
      <c r="A11" t="s">
        <v>92</v>
      </c>
      <c r="B11">
        <v>74</v>
      </c>
      <c r="C11">
        <v>6</v>
      </c>
    </row>
    <row r="12" spans="1:3" x14ac:dyDescent="0.35">
      <c r="A12" t="s">
        <v>93</v>
      </c>
      <c r="B12">
        <v>74</v>
      </c>
      <c r="C12">
        <v>6</v>
      </c>
    </row>
    <row r="13" spans="1:3" x14ac:dyDescent="0.35">
      <c r="A13" t="s">
        <v>94</v>
      </c>
      <c r="B13">
        <v>70</v>
      </c>
      <c r="C13">
        <v>10</v>
      </c>
    </row>
    <row r="14" spans="1:3" x14ac:dyDescent="0.35">
      <c r="A14" t="s">
        <v>95</v>
      </c>
      <c r="B14">
        <v>74</v>
      </c>
      <c r="C14">
        <v>6</v>
      </c>
    </row>
  </sheetData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2"/>
  <sheetViews>
    <sheetView zoomScale="36" zoomScaleNormal="55" workbookViewId="0">
      <selection activeCell="E25" sqref="E25"/>
    </sheetView>
  </sheetViews>
  <sheetFormatPr defaultRowHeight="14.5" x14ac:dyDescent="0.35"/>
  <cols>
    <col min="1" max="1" width="20.1796875" bestFit="1" customWidth="1"/>
    <col min="2" max="2" width="23.54296875" bestFit="1" customWidth="1"/>
    <col min="3" max="3" width="39.26953125" bestFit="1" customWidth="1"/>
    <col min="4" max="4" width="20.54296875" bestFit="1" customWidth="1"/>
    <col min="5" max="5" width="56" bestFit="1" customWidth="1"/>
    <col min="6" max="6" width="28.81640625" bestFit="1" customWidth="1"/>
    <col min="7" max="7" width="20.1796875" bestFit="1" customWidth="1"/>
    <col min="8" max="8" width="66.26953125" bestFit="1" customWidth="1"/>
    <col min="9" max="9" width="55.453125" bestFit="1" customWidth="1"/>
    <col min="10" max="10" width="33.90625" bestFit="1" customWidth="1"/>
    <col min="11" max="11" width="27.6328125" bestFit="1" customWidth="1"/>
    <col min="12" max="12" width="28.81640625" bestFit="1" customWidth="1"/>
    <col min="13" max="13" width="25.7265625" bestFit="1" customWidth="1"/>
    <col min="14" max="14" width="19.7265625" bestFit="1" customWidth="1"/>
    <col min="15" max="15" width="21.54296875" bestFit="1" customWidth="1"/>
    <col min="16" max="16" width="29.36328125" bestFit="1" customWidth="1"/>
    <col min="17" max="17" width="27.08984375" bestFit="1" customWidth="1"/>
    <col min="18" max="18" width="16.08984375" bestFit="1" customWidth="1"/>
    <col min="19" max="19" width="23.453125" bestFit="1" customWidth="1"/>
    <col min="20" max="20" width="18.81640625" bestFit="1" customWidth="1"/>
    <col min="21" max="21" width="26.1796875" bestFit="1" customWidth="1"/>
    <col min="22" max="22" width="36.81640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1000000</v>
      </c>
      <c r="G2">
        <v>75000</v>
      </c>
      <c r="H2">
        <v>100000</v>
      </c>
      <c r="I2">
        <v>100000</v>
      </c>
      <c r="J2">
        <v>0</v>
      </c>
      <c r="K2">
        <v>75000</v>
      </c>
      <c r="L2">
        <v>350000</v>
      </c>
      <c r="M2">
        <v>100000</v>
      </c>
      <c r="N2">
        <v>450000</v>
      </c>
      <c r="O2">
        <v>5</v>
      </c>
      <c r="P2">
        <v>22500</v>
      </c>
      <c r="Q2">
        <v>472500</v>
      </c>
      <c r="R2">
        <v>550000</v>
      </c>
      <c r="S2">
        <v>527500</v>
      </c>
      <c r="T2">
        <v>1000000</v>
      </c>
      <c r="U2">
        <v>1000000</v>
      </c>
      <c r="V2" cm="1">
        <f t="array" ref="V2">B1S1[Velocity (Story Points Completed)]</f>
        <v>13</v>
      </c>
    </row>
    <row r="3" spans="1:22" x14ac:dyDescent="0.35">
      <c r="A3">
        <v>2</v>
      </c>
      <c r="B3" t="s">
        <v>100</v>
      </c>
      <c r="C3" t="s">
        <v>108</v>
      </c>
      <c r="D3" t="s">
        <v>24</v>
      </c>
      <c r="E3" t="s">
        <v>109</v>
      </c>
      <c r="F3">
        <v>1000000</v>
      </c>
      <c r="G3">
        <v>75000</v>
      </c>
      <c r="H3">
        <v>100000</v>
      </c>
      <c r="I3">
        <v>100000</v>
      </c>
      <c r="J3">
        <v>75000</v>
      </c>
      <c r="K3">
        <v>75000</v>
      </c>
      <c r="L3">
        <v>425000</v>
      </c>
      <c r="M3">
        <v>100000</v>
      </c>
      <c r="N3">
        <v>525000</v>
      </c>
      <c r="O3">
        <v>5</v>
      </c>
      <c r="P3">
        <v>26250</v>
      </c>
      <c r="Q3">
        <v>551250</v>
      </c>
      <c r="R3">
        <v>475000</v>
      </c>
      <c r="S3">
        <v>448750</v>
      </c>
      <c r="T3">
        <v>1000000</v>
      </c>
      <c r="U3">
        <v>1000000</v>
      </c>
      <c r="V3" s="6" cm="1">
        <f t="array" ref="V3">Table8[Velocity (Story Points Completed)]</f>
        <v>14.5</v>
      </c>
    </row>
    <row r="4" spans="1:22" x14ac:dyDescent="0.35">
      <c r="A4">
        <v>3</v>
      </c>
      <c r="B4" t="s">
        <v>132</v>
      </c>
      <c r="C4" t="s">
        <v>134</v>
      </c>
      <c r="D4" t="s">
        <v>24</v>
      </c>
      <c r="E4" t="s">
        <v>135</v>
      </c>
      <c r="F4">
        <v>1000000</v>
      </c>
      <c r="G4">
        <v>75000</v>
      </c>
      <c r="H4">
        <v>100000</v>
      </c>
      <c r="I4">
        <v>100000</v>
      </c>
      <c r="J4">
        <v>75000</v>
      </c>
      <c r="K4">
        <v>75000</v>
      </c>
      <c r="L4">
        <v>425000</v>
      </c>
      <c r="M4">
        <v>100000</v>
      </c>
      <c r="N4">
        <v>525000</v>
      </c>
      <c r="O4">
        <v>5</v>
      </c>
      <c r="P4">
        <v>26250</v>
      </c>
      <c r="Q4">
        <v>551250</v>
      </c>
      <c r="R4">
        <v>475000</v>
      </c>
      <c r="S4">
        <v>448750</v>
      </c>
      <c r="T4">
        <v>1000000</v>
      </c>
      <c r="U4">
        <v>1000000</v>
      </c>
      <c r="V4" s="7" cm="1">
        <f t="array" ref="V4">Table15[Velocity (Story Points Completed)]</f>
        <v>12.333333333333334</v>
      </c>
    </row>
    <row r="5" spans="1:22" x14ac:dyDescent="0.35">
      <c r="A5">
        <v>4</v>
      </c>
      <c r="B5" t="s">
        <v>154</v>
      </c>
      <c r="C5" t="s">
        <v>156</v>
      </c>
      <c r="D5" t="s">
        <v>24</v>
      </c>
      <c r="E5" t="s">
        <v>157</v>
      </c>
      <c r="F5">
        <v>1000000</v>
      </c>
      <c r="G5">
        <v>75000</v>
      </c>
      <c r="H5">
        <v>100000</v>
      </c>
      <c r="I5">
        <v>100000</v>
      </c>
      <c r="J5">
        <v>75000</v>
      </c>
      <c r="K5">
        <v>75000</v>
      </c>
      <c r="L5">
        <v>425000</v>
      </c>
      <c r="M5">
        <v>100000</v>
      </c>
      <c r="N5">
        <v>525000</v>
      </c>
      <c r="O5">
        <v>5</v>
      </c>
      <c r="P5">
        <v>26250</v>
      </c>
      <c r="Q5">
        <v>551250</v>
      </c>
      <c r="R5">
        <v>475000</v>
      </c>
      <c r="S5">
        <v>448750</v>
      </c>
      <c r="T5">
        <v>1000000</v>
      </c>
      <c r="U5">
        <v>1000000</v>
      </c>
      <c r="V5">
        <f>Table22[[#This Row],[Velocity (Story Points Completed)]]</f>
        <v>11.25</v>
      </c>
    </row>
    <row r="6" spans="1:22" x14ac:dyDescent="0.35">
      <c r="A6">
        <v>5</v>
      </c>
      <c r="B6" t="s">
        <v>176</v>
      </c>
      <c r="C6" t="s">
        <v>177</v>
      </c>
      <c r="D6" t="s">
        <v>24</v>
      </c>
      <c r="E6" t="s">
        <v>178</v>
      </c>
      <c r="F6">
        <v>1000000</v>
      </c>
      <c r="G6">
        <v>75000</v>
      </c>
      <c r="H6">
        <v>100000</v>
      </c>
      <c r="I6">
        <v>100000</v>
      </c>
      <c r="J6">
        <v>75000</v>
      </c>
      <c r="K6">
        <v>75000</v>
      </c>
      <c r="L6">
        <v>425000</v>
      </c>
      <c r="M6">
        <v>100000</v>
      </c>
      <c r="N6">
        <v>525000</v>
      </c>
      <c r="O6">
        <v>5</v>
      </c>
      <c r="P6">
        <v>26250</v>
      </c>
      <c r="Q6">
        <v>551250</v>
      </c>
      <c r="R6">
        <v>475000</v>
      </c>
      <c r="S6">
        <v>448750</v>
      </c>
      <c r="T6">
        <v>1000000</v>
      </c>
      <c r="U6">
        <v>1000000</v>
      </c>
      <c r="V6" s="6" cm="1">
        <f t="array" ref="V6">Table29[Velocity (Story Points Completed)]</f>
        <v>10.6</v>
      </c>
    </row>
    <row r="7" spans="1:22" x14ac:dyDescent="0.35">
      <c r="A7">
        <v>6</v>
      </c>
      <c r="B7" t="s">
        <v>197</v>
      </c>
      <c r="C7" t="s">
        <v>199</v>
      </c>
      <c r="D7" t="s">
        <v>24</v>
      </c>
      <c r="E7" t="s">
        <v>200</v>
      </c>
      <c r="F7">
        <v>1000000</v>
      </c>
      <c r="G7">
        <v>75000</v>
      </c>
      <c r="H7">
        <v>100000</v>
      </c>
      <c r="I7">
        <v>100000</v>
      </c>
      <c r="J7">
        <v>75000</v>
      </c>
      <c r="K7">
        <v>75000</v>
      </c>
      <c r="L7">
        <v>425000</v>
      </c>
      <c r="M7">
        <v>100000</v>
      </c>
      <c r="N7">
        <v>525000</v>
      </c>
      <c r="O7">
        <v>5</v>
      </c>
      <c r="P7">
        <v>26250</v>
      </c>
      <c r="Q7">
        <v>551250</v>
      </c>
      <c r="R7">
        <v>475000</v>
      </c>
      <c r="S7">
        <v>448750</v>
      </c>
      <c r="T7">
        <v>1000000</v>
      </c>
      <c r="U7">
        <v>1000000</v>
      </c>
      <c r="V7" s="7" cm="1">
        <f t="array" ref="V7">Table36[Velocity (Story Points Completed)]</f>
        <v>9.6666666666666661</v>
      </c>
    </row>
    <row r="8" spans="1:22" x14ac:dyDescent="0.35">
      <c r="A8">
        <v>7</v>
      </c>
      <c r="B8" t="s">
        <v>218</v>
      </c>
      <c r="C8" t="s">
        <v>220</v>
      </c>
      <c r="D8" t="s">
        <v>24</v>
      </c>
      <c r="E8" t="s">
        <v>221</v>
      </c>
      <c r="F8">
        <v>1000000</v>
      </c>
      <c r="G8">
        <v>75000</v>
      </c>
      <c r="H8">
        <v>100000</v>
      </c>
      <c r="I8">
        <v>100000</v>
      </c>
      <c r="J8">
        <v>75000</v>
      </c>
      <c r="K8">
        <v>75000</v>
      </c>
      <c r="L8">
        <v>425000</v>
      </c>
      <c r="M8">
        <v>100000</v>
      </c>
      <c r="N8">
        <v>525000</v>
      </c>
      <c r="O8">
        <v>5</v>
      </c>
      <c r="P8">
        <v>26250</v>
      </c>
      <c r="Q8">
        <v>551250</v>
      </c>
      <c r="R8">
        <v>475000</v>
      </c>
      <c r="S8">
        <v>448750</v>
      </c>
      <c r="T8">
        <v>1000000</v>
      </c>
      <c r="U8">
        <v>1000000</v>
      </c>
      <c r="V8" s="7" cm="1">
        <f t="array" ref="V8">Table43[Velocity (Story Points Completed)]</f>
        <v>9.4285714285714288</v>
      </c>
    </row>
    <row r="9" spans="1:22" x14ac:dyDescent="0.35">
      <c r="A9">
        <v>8</v>
      </c>
      <c r="B9" t="s">
        <v>240</v>
      </c>
      <c r="C9" t="s">
        <v>242</v>
      </c>
      <c r="D9" t="s">
        <v>24</v>
      </c>
      <c r="E9" t="s">
        <v>243</v>
      </c>
      <c r="F9">
        <v>1000000</v>
      </c>
      <c r="G9">
        <v>75000</v>
      </c>
      <c r="H9">
        <v>100000</v>
      </c>
      <c r="I9">
        <v>100000</v>
      </c>
      <c r="J9">
        <v>75000</v>
      </c>
      <c r="K9">
        <v>75000</v>
      </c>
      <c r="L9">
        <v>425000</v>
      </c>
      <c r="M9">
        <v>100000</v>
      </c>
      <c r="N9">
        <v>525000</v>
      </c>
      <c r="O9">
        <v>5</v>
      </c>
      <c r="P9">
        <v>26250</v>
      </c>
      <c r="Q9">
        <v>551250</v>
      </c>
      <c r="R9">
        <v>475000</v>
      </c>
      <c r="S9">
        <v>448750</v>
      </c>
      <c r="T9">
        <v>1000000</v>
      </c>
      <c r="U9">
        <v>1000000</v>
      </c>
      <c r="V9" s="7" cm="1">
        <f t="array" ref="V9">Table50[Velocity (Story Points Completed)]</f>
        <v>8.875</v>
      </c>
    </row>
    <row r="12" spans="1:22" x14ac:dyDescent="0.3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22" x14ac:dyDescent="0.35">
      <c r="A13">
        <v>1</v>
      </c>
      <c r="B13" t="s">
        <v>38</v>
      </c>
      <c r="C13" t="s">
        <v>39</v>
      </c>
      <c r="D13" t="s">
        <v>40</v>
      </c>
      <c r="E13" t="s">
        <v>292</v>
      </c>
      <c r="F13">
        <v>5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</row>
    <row r="14" spans="1:22" x14ac:dyDescent="0.35">
      <c r="A14">
        <v>2</v>
      </c>
      <c r="B14" t="s">
        <v>48</v>
      </c>
      <c r="C14" t="s">
        <v>49</v>
      </c>
      <c r="D14" t="s">
        <v>40</v>
      </c>
      <c r="E14" t="s">
        <v>292</v>
      </c>
      <c r="F14">
        <v>8</v>
      </c>
      <c r="G14" t="s">
        <v>42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</row>
    <row r="15" spans="1:22" x14ac:dyDescent="0.35">
      <c r="A15">
        <v>3</v>
      </c>
      <c r="B15" t="s">
        <v>110</v>
      </c>
      <c r="C15" t="s">
        <v>111</v>
      </c>
      <c r="D15" t="s">
        <v>40</v>
      </c>
      <c r="E15" t="s">
        <v>292</v>
      </c>
      <c r="F15">
        <v>8</v>
      </c>
      <c r="G15" t="s">
        <v>112</v>
      </c>
      <c r="H15" t="s">
        <v>113</v>
      </c>
      <c r="I15" t="s">
        <v>114</v>
      </c>
      <c r="J15" t="s">
        <v>48</v>
      </c>
      <c r="K15" t="s">
        <v>40</v>
      </c>
      <c r="L15" t="s">
        <v>115</v>
      </c>
    </row>
    <row r="16" spans="1:22" x14ac:dyDescent="0.35">
      <c r="A16">
        <v>4</v>
      </c>
      <c r="B16" t="s">
        <v>116</v>
      </c>
      <c r="C16" t="s">
        <v>117</v>
      </c>
      <c r="D16" t="s">
        <v>40</v>
      </c>
      <c r="E16" t="s">
        <v>292</v>
      </c>
      <c r="F16">
        <v>8</v>
      </c>
      <c r="G16" t="s">
        <v>112</v>
      </c>
      <c r="H16" t="s">
        <v>118</v>
      </c>
      <c r="I16" t="s">
        <v>119</v>
      </c>
      <c r="J16" t="s">
        <v>110</v>
      </c>
      <c r="K16" t="s">
        <v>53</v>
      </c>
      <c r="L16" t="s">
        <v>115</v>
      </c>
    </row>
    <row r="17" spans="1:12" x14ac:dyDescent="0.35">
      <c r="A17">
        <v>5</v>
      </c>
      <c r="B17" t="s">
        <v>136</v>
      </c>
      <c r="C17" t="s">
        <v>137</v>
      </c>
      <c r="D17" t="s">
        <v>53</v>
      </c>
      <c r="E17" t="s">
        <v>292</v>
      </c>
      <c r="F17">
        <v>8</v>
      </c>
      <c r="G17" t="s">
        <v>138</v>
      </c>
      <c r="H17" t="s">
        <v>139</v>
      </c>
      <c r="I17" t="s">
        <v>140</v>
      </c>
      <c r="J17" t="s">
        <v>116</v>
      </c>
      <c r="K17" t="s">
        <v>46</v>
      </c>
      <c r="L17" t="s">
        <v>141</v>
      </c>
    </row>
    <row r="18" spans="1:12" x14ac:dyDescent="0.35">
      <c r="A18">
        <v>6</v>
      </c>
      <c r="B18" t="s">
        <v>158</v>
      </c>
      <c r="C18" t="s">
        <v>159</v>
      </c>
      <c r="D18" t="s">
        <v>53</v>
      </c>
      <c r="E18" t="s">
        <v>292</v>
      </c>
      <c r="F18">
        <v>8</v>
      </c>
      <c r="G18" t="s">
        <v>160</v>
      </c>
      <c r="H18" t="s">
        <v>161</v>
      </c>
      <c r="I18" t="s">
        <v>162</v>
      </c>
      <c r="J18" t="s">
        <v>163</v>
      </c>
      <c r="K18" t="s">
        <v>40</v>
      </c>
      <c r="L18" t="s">
        <v>141</v>
      </c>
    </row>
    <row r="19" spans="1:12" x14ac:dyDescent="0.35">
      <c r="A19">
        <v>7</v>
      </c>
      <c r="B19" t="s">
        <v>179</v>
      </c>
      <c r="C19" t="s">
        <v>180</v>
      </c>
      <c r="D19" t="s">
        <v>46</v>
      </c>
      <c r="E19" t="s">
        <v>292</v>
      </c>
      <c r="F19">
        <v>8</v>
      </c>
      <c r="G19" t="s">
        <v>181</v>
      </c>
      <c r="H19" t="s">
        <v>182</v>
      </c>
      <c r="I19" t="s">
        <v>183</v>
      </c>
      <c r="J19" t="s">
        <v>38</v>
      </c>
      <c r="K19" t="s">
        <v>53</v>
      </c>
      <c r="L19" t="s">
        <v>184</v>
      </c>
    </row>
    <row r="20" spans="1:12" x14ac:dyDescent="0.35">
      <c r="A20">
        <v>8</v>
      </c>
      <c r="B20" t="s">
        <v>201</v>
      </c>
      <c r="C20" t="s">
        <v>202</v>
      </c>
      <c r="D20" t="s">
        <v>46</v>
      </c>
      <c r="E20" t="s">
        <v>292</v>
      </c>
      <c r="F20">
        <v>5</v>
      </c>
      <c r="G20" t="s">
        <v>203</v>
      </c>
      <c r="H20" t="s">
        <v>204</v>
      </c>
      <c r="I20" t="s">
        <v>205</v>
      </c>
      <c r="J20" t="s">
        <v>158</v>
      </c>
      <c r="K20" t="s">
        <v>46</v>
      </c>
      <c r="L20" t="s">
        <v>54</v>
      </c>
    </row>
    <row r="21" spans="1:12" x14ac:dyDescent="0.35">
      <c r="A21">
        <v>9</v>
      </c>
      <c r="B21" t="s">
        <v>222</v>
      </c>
      <c r="C21" t="s">
        <v>223</v>
      </c>
      <c r="D21" t="s">
        <v>53</v>
      </c>
      <c r="E21" t="s">
        <v>292</v>
      </c>
      <c r="F21">
        <v>8</v>
      </c>
      <c r="G21" t="s">
        <v>224</v>
      </c>
      <c r="H21" t="s">
        <v>225</v>
      </c>
      <c r="I21" t="s">
        <v>226</v>
      </c>
      <c r="J21" t="s">
        <v>227</v>
      </c>
      <c r="K21" t="s">
        <v>40</v>
      </c>
      <c r="L21" t="s">
        <v>47</v>
      </c>
    </row>
    <row r="22" spans="1:12" x14ac:dyDescent="0.35">
      <c r="A22">
        <v>10</v>
      </c>
      <c r="B22" t="s">
        <v>244</v>
      </c>
      <c r="C22" t="s">
        <v>245</v>
      </c>
      <c r="D22" t="s">
        <v>46</v>
      </c>
      <c r="E22" t="s">
        <v>41</v>
      </c>
      <c r="F22">
        <v>5</v>
      </c>
      <c r="G22" t="s">
        <v>246</v>
      </c>
      <c r="H22" t="s">
        <v>247</v>
      </c>
      <c r="I22" t="s">
        <v>248</v>
      </c>
      <c r="J22" t="s">
        <v>249</v>
      </c>
      <c r="K22" t="s">
        <v>46</v>
      </c>
      <c r="L22" t="s">
        <v>184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Risk Register</vt:lpstr>
      <vt:lpstr>Retrospective Follow-up</vt:lpstr>
      <vt:lpstr>Dashboard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Kale</cp:lastModifiedBy>
  <dcterms:created xsi:type="dcterms:W3CDTF">2025-02-12T10:15:37Z</dcterms:created>
  <dcterms:modified xsi:type="dcterms:W3CDTF">2025-02-14T13:34:08Z</dcterms:modified>
</cp:coreProperties>
</file>