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azpaola\Dropbox\Unbosque\División de Planeación\Seguimiento a Plan de Mejora2014\Factor 10\Soportes PMC Factor 10\Viceadmon\"/>
    </mc:Choice>
  </mc:AlternateContent>
  <bookViews>
    <workbookView xWindow="0" yWindow="0" windowWidth="20490" windowHeight="7155" activeTab="4"/>
  </bookViews>
  <sheets>
    <sheet name="2014" sheetId="3" r:id="rId1"/>
    <sheet name="2015" sheetId="4" r:id="rId2"/>
    <sheet name="2016" sheetId="5" r:id="rId3"/>
    <sheet name="2017" sheetId="6" r:id="rId4"/>
    <sheet name="2018" sheetId="7" r:id="rId5"/>
  </sheets>
  <definedNames>
    <definedName name="_xlnm._FilterDatabase" localSheetId="0" hidden="1">'2014'!$B$1:$D$13</definedName>
    <definedName name="_xlnm._FilterDatabase" localSheetId="1" hidden="1">'2015'!$A$1:$B$13</definedName>
    <definedName name="_xlnm._FilterDatabase" localSheetId="2" hidden="1">'2016'!$A$1:$D$15</definedName>
    <definedName name="_xlnm._FilterDatabase" localSheetId="3" hidden="1">'2017'!$A$2:$P$19</definedName>
    <definedName name="_xlnm.Print_Area" localSheetId="0">'2014'!$A$1:$D$13</definedName>
  </definedNames>
  <calcPr calcId="162913"/>
</workbook>
</file>

<file path=xl/calcChain.xml><?xml version="1.0" encoding="utf-8"?>
<calcChain xmlns="http://schemas.openxmlformats.org/spreadsheetml/2006/main">
  <c r="P17" i="6" l="1"/>
  <c r="N17" i="6"/>
  <c r="O17" i="6" s="1"/>
  <c r="K17" i="6"/>
  <c r="P16" i="6"/>
  <c r="N16" i="6"/>
  <c r="O16" i="6" s="1"/>
  <c r="P15" i="6"/>
  <c r="N15" i="6"/>
  <c r="O15" i="6" s="1"/>
  <c r="P14" i="6"/>
  <c r="N14" i="6"/>
  <c r="O14" i="6" s="1"/>
  <c r="K14" i="6"/>
  <c r="O13" i="6"/>
  <c r="L13" i="6"/>
  <c r="P13" i="6" s="1"/>
  <c r="J13" i="6"/>
  <c r="K13" i="6" s="1"/>
  <c r="I13" i="6"/>
  <c r="G13" i="6"/>
  <c r="O12" i="6"/>
  <c r="L12" i="6"/>
  <c r="P12" i="6" s="1"/>
  <c r="J12" i="6"/>
  <c r="K12" i="6" s="1"/>
  <c r="N11" i="6"/>
  <c r="O11" i="6" s="1"/>
  <c r="L11" i="6"/>
  <c r="P11" i="6" s="1"/>
  <c r="J11" i="6"/>
  <c r="K11" i="6" s="1"/>
  <c r="I11" i="6"/>
  <c r="G11" i="6"/>
  <c r="P10" i="6"/>
  <c r="O10" i="6"/>
  <c r="K10" i="6"/>
  <c r="N9" i="6"/>
  <c r="O9" i="6" s="1"/>
  <c r="L9" i="6"/>
  <c r="P9" i="6" s="1"/>
  <c r="J9" i="6"/>
  <c r="K9" i="6" s="1"/>
  <c r="I9" i="6"/>
  <c r="G9" i="6"/>
  <c r="N8" i="6"/>
  <c r="O8" i="6" s="1"/>
  <c r="L8" i="6"/>
  <c r="P8" i="6" s="1"/>
  <c r="J8" i="6"/>
  <c r="K8" i="6" s="1"/>
  <c r="I8" i="6"/>
  <c r="G8" i="6"/>
  <c r="N7" i="6"/>
  <c r="O7" i="6" s="1"/>
  <c r="L7" i="6"/>
  <c r="P7" i="6" s="1"/>
  <c r="J7" i="6"/>
  <c r="K7" i="6" s="1"/>
  <c r="I7" i="6"/>
  <c r="G7" i="6"/>
  <c r="N6" i="6"/>
  <c r="O6" i="6" s="1"/>
  <c r="L6" i="6"/>
  <c r="J15" i="6" s="1"/>
  <c r="K15" i="6" s="1"/>
  <c r="J6" i="6"/>
  <c r="K6" i="6" s="1"/>
  <c r="I6" i="6"/>
  <c r="G6" i="6"/>
  <c r="N5" i="6"/>
  <c r="O5" i="6" s="1"/>
  <c r="L5" i="6"/>
  <c r="P5" i="6" s="1"/>
  <c r="J5" i="6"/>
  <c r="K5" i="6" s="1"/>
  <c r="I5" i="6"/>
  <c r="G5" i="6"/>
  <c r="N3" i="6"/>
  <c r="O3" i="6" s="1"/>
  <c r="L3" i="6"/>
  <c r="P3" i="6" s="1"/>
  <c r="J3" i="6"/>
  <c r="K3" i="6" s="1"/>
  <c r="I3" i="6"/>
  <c r="G3" i="6"/>
  <c r="P6" i="6" l="1"/>
  <c r="J16" i="6"/>
  <c r="K16" i="6" s="1"/>
  <c r="G4" i="5" l="1"/>
  <c r="H3" i="5"/>
  <c r="H2" i="5"/>
  <c r="H4" i="5" l="1"/>
</calcChain>
</file>

<file path=xl/sharedStrings.xml><?xml version="1.0" encoding="utf-8"?>
<sst xmlns="http://schemas.openxmlformats.org/spreadsheetml/2006/main" count="193" uniqueCount="76">
  <si>
    <t>FECHA INICIO</t>
  </si>
  <si>
    <t>FECHA FINAL</t>
  </si>
  <si>
    <t>RESTCAFE S.A.S. OMA</t>
  </si>
  <si>
    <t>FESTINO EXPRESS S.A.S.</t>
  </si>
  <si>
    <t xml:space="preserve">JOSE SAMUEL ROMERO </t>
  </si>
  <si>
    <t>NOHORA RITA CABRA SARMIENTO</t>
  </si>
  <si>
    <t>MERCEDES RANGEL MANTILLA</t>
  </si>
  <si>
    <t xml:space="preserve">CRISTINA ALEXANDRA SUDEN RIVERA </t>
  </si>
  <si>
    <t xml:space="preserve">RESTCAFE S.A.S. OMA </t>
  </si>
  <si>
    <t xml:space="preserve">REFRIBREAK </t>
  </si>
  <si>
    <t>PAOLA XIMENA CASTILLO CORTÉS</t>
  </si>
  <si>
    <t>% INC</t>
  </si>
  <si>
    <t xml:space="preserve"> ADOLFO PRIETO BONILLA</t>
  </si>
  <si>
    <t xml:space="preserve"> EL CAMPITO MEXICANO</t>
  </si>
  <si>
    <t>FRUTERIA Y HELADERÍA LA CASONA</t>
  </si>
  <si>
    <t>EMPANADAS TÍPICAS</t>
  </si>
  <si>
    <t>PERROS CALIENTES</t>
  </si>
  <si>
    <t>LA TERRAZA GOURMET</t>
  </si>
  <si>
    <t>ADRIANA MARCELA MORENO</t>
  </si>
  <si>
    <t>IDIANETH ORLAY CASTILLO</t>
  </si>
  <si>
    <t>ALDIMARK SAS</t>
  </si>
  <si>
    <t>16% DEL VALOR DE LAS VENTAS</t>
  </si>
  <si>
    <t>MENOS 0 GRADOS</t>
  </si>
  <si>
    <t>REPRESENTANTE LEGAL</t>
  </si>
  <si>
    <t>CONCESIÓN</t>
  </si>
  <si>
    <t>RICARDO OSPINA SORZANO</t>
  </si>
  <si>
    <t> MARTHA LUCÍA RANGEL ZUREK</t>
  </si>
  <si>
    <t>REFRIBREAK</t>
  </si>
  <si>
    <t>FECHA VENCIMIENTO</t>
  </si>
  <si>
    <t>2012</t>
  </si>
  <si>
    <t>2013</t>
  </si>
  <si>
    <t>% Var</t>
  </si>
  <si>
    <t>2014</t>
  </si>
  <si>
    <t>2015 Primer Valor Negociación</t>
  </si>
  <si>
    <t>% INC2</t>
  </si>
  <si>
    <t>2015 Segundo Valor Negociación</t>
  </si>
  <si>
    <t>2105 Tarifa Plena</t>
  </si>
  <si>
    <t>2105 Tarifa Ajustada (Tempoarada Baja)</t>
  </si>
  <si>
    <t>Ingresos Netos 2015</t>
  </si>
  <si>
    <t>% INC3</t>
  </si>
  <si>
    <t>NA</t>
  </si>
  <si>
    <t>RESTCAFE S.A.S. OMA BLOQUE B-L</t>
  </si>
  <si>
    <t>RESTCAFE S.A.S. OMA FUNDADORES</t>
  </si>
  <si>
    <t>16% Ventas</t>
  </si>
  <si>
    <t>REFRIBREAK FUNDADORES</t>
  </si>
  <si>
    <t>REFRIBREAK CHIA</t>
  </si>
  <si>
    <t>INVERSIONES P&amp;C CARTERING S.A.S</t>
  </si>
  <si>
    <t>MANUEL ALEJANDRO ROJAS CORTES</t>
  </si>
  <si>
    <t>PUNTO VERDE</t>
  </si>
  <si>
    <t>CRISTIAN FELIPE RODRÍGUEZ PRIETO</t>
  </si>
  <si>
    <t>NATURAL BREAK</t>
  </si>
  <si>
    <t>JUAN ESTEBAN PRADA CASTILLO</t>
  </si>
  <si>
    <t>BARRA DE SUSHI TASHI</t>
  </si>
  <si>
    <t>YANIRA ANDREA CARDENAS URIAN</t>
  </si>
  <si>
    <t>HORA DE COMER</t>
  </si>
  <si>
    <t>JUAN CARLOS PINEDA PEREZ</t>
  </si>
  <si>
    <t>PROMOTORA DE CAFE COLOMBIA S.A.</t>
  </si>
  <si>
    <t>ADRIANA OCHOA CALDERÓN</t>
  </si>
  <si>
    <t>FESTINO EXPRESS S.A.S. Bloque D</t>
  </si>
  <si>
    <t>FESTINO EXPRESS S.A.S. Campito</t>
  </si>
  <si>
    <t>PAOLA XIMENA CASTILLO</t>
  </si>
  <si>
    <t>GRUPO APSA SAS - ALTALENA CAFÉ</t>
  </si>
  <si>
    <t>PAOLA PATRICIA FACCINI GUARIN</t>
  </si>
  <si>
    <t>15/01/2018
16/07/2018</t>
  </si>
  <si>
    <t>14/06/2018
15/12/2018</t>
  </si>
  <si>
    <t>15/07/2016
15/07/2018</t>
  </si>
  <si>
    <t>14/07/2018
14/07/2019</t>
  </si>
  <si>
    <t>15/07/2018
15/12/2018</t>
  </si>
  <si>
    <t>1/03/2015
1/03/2018</t>
  </si>
  <si>
    <t>28/02/2018
15/12/2018</t>
  </si>
  <si>
    <t>QUICKLY COMIDAS RÁPIDAS</t>
  </si>
  <si>
    <t>CLARA ESPERANZA PÁEZ VANEGAS</t>
  </si>
  <si>
    <t>EL MATRAH S.A.S</t>
  </si>
  <si>
    <t>MOHAMED HAGIB IBRAHIM ZAGHLOUL</t>
  </si>
  <si>
    <t xml:space="preserve">TIPICHEF </t>
  </si>
  <si>
    <t>YEHIA  NABYI SOUIDEN MAHMOUD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</si>
</sst>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5" formatCode="_(&quot;$&quot;\ * #,##0.00_);_(&quot;$&quot;\ * \(#,##0.00\);_(&quot;$&quot;\ * &quot;-&quot;??_);_(@_)"/>
    <numFmt numFmtId="167" formatCode="0.0%"/>
    <numFmt numFmtId="168" formatCode="d/mm/yyyy;@"/>
    <numFmt numFmtId="172" formatCode="[$$-240A]#,##0"/>
    <numFmt numFmtId="173" formatCode="[$$-240A]#,##0.00"/>
    <numFmt numFmtId="175" formatCode="_-&quot;$&quot;* #,##0.00_-;\-&quot;$&quot;* #,##0.00_-;_-&quot;$&quot;* &quot;-&quot;??_-;_-@_-"/>
    <numFmt numFmtId="176" formatCode="_-&quot;$&quot;\ * #,##0_-;\-&quot;$&quot;\ * #,##0_-;_-&quot;$&quot;\ * &quot;-&quot;_-;_-@_-"/>
    <numFmt numFmtId="177" formatCode="_-* #,##0_-;\-* #,##0_-;_-* &quot;-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4"/>
      </patternFill>
    </fill>
    <fill>
      <patternFill patternType="solid">
        <fgColor theme="0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4" fillId="7" borderId="2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ill="1"/>
    <xf numFmtId="0" fontId="0" fillId="6" borderId="0" xfId="0" applyFill="1"/>
    <xf numFmtId="168" fontId="0" fillId="0" borderId="2" xfId="0" applyNumberFormat="1" applyFont="1" applyFill="1" applyBorder="1"/>
    <xf numFmtId="168" fontId="0" fillId="5" borderId="2" xfId="0" applyNumberFormat="1" applyFont="1" applyFill="1" applyBorder="1" applyAlignment="1">
      <alignment horizontal="right"/>
    </xf>
    <xf numFmtId="168" fontId="0" fillId="7" borderId="2" xfId="0" applyNumberFormat="1" applyFont="1" applyFill="1" applyBorder="1"/>
    <xf numFmtId="168" fontId="5" fillId="5" borderId="2" xfId="0" applyNumberFormat="1" applyFont="1" applyFill="1" applyBorder="1" applyAlignment="1">
      <alignment horizontal="right"/>
    </xf>
    <xf numFmtId="0" fontId="7" fillId="0" borderId="2" xfId="0" applyFont="1" applyFill="1" applyBorder="1"/>
    <xf numFmtId="0" fontId="3" fillId="4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168" fontId="0" fillId="7" borderId="2" xfId="0" applyNumberFormat="1" applyFont="1" applyFill="1" applyBorder="1" applyAlignment="1">
      <alignment vertical="center"/>
    </xf>
    <xf numFmtId="0" fontId="0" fillId="7" borderId="2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7" borderId="2" xfId="0" applyFont="1" applyFill="1" applyBorder="1" applyAlignment="1">
      <alignment vertical="center"/>
    </xf>
    <xf numFmtId="168" fontId="0" fillId="7" borderId="2" xfId="0" applyNumberFormat="1" applyFont="1" applyFill="1" applyBorder="1" applyAlignment="1">
      <alignment horizontal="right" vertical="center"/>
    </xf>
    <xf numFmtId="14" fontId="0" fillId="0" borderId="0" xfId="0" applyNumberFormat="1"/>
    <xf numFmtId="0" fontId="4" fillId="0" borderId="2" xfId="0" applyFont="1" applyBorder="1" applyAlignment="1">
      <alignment vertical="center" wrapText="1"/>
    </xf>
    <xf numFmtId="168" fontId="0" fillId="0" borderId="2" xfId="0" applyNumberFormat="1" applyFont="1" applyBorder="1" applyAlignment="1">
      <alignment vertical="center"/>
    </xf>
    <xf numFmtId="168" fontId="0" fillId="0" borderId="2" xfId="0" applyNumberFormat="1" applyFont="1" applyBorder="1" applyAlignment="1">
      <alignment horizontal="right" vertical="center"/>
    </xf>
    <xf numFmtId="0" fontId="0" fillId="0" borderId="2" xfId="0" applyFont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0" fillId="0" borderId="2" xfId="0" applyNumberFormat="1" applyFont="1" applyBorder="1" applyAlignment="1">
      <alignment vertical="center"/>
    </xf>
    <xf numFmtId="14" fontId="0" fillId="7" borderId="2" xfId="0" applyNumberFormat="1" applyFont="1" applyFill="1" applyBorder="1" applyAlignment="1">
      <alignment vertical="center"/>
    </xf>
    <xf numFmtId="14" fontId="0" fillId="0" borderId="2" xfId="0" applyNumberFormat="1" applyFont="1" applyFill="1" applyBorder="1" applyAlignment="1">
      <alignment vertical="center"/>
    </xf>
    <xf numFmtId="168" fontId="0" fillId="0" borderId="2" xfId="0" applyNumberFormat="1" applyFont="1" applyFill="1" applyBorder="1" applyAlignment="1">
      <alignment horizontal="right" vertical="center"/>
    </xf>
    <xf numFmtId="0" fontId="0" fillId="0" borderId="0" xfId="0" applyFill="1" applyBorder="1"/>
    <xf numFmtId="172" fontId="0" fillId="0" borderId="0" xfId="0" applyNumberFormat="1" applyFill="1" applyBorder="1" applyAlignment="1">
      <alignment vertical="center"/>
    </xf>
    <xf numFmtId="173" fontId="0" fillId="0" borderId="0" xfId="0" applyNumberFormat="1" applyFill="1" applyBorder="1" applyAlignment="1">
      <alignment vertical="center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 wrapText="1"/>
    </xf>
    <xf numFmtId="0" fontId="4" fillId="7" borderId="6" xfId="0" applyFont="1" applyFill="1" applyBorder="1" applyAlignment="1">
      <alignment vertical="center" wrapText="1"/>
    </xf>
    <xf numFmtId="0" fontId="4" fillId="7" borderId="7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4" fillId="0" borderId="10" xfId="1" applyFont="1" applyFill="1" applyBorder="1" applyAlignment="1">
      <alignment horizontal="left" wrapText="1"/>
    </xf>
    <xf numFmtId="0" fontId="7" fillId="0" borderId="0" xfId="0" applyFont="1" applyFill="1" applyBorder="1"/>
    <xf numFmtId="0" fontId="4" fillId="0" borderId="11" xfId="1" applyFont="1" applyFill="1" applyBorder="1" applyAlignment="1">
      <alignment horizontal="left" wrapText="1"/>
    </xf>
    <xf numFmtId="0" fontId="4" fillId="7" borderId="12" xfId="0" applyFont="1" applyFill="1" applyBorder="1" applyAlignment="1">
      <alignment vertical="center" wrapText="1"/>
    </xf>
    <xf numFmtId="168" fontId="0" fillId="7" borderId="12" xfId="0" applyNumberFormat="1" applyFont="1" applyFill="1" applyBorder="1"/>
    <xf numFmtId="168" fontId="5" fillId="5" borderId="12" xfId="0" applyNumberFormat="1" applyFont="1" applyFill="1" applyBorder="1" applyAlignment="1">
      <alignment horizontal="right"/>
    </xf>
    <xf numFmtId="0" fontId="3" fillId="4" borderId="9" xfId="0" applyFont="1" applyFill="1" applyBorder="1" applyAlignment="1">
      <alignment horizontal="center" vertical="center"/>
    </xf>
    <xf numFmtId="0" fontId="4" fillId="7" borderId="5" xfId="1" applyFont="1" applyFill="1" applyBorder="1" applyAlignment="1">
      <alignment horizontal="left" vertical="center" wrapText="1"/>
    </xf>
    <xf numFmtId="0" fontId="4" fillId="0" borderId="5" xfId="0" applyFont="1" applyBorder="1" applyAlignment="1">
      <alignment vertical="center" wrapText="1"/>
    </xf>
    <xf numFmtId="0" fontId="0" fillId="0" borderId="5" xfId="0" applyFont="1" applyBorder="1" applyAlignment="1">
      <alignment vertical="center"/>
    </xf>
    <xf numFmtId="0" fontId="0" fillId="7" borderId="5" xfId="0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0" fillId="7" borderId="7" xfId="0" applyFont="1" applyFill="1" applyBorder="1" applyAlignment="1">
      <alignment vertical="center"/>
    </xf>
    <xf numFmtId="0" fontId="0" fillId="7" borderId="12" xfId="0" applyFont="1" applyFill="1" applyBorder="1" applyAlignment="1">
      <alignment vertical="center"/>
    </xf>
    <xf numFmtId="14" fontId="0" fillId="7" borderId="12" xfId="0" applyNumberFormat="1" applyFont="1" applyFill="1" applyBorder="1" applyAlignment="1">
      <alignment vertical="center"/>
    </xf>
    <xf numFmtId="168" fontId="0" fillId="7" borderId="12" xfId="0" applyNumberFormat="1" applyFont="1" applyFill="1" applyBorder="1" applyAlignment="1">
      <alignment horizontal="right" vertical="center"/>
    </xf>
    <xf numFmtId="0" fontId="7" fillId="9" borderId="2" xfId="0" applyFont="1" applyFill="1" applyBorder="1" applyAlignment="1">
      <alignment vertical="center"/>
    </xf>
    <xf numFmtId="168" fontId="0" fillId="9" borderId="2" xfId="0" applyNumberFormat="1" applyFont="1" applyFill="1" applyBorder="1" applyAlignment="1">
      <alignment vertical="center"/>
    </xf>
    <xf numFmtId="0" fontId="4" fillId="3" borderId="2" xfId="0" applyFont="1" applyFill="1" applyBorder="1" applyAlignment="1">
      <alignment vertical="center" wrapText="1"/>
    </xf>
    <xf numFmtId="168" fontId="0" fillId="3" borderId="2" xfId="0" applyNumberFormat="1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14" fontId="0" fillId="3" borderId="2" xfId="0" applyNumberFormat="1" applyFont="1" applyFill="1" applyBorder="1" applyAlignment="1">
      <alignment vertical="center"/>
    </xf>
    <xf numFmtId="0" fontId="0" fillId="9" borderId="2" xfId="0" applyFont="1" applyFill="1" applyBorder="1" applyAlignment="1">
      <alignment vertical="center"/>
    </xf>
    <xf numFmtId="14" fontId="0" fillId="9" borderId="2" xfId="0" applyNumberFormat="1" applyFon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14" fontId="0" fillId="3" borderId="2" xfId="0" applyNumberFormat="1" applyFill="1" applyBorder="1" applyAlignment="1">
      <alignment vertical="center"/>
    </xf>
    <xf numFmtId="0" fontId="0" fillId="0" borderId="0" xfId="0" applyBorder="1" applyAlignment="1">
      <alignment vertical="center"/>
    </xf>
    <xf numFmtId="167" fontId="6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3" fillId="4" borderId="0" xfId="0" applyFont="1" applyFill="1" applyBorder="1" applyAlignment="1">
      <alignment horizontal="center" vertical="center"/>
    </xf>
    <xf numFmtId="167" fontId="3" fillId="4" borderId="0" xfId="2" applyNumberFormat="1" applyFont="1" applyFill="1" applyBorder="1" applyAlignment="1">
      <alignment horizontal="center" vertical="center"/>
    </xf>
    <xf numFmtId="49" fontId="3" fillId="4" borderId="0" xfId="0" applyNumberFormat="1" applyFont="1" applyFill="1" applyBorder="1" applyAlignment="1">
      <alignment horizontal="center" vertical="center" wrapText="1"/>
    </xf>
    <xf numFmtId="49" fontId="6" fillId="8" borderId="0" xfId="0" applyNumberFormat="1" applyFont="1" applyFill="1" applyBorder="1" applyAlignment="1">
      <alignment horizontal="center" vertical="center" wrapText="1"/>
    </xf>
    <xf numFmtId="172" fontId="4" fillId="9" borderId="0" xfId="4" applyNumberFormat="1" applyFont="1" applyFill="1" applyBorder="1" applyAlignment="1">
      <alignment horizontal="center" vertical="center" wrapText="1"/>
    </xf>
    <xf numFmtId="167" fontId="4" fillId="9" borderId="0" xfId="2" applyNumberFormat="1" applyFont="1" applyFill="1" applyBorder="1" applyAlignment="1">
      <alignment horizontal="center" vertical="center" wrapText="1"/>
    </xf>
    <xf numFmtId="172" fontId="4" fillId="3" borderId="0" xfId="4" applyNumberFormat="1" applyFont="1" applyFill="1" applyBorder="1" applyAlignment="1">
      <alignment horizontal="center" vertical="center" wrapText="1"/>
    </xf>
    <xf numFmtId="173" fontId="4" fillId="9" borderId="0" xfId="4" applyNumberFormat="1" applyFont="1" applyFill="1" applyBorder="1" applyAlignment="1">
      <alignment horizontal="center" vertical="center" wrapText="1"/>
    </xf>
    <xf numFmtId="0" fontId="0" fillId="3" borderId="0" xfId="0" applyFill="1" applyBorder="1"/>
    <xf numFmtId="167" fontId="4" fillId="3" borderId="0" xfId="2" applyNumberFormat="1" applyFont="1" applyFill="1" applyBorder="1" applyAlignment="1">
      <alignment horizontal="center" vertical="center" wrapText="1"/>
    </xf>
    <xf numFmtId="173" fontId="4" fillId="3" borderId="0" xfId="4" applyNumberFormat="1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vertical="center"/>
    </xf>
    <xf numFmtId="0" fontId="0" fillId="9" borderId="0" xfId="0" applyFont="1" applyFill="1" applyBorder="1" applyAlignment="1">
      <alignment vertical="center"/>
    </xf>
    <xf numFmtId="172" fontId="0" fillId="9" borderId="0" xfId="0" applyNumberFormat="1" applyFont="1" applyFill="1" applyBorder="1" applyAlignment="1">
      <alignment vertical="center"/>
    </xf>
    <xf numFmtId="172" fontId="0" fillId="9" borderId="0" xfId="0" applyNumberFormat="1" applyFont="1" applyFill="1" applyBorder="1" applyAlignment="1">
      <alignment horizontal="center" vertical="center"/>
    </xf>
    <xf numFmtId="167" fontId="0" fillId="9" borderId="0" xfId="2" applyNumberFormat="1" applyFont="1" applyFill="1" applyBorder="1" applyAlignment="1">
      <alignment horizontal="center" vertical="center"/>
    </xf>
    <xf numFmtId="173" fontId="0" fillId="9" borderId="0" xfId="0" applyNumberFormat="1" applyFont="1" applyFill="1" applyBorder="1" applyAlignment="1">
      <alignment vertical="center"/>
    </xf>
    <xf numFmtId="172" fontId="0" fillId="3" borderId="0" xfId="0" applyNumberFormat="1" applyFont="1" applyFill="1" applyBorder="1" applyAlignment="1">
      <alignment vertical="center"/>
    </xf>
    <xf numFmtId="172" fontId="0" fillId="3" borderId="0" xfId="0" applyNumberFormat="1" applyFont="1" applyFill="1" applyBorder="1" applyAlignment="1">
      <alignment horizontal="center" vertical="center"/>
    </xf>
    <xf numFmtId="167" fontId="0" fillId="3" borderId="0" xfId="2" applyNumberFormat="1" applyFont="1" applyFill="1" applyBorder="1" applyAlignment="1">
      <alignment horizontal="center" vertical="center"/>
    </xf>
    <xf numFmtId="173" fontId="0" fillId="3" borderId="0" xfId="0" applyNumberFormat="1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172" fontId="0" fillId="3" borderId="0" xfId="0" applyNumberFormat="1" applyFill="1" applyBorder="1" applyAlignment="1">
      <alignment vertical="center"/>
    </xf>
    <xf numFmtId="173" fontId="0" fillId="3" borderId="0" xfId="0" applyNumberFormat="1" applyFill="1" applyBorder="1" applyAlignment="1">
      <alignment vertical="center"/>
    </xf>
    <xf numFmtId="0" fontId="8" fillId="0" borderId="2" xfId="1" applyFont="1" applyFill="1" applyBorder="1" applyAlignment="1">
      <alignment horizontal="center" vertical="center" wrapText="1"/>
    </xf>
    <xf numFmtId="0" fontId="8" fillId="0" borderId="2" xfId="1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left" vertical="center" wrapText="1"/>
    </xf>
    <xf numFmtId="168" fontId="0" fillId="9" borderId="2" xfId="0" applyNumberFormat="1" applyFont="1" applyFill="1" applyBorder="1" applyAlignment="1">
      <alignment horizontal="center" vertical="center"/>
    </xf>
    <xf numFmtId="168" fontId="0" fillId="9" borderId="2" xfId="0" applyNumberFormat="1" applyFont="1" applyFill="1" applyBorder="1" applyAlignment="1">
      <alignment horizontal="center" vertical="center" wrapText="1"/>
    </xf>
    <xf numFmtId="168" fontId="0" fillId="3" borderId="2" xfId="0" applyNumberFormat="1" applyFont="1" applyFill="1" applyBorder="1" applyAlignment="1">
      <alignment horizontal="center" vertical="center" wrapText="1"/>
    </xf>
  </cellXfs>
  <cellStyles count="7">
    <cellStyle name="Millares [0] 2" xfId="6"/>
    <cellStyle name="Moneda [0] 2" xfId="5"/>
    <cellStyle name="Moneda 2" xfId="3"/>
    <cellStyle name="Moneda 3" xfId="4"/>
    <cellStyle name="Normal" xfId="0" builtinId="0"/>
    <cellStyle name="Porcentaje" xfId="2" builtinId="5"/>
    <cellStyle name="Salida" xfId="1" builtinId="21"/>
  </cellStyles>
  <dxfs count="6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view="pageBreakPreview" zoomScale="85" zoomScaleNormal="100" zoomScaleSheetLayoutView="85" workbookViewId="0">
      <selection activeCell="E1" sqref="E1:E1048576"/>
    </sheetView>
  </sheetViews>
  <sheetFormatPr baseColWidth="10" defaultRowHeight="15" x14ac:dyDescent="0.25"/>
  <cols>
    <col min="1" max="1" width="26.28515625" style="5" customWidth="1"/>
    <col min="2" max="2" width="30.7109375" style="5" customWidth="1"/>
    <col min="3" max="3" width="24" style="3" bestFit="1" customWidth="1"/>
    <col min="4" max="4" width="25.85546875" style="3" bestFit="1" customWidth="1"/>
  </cols>
  <sheetData>
    <row r="1" spans="1:4" x14ac:dyDescent="0.25">
      <c r="A1" s="33" t="s">
        <v>24</v>
      </c>
      <c r="B1" s="41" t="s">
        <v>23</v>
      </c>
      <c r="C1" s="42" t="s">
        <v>0</v>
      </c>
      <c r="D1" s="43" t="s">
        <v>1</v>
      </c>
    </row>
    <row r="2" spans="1:4" s="6" customFormat="1" x14ac:dyDescent="0.25">
      <c r="A2" s="44" t="s">
        <v>3</v>
      </c>
      <c r="B2" s="45" t="s">
        <v>26</v>
      </c>
      <c r="C2" s="8">
        <v>41654</v>
      </c>
      <c r="D2" s="9">
        <v>41987</v>
      </c>
    </row>
    <row r="3" spans="1:4" s="7" customFormat="1" x14ac:dyDescent="0.25">
      <c r="A3" s="37" t="s">
        <v>16</v>
      </c>
      <c r="B3" s="2" t="s">
        <v>4</v>
      </c>
      <c r="C3" s="10">
        <v>41654</v>
      </c>
      <c r="D3" s="11">
        <v>41973</v>
      </c>
    </row>
    <row r="4" spans="1:4" s="6" customFormat="1" x14ac:dyDescent="0.25">
      <c r="A4" s="44" t="s">
        <v>13</v>
      </c>
      <c r="B4" s="45" t="s">
        <v>12</v>
      </c>
      <c r="C4" s="8">
        <v>41654</v>
      </c>
      <c r="D4" s="9">
        <v>41973</v>
      </c>
    </row>
    <row r="5" spans="1:4" s="7" customFormat="1" ht="30" x14ac:dyDescent="0.25">
      <c r="A5" s="37" t="s">
        <v>14</v>
      </c>
      <c r="B5" s="2" t="s">
        <v>5</v>
      </c>
      <c r="C5" s="10">
        <v>41654</v>
      </c>
      <c r="D5" s="11">
        <v>41973</v>
      </c>
    </row>
    <row r="6" spans="1:4" s="6" customFormat="1" x14ac:dyDescent="0.25">
      <c r="A6" s="44" t="s">
        <v>22</v>
      </c>
      <c r="B6" s="45" t="s">
        <v>6</v>
      </c>
      <c r="C6" s="8">
        <v>41654</v>
      </c>
      <c r="D6" s="9">
        <v>41973</v>
      </c>
    </row>
    <row r="7" spans="1:4" s="6" customFormat="1" x14ac:dyDescent="0.25">
      <c r="A7" s="44" t="s">
        <v>15</v>
      </c>
      <c r="B7" s="45" t="s">
        <v>7</v>
      </c>
      <c r="C7" s="8">
        <v>41654</v>
      </c>
      <c r="D7" s="9">
        <v>41973</v>
      </c>
    </row>
    <row r="8" spans="1:4" s="7" customFormat="1" x14ac:dyDescent="0.25">
      <c r="A8" s="37" t="s">
        <v>20</v>
      </c>
      <c r="B8" s="2" t="s">
        <v>19</v>
      </c>
      <c r="C8" s="10">
        <v>41654</v>
      </c>
      <c r="D8" s="11">
        <v>41988</v>
      </c>
    </row>
    <row r="9" spans="1:4" s="6" customFormat="1" x14ac:dyDescent="0.25">
      <c r="A9" s="46" t="s">
        <v>8</v>
      </c>
      <c r="B9" s="12" t="s">
        <v>25</v>
      </c>
      <c r="C9" s="8">
        <v>41654</v>
      </c>
      <c r="D9" s="9">
        <v>42003</v>
      </c>
    </row>
    <row r="10" spans="1:4" s="7" customFormat="1" x14ac:dyDescent="0.25">
      <c r="A10" s="37" t="s">
        <v>2</v>
      </c>
      <c r="B10" s="2" t="s">
        <v>25</v>
      </c>
      <c r="C10" s="10">
        <v>41109</v>
      </c>
      <c r="D10" s="11">
        <v>42570</v>
      </c>
    </row>
    <row r="11" spans="1:4" s="6" customFormat="1" x14ac:dyDescent="0.25">
      <c r="A11" s="44" t="s">
        <v>9</v>
      </c>
      <c r="B11" s="45" t="s">
        <v>18</v>
      </c>
      <c r="C11" s="8">
        <v>41214</v>
      </c>
      <c r="D11" s="9">
        <v>41945</v>
      </c>
    </row>
    <row r="12" spans="1:4" s="7" customFormat="1" x14ac:dyDescent="0.25">
      <c r="A12" s="37" t="s">
        <v>27</v>
      </c>
      <c r="B12" s="2" t="s">
        <v>18</v>
      </c>
      <c r="C12" s="10">
        <v>41852</v>
      </c>
      <c r="D12" s="11">
        <v>42216</v>
      </c>
    </row>
    <row r="13" spans="1:4" s="7" customFormat="1" ht="30.75" thickBot="1" x14ac:dyDescent="0.3">
      <c r="A13" s="39" t="s">
        <v>17</v>
      </c>
      <c r="B13" s="47" t="s">
        <v>10</v>
      </c>
      <c r="C13" s="48">
        <v>41821</v>
      </c>
      <c r="D13" s="49">
        <v>42185</v>
      </c>
    </row>
  </sheetData>
  <autoFilter ref="B1:D13"/>
  <printOptions horizontalCentered="1" verticalCentered="1"/>
  <pageMargins left="0.51181102362204722" right="0.51181102362204722" top="0.74803149606299213" bottom="0.74803149606299213" header="0.31496062992125984" footer="0.31496062992125984"/>
  <pageSetup paperSize="9"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6" sqref="C6"/>
    </sheetView>
  </sheetViews>
  <sheetFormatPr baseColWidth="10" defaultRowHeight="15" x14ac:dyDescent="0.25"/>
  <cols>
    <col min="1" max="1" width="36.85546875" style="3" customWidth="1"/>
    <col min="2" max="2" width="34.5703125" style="3" customWidth="1"/>
  </cols>
  <sheetData>
    <row r="1" spans="1:2" x14ac:dyDescent="0.25">
      <c r="A1" s="33" t="s">
        <v>24</v>
      </c>
      <c r="B1" s="34" t="s">
        <v>23</v>
      </c>
    </row>
    <row r="2" spans="1:2" x14ac:dyDescent="0.25">
      <c r="A2" s="35" t="s">
        <v>3</v>
      </c>
      <c r="B2" s="36" t="s">
        <v>26</v>
      </c>
    </row>
    <row r="3" spans="1:2" x14ac:dyDescent="0.25">
      <c r="A3" s="37" t="s">
        <v>16</v>
      </c>
      <c r="B3" s="38" t="s">
        <v>4</v>
      </c>
    </row>
    <row r="4" spans="1:2" x14ac:dyDescent="0.25">
      <c r="A4" s="35" t="s">
        <v>13</v>
      </c>
      <c r="B4" s="36" t="s">
        <v>12</v>
      </c>
    </row>
    <row r="5" spans="1:2" x14ac:dyDescent="0.25">
      <c r="A5" s="37" t="s">
        <v>14</v>
      </c>
      <c r="B5" s="38" t="s">
        <v>5</v>
      </c>
    </row>
    <row r="6" spans="1:2" x14ac:dyDescent="0.25">
      <c r="A6" s="35" t="s">
        <v>22</v>
      </c>
      <c r="B6" s="36" t="s">
        <v>6</v>
      </c>
    </row>
    <row r="7" spans="1:2" x14ac:dyDescent="0.25">
      <c r="A7" s="35" t="s">
        <v>15</v>
      </c>
      <c r="B7" s="36" t="s">
        <v>7</v>
      </c>
    </row>
    <row r="8" spans="1:2" x14ac:dyDescent="0.25">
      <c r="A8" s="37" t="s">
        <v>20</v>
      </c>
      <c r="B8" s="38" t="s">
        <v>19</v>
      </c>
    </row>
    <row r="9" spans="1:2" x14ac:dyDescent="0.25">
      <c r="A9" s="35" t="s">
        <v>8</v>
      </c>
      <c r="B9" s="36" t="s">
        <v>25</v>
      </c>
    </row>
    <row r="10" spans="1:2" x14ac:dyDescent="0.25">
      <c r="A10" s="37" t="s">
        <v>2</v>
      </c>
      <c r="B10" s="38" t="s">
        <v>25</v>
      </c>
    </row>
    <row r="11" spans="1:2" x14ac:dyDescent="0.25">
      <c r="A11" s="35" t="s">
        <v>9</v>
      </c>
      <c r="B11" s="36" t="s">
        <v>18</v>
      </c>
    </row>
    <row r="12" spans="1:2" x14ac:dyDescent="0.25">
      <c r="A12" s="37" t="s">
        <v>27</v>
      </c>
      <c r="B12" s="38" t="s">
        <v>18</v>
      </c>
    </row>
    <row r="13" spans="1:2" ht="15.75" thickBot="1" x14ac:dyDescent="0.3">
      <c r="A13" s="39" t="s">
        <v>17</v>
      </c>
      <c r="B13" s="40" t="s">
        <v>10</v>
      </c>
    </row>
  </sheetData>
  <autoFilter ref="A1:B13"/>
  <printOptions horizontalCentered="1" verticalCentered="1"/>
  <pageMargins left="0.31496062992125984" right="0.31496062992125984" top="0.74803149606299213" bottom="0.74803149606299213" header="0.31496062992125984" footer="0.31496062992125984"/>
  <pageSetup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showGridLines="0" workbookViewId="0">
      <pane xSplit="3" ySplit="6" topLeftCell="D7" activePane="bottomRight" state="frozen"/>
      <selection pane="topRight" activeCell="D1" sqref="D1"/>
      <selection pane="bottomLeft" activeCell="A10" sqref="A10"/>
      <selection pane="bottomRight" activeCell="D11" sqref="D11"/>
    </sheetView>
  </sheetViews>
  <sheetFormatPr baseColWidth="10" defaultColWidth="11.42578125" defaultRowHeight="15" x14ac:dyDescent="0.25"/>
  <cols>
    <col min="1" max="1" width="34" style="3" customWidth="1"/>
    <col min="2" max="2" width="34.5703125" style="3" customWidth="1"/>
    <col min="3" max="3" width="12.42578125" style="3" customWidth="1"/>
    <col min="4" max="4" width="14.42578125" style="3" customWidth="1"/>
    <col min="5" max="6" width="11.42578125" style="30"/>
    <col min="7" max="12" width="0" style="30" hidden="1" customWidth="1"/>
    <col min="13" max="16384" width="11.42578125" style="30"/>
  </cols>
  <sheetData>
    <row r="1" spans="1:8" customFormat="1" ht="30" x14ac:dyDescent="0.25">
      <c r="A1" s="33" t="s">
        <v>24</v>
      </c>
      <c r="B1" s="41" t="s">
        <v>23</v>
      </c>
      <c r="C1" s="50" t="s">
        <v>0</v>
      </c>
      <c r="D1" s="41" t="s">
        <v>28</v>
      </c>
    </row>
    <row r="2" spans="1:8" customFormat="1" x14ac:dyDescent="0.25">
      <c r="A2" s="51" t="s">
        <v>3</v>
      </c>
      <c r="B2" s="18" t="s">
        <v>26</v>
      </c>
      <c r="C2" s="15">
        <v>42384</v>
      </c>
      <c r="D2" s="19">
        <v>42718</v>
      </c>
      <c r="G2" s="20">
        <v>42019</v>
      </c>
      <c r="H2">
        <f>MONTH(G2)</f>
        <v>1</v>
      </c>
    </row>
    <row r="3" spans="1:8" customFormat="1" x14ac:dyDescent="0.25">
      <c r="A3" s="52" t="s">
        <v>16</v>
      </c>
      <c r="B3" s="21" t="s">
        <v>4</v>
      </c>
      <c r="C3" s="22">
        <v>42384</v>
      </c>
      <c r="D3" s="23">
        <v>42704</v>
      </c>
      <c r="G3" s="20">
        <v>42352</v>
      </c>
      <c r="H3">
        <f>MONTH(G3)</f>
        <v>12</v>
      </c>
    </row>
    <row r="4" spans="1:8" customFormat="1" x14ac:dyDescent="0.25">
      <c r="A4" s="51" t="s">
        <v>13</v>
      </c>
      <c r="B4" s="18" t="s">
        <v>12</v>
      </c>
      <c r="C4" s="15">
        <v>42384</v>
      </c>
      <c r="D4" s="19">
        <v>42704</v>
      </c>
      <c r="G4" s="20">
        <f>+G3-G2</f>
        <v>333</v>
      </c>
      <c r="H4">
        <f>+H3-H2</f>
        <v>11</v>
      </c>
    </row>
    <row r="5" spans="1:8" customFormat="1" x14ac:dyDescent="0.25">
      <c r="A5" s="52" t="s">
        <v>14</v>
      </c>
      <c r="B5" s="21" t="s">
        <v>5</v>
      </c>
      <c r="C5" s="22">
        <v>42384</v>
      </c>
      <c r="D5" s="23">
        <v>42704</v>
      </c>
    </row>
    <row r="6" spans="1:8" customFormat="1" x14ac:dyDescent="0.25">
      <c r="A6" s="51" t="s">
        <v>15</v>
      </c>
      <c r="B6" s="18" t="s">
        <v>7</v>
      </c>
      <c r="C6" s="15">
        <v>42384</v>
      </c>
      <c r="D6" s="19">
        <v>42704</v>
      </c>
    </row>
    <row r="7" spans="1:8" customFormat="1" x14ac:dyDescent="0.25">
      <c r="A7" s="51" t="s">
        <v>41</v>
      </c>
      <c r="B7" s="18" t="s">
        <v>25</v>
      </c>
      <c r="C7" s="15">
        <v>42384</v>
      </c>
      <c r="D7" s="19">
        <v>42734</v>
      </c>
    </row>
    <row r="8" spans="1:8" customFormat="1" x14ac:dyDescent="0.25">
      <c r="A8" s="52" t="s">
        <v>42</v>
      </c>
      <c r="B8" s="21" t="s">
        <v>25</v>
      </c>
      <c r="C8" s="22">
        <v>41109</v>
      </c>
      <c r="D8" s="23">
        <v>42570</v>
      </c>
    </row>
    <row r="9" spans="1:8" customFormat="1" x14ac:dyDescent="0.25">
      <c r="A9" s="51" t="s">
        <v>44</v>
      </c>
      <c r="B9" s="18" t="s">
        <v>18</v>
      </c>
      <c r="C9" s="15">
        <v>42311</v>
      </c>
      <c r="D9" s="19">
        <v>42676</v>
      </c>
    </row>
    <row r="10" spans="1:8" customFormat="1" x14ac:dyDescent="0.25">
      <c r="A10" s="52" t="s">
        <v>45</v>
      </c>
      <c r="B10" s="21" t="s">
        <v>18</v>
      </c>
      <c r="C10" s="22">
        <v>42217</v>
      </c>
      <c r="D10" s="23">
        <v>42582</v>
      </c>
    </row>
    <row r="11" spans="1:8" customFormat="1" x14ac:dyDescent="0.25">
      <c r="A11" s="53" t="s">
        <v>46</v>
      </c>
      <c r="B11" s="24" t="s">
        <v>47</v>
      </c>
      <c r="C11" s="26">
        <v>42567</v>
      </c>
      <c r="D11" s="23">
        <v>42719</v>
      </c>
    </row>
    <row r="12" spans="1:8" customFormat="1" x14ac:dyDescent="0.25">
      <c r="A12" s="54" t="s">
        <v>48</v>
      </c>
      <c r="B12" s="16" t="s">
        <v>49</v>
      </c>
      <c r="C12" s="27">
        <v>42064</v>
      </c>
      <c r="D12" s="19">
        <v>43159</v>
      </c>
    </row>
    <row r="13" spans="1:8" customFormat="1" x14ac:dyDescent="0.25">
      <c r="A13" s="53" t="s">
        <v>50</v>
      </c>
      <c r="B13" s="24" t="s">
        <v>51</v>
      </c>
      <c r="C13" s="26">
        <v>42384</v>
      </c>
      <c r="D13" s="23">
        <v>42566</v>
      </c>
    </row>
    <row r="14" spans="1:8" customFormat="1" x14ac:dyDescent="0.25">
      <c r="A14" s="54" t="s">
        <v>52</v>
      </c>
      <c r="B14" s="16" t="s">
        <v>53</v>
      </c>
      <c r="C14" s="27">
        <v>42064</v>
      </c>
      <c r="D14" s="19">
        <v>43159</v>
      </c>
    </row>
    <row r="15" spans="1:8" s="6" customFormat="1" x14ac:dyDescent="0.25">
      <c r="A15" s="55" t="s">
        <v>54</v>
      </c>
      <c r="B15" s="14" t="s">
        <v>55</v>
      </c>
      <c r="C15" s="28">
        <v>42384</v>
      </c>
      <c r="D15" s="29">
        <v>42719</v>
      </c>
    </row>
    <row r="16" spans="1:8" customFormat="1" ht="15.75" thickBot="1" x14ac:dyDescent="0.3">
      <c r="A16" s="56" t="s">
        <v>56</v>
      </c>
      <c r="B16" s="57" t="s">
        <v>57</v>
      </c>
      <c r="C16" s="58">
        <v>42381</v>
      </c>
      <c r="D16" s="59">
        <v>43464</v>
      </c>
    </row>
  </sheetData>
  <autoFilter ref="A1:D15"/>
  <conditionalFormatting sqref="D12:D15 D2:D10">
    <cfRule type="expression" dxfId="5" priority="7">
      <formula>(D2-#REF!)&lt;30</formula>
    </cfRule>
    <cfRule type="expression" dxfId="4" priority="8">
      <formula>(D2-#REF!)&lt;=60</formula>
    </cfRule>
  </conditionalFormatting>
  <conditionalFormatting sqref="D11">
    <cfRule type="expression" dxfId="3" priority="5">
      <formula>(D11-#REF!)&lt;30</formula>
    </cfRule>
    <cfRule type="expression" dxfId="2" priority="6">
      <formula>(D11-#REF!)&lt;=60</formula>
    </cfRule>
  </conditionalFormatting>
  <conditionalFormatting sqref="D16">
    <cfRule type="expression" dxfId="1" priority="3">
      <formula>(D16-#REF!)&lt;30</formula>
    </cfRule>
    <cfRule type="expression" dxfId="0" priority="4">
      <formula>(D16-#REF!)&lt;=60</formula>
    </cfRule>
  </conditionalFormatting>
  <printOptions horizontalCentered="1" verticalCentered="1"/>
  <pageMargins left="0.31496062992125984" right="0.31496062992125984" top="0.74803149606299213" bottom="0.74803149606299213" header="0.31496062992125984" footer="0.31496062992125984"/>
  <pageSetup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showGridLines="0" workbookViewId="0">
      <pane xSplit="2" ySplit="2" topLeftCell="C9" activePane="bottomRight" state="frozen"/>
      <selection pane="topRight" activeCell="D1" sqref="D1"/>
      <selection pane="bottomLeft" activeCell="A6" sqref="A6"/>
      <selection pane="bottomRight" activeCell="A2" sqref="A2:D19"/>
    </sheetView>
  </sheetViews>
  <sheetFormatPr baseColWidth="10" defaultColWidth="11.42578125" defaultRowHeight="15" x14ac:dyDescent="0.25"/>
  <cols>
    <col min="1" max="1" width="36" style="70" customWidth="1"/>
    <col min="2" max="2" width="34.5703125" style="70" customWidth="1"/>
    <col min="3" max="3" width="14.5703125" style="70" customWidth="1"/>
    <col min="4" max="4" width="13.85546875" style="70" customWidth="1"/>
    <col min="5" max="5" width="12.42578125" style="31" hidden="1" customWidth="1"/>
    <col min="6" max="6" width="13.42578125" style="31" hidden="1" customWidth="1"/>
    <col min="7" max="7" width="8.42578125" style="25" hidden="1" customWidth="1"/>
    <col min="8" max="8" width="13.42578125" style="31" hidden="1" customWidth="1"/>
    <col min="9" max="9" width="8.42578125" style="25" hidden="1" customWidth="1"/>
    <col min="10" max="10" width="16.28515625" style="25" hidden="1" customWidth="1"/>
    <col min="11" max="11" width="10.28515625" style="25" hidden="1" customWidth="1"/>
    <col min="12" max="12" width="22.42578125" style="25" hidden="1" customWidth="1"/>
    <col min="13" max="13" width="10.5703125" style="25" hidden="1" customWidth="1"/>
    <col min="14" max="14" width="13.28515625" style="25" hidden="1" customWidth="1"/>
    <col min="15" max="15" width="15.42578125" style="32" hidden="1" customWidth="1"/>
    <col min="16" max="16" width="9.5703125" style="25" hidden="1" customWidth="1"/>
    <col min="17" max="16384" width="11.42578125" style="30"/>
  </cols>
  <sheetData>
    <row r="1" spans="1:16" s="72" customFormat="1" x14ac:dyDescent="0.25">
      <c r="A1" s="70"/>
      <c r="B1" s="17"/>
      <c r="C1" s="70"/>
      <c r="D1" s="71"/>
      <c r="E1" s="70"/>
      <c r="F1" s="70"/>
      <c r="G1" s="70"/>
      <c r="H1" s="70"/>
      <c r="I1" s="70"/>
      <c r="J1" s="25"/>
      <c r="K1" s="25"/>
      <c r="L1" s="25"/>
      <c r="M1" s="25"/>
      <c r="N1" s="25"/>
      <c r="O1" s="25"/>
      <c r="P1" s="70"/>
    </row>
    <row r="2" spans="1:16" s="72" customFormat="1" ht="60" x14ac:dyDescent="0.25">
      <c r="A2" s="4" t="s">
        <v>24</v>
      </c>
      <c r="B2" s="4" t="s">
        <v>23</v>
      </c>
      <c r="C2" s="13" t="s">
        <v>0</v>
      </c>
      <c r="D2" s="4" t="s">
        <v>28</v>
      </c>
      <c r="E2" s="73" t="s">
        <v>29</v>
      </c>
      <c r="F2" s="73" t="s">
        <v>30</v>
      </c>
      <c r="G2" s="74" t="s">
        <v>31</v>
      </c>
      <c r="H2" s="73" t="s">
        <v>32</v>
      </c>
      <c r="I2" s="74" t="s">
        <v>11</v>
      </c>
      <c r="J2" s="75" t="s">
        <v>33</v>
      </c>
      <c r="K2" s="74" t="s">
        <v>34</v>
      </c>
      <c r="L2" s="75" t="s">
        <v>35</v>
      </c>
      <c r="M2" s="76" t="s">
        <v>36</v>
      </c>
      <c r="N2" s="76" t="s">
        <v>37</v>
      </c>
      <c r="O2" s="75" t="s">
        <v>38</v>
      </c>
      <c r="P2" s="74" t="s">
        <v>39</v>
      </c>
    </row>
    <row r="3" spans="1:16" s="81" customFormat="1" x14ac:dyDescent="0.25">
      <c r="A3" s="60" t="s">
        <v>58</v>
      </c>
      <c r="B3" s="60" t="s">
        <v>26</v>
      </c>
      <c r="C3" s="61">
        <v>42750</v>
      </c>
      <c r="D3" s="61">
        <v>43083</v>
      </c>
      <c r="E3" s="77">
        <v>9255380</v>
      </c>
      <c r="F3" s="77">
        <v>10031000</v>
      </c>
      <c r="G3" s="78">
        <f t="shared" ref="G3:G8" si="0">+(F3/E3)-1</f>
        <v>8.3802069715127825E-2</v>
      </c>
      <c r="H3" s="77">
        <v>10533000</v>
      </c>
      <c r="I3" s="78">
        <f t="shared" ref="I3:I8" si="1">+(H3/F3)-1</f>
        <v>5.0044860931113488E-2</v>
      </c>
      <c r="J3" s="77">
        <f>MROUND((+$H$3*1.0595),1000)</f>
        <v>11160000</v>
      </c>
      <c r="K3" s="78">
        <f t="shared" ref="K3" si="2">IFERROR((J3/H3)-1,0)</f>
        <v>5.9527200227855293E-2</v>
      </c>
      <c r="L3" s="77">
        <f>MROUND((+$H$3*1.05),1000)</f>
        <v>11060000</v>
      </c>
      <c r="M3" s="77">
        <v>11060000</v>
      </c>
      <c r="N3" s="79">
        <f t="shared" ref="N3:N8" si="3">+M3*0.5</f>
        <v>5530000</v>
      </c>
      <c r="O3" s="80">
        <f>(M3*8)+(N3*3)</f>
        <v>105070000</v>
      </c>
      <c r="P3" s="78">
        <f>(L3/H3)-1</f>
        <v>5.0033228899648785E-2</v>
      </c>
    </row>
    <row r="4" spans="1:16" s="81" customFormat="1" x14ac:dyDescent="0.25">
      <c r="A4" s="60" t="s">
        <v>59</v>
      </c>
      <c r="B4" s="60" t="s">
        <v>26</v>
      </c>
      <c r="C4" s="61">
        <v>42750</v>
      </c>
      <c r="D4" s="61">
        <v>42900</v>
      </c>
      <c r="E4" s="77"/>
      <c r="F4" s="77"/>
      <c r="G4" s="78"/>
      <c r="H4" s="77"/>
      <c r="I4" s="78"/>
      <c r="J4" s="77"/>
      <c r="K4" s="78"/>
      <c r="L4" s="77"/>
      <c r="M4" s="77"/>
      <c r="N4" s="79"/>
      <c r="O4" s="80"/>
      <c r="P4" s="78"/>
    </row>
    <row r="5" spans="1:16" s="81" customFormat="1" ht="12" customHeight="1" x14ac:dyDescent="0.25">
      <c r="A5" s="62" t="s">
        <v>16</v>
      </c>
      <c r="B5" s="62" t="s">
        <v>4</v>
      </c>
      <c r="C5" s="63">
        <v>42750</v>
      </c>
      <c r="D5" s="63">
        <v>43069</v>
      </c>
      <c r="E5" s="79">
        <v>2120000</v>
      </c>
      <c r="F5" s="79">
        <v>2172000</v>
      </c>
      <c r="G5" s="82">
        <f t="shared" si="0"/>
        <v>2.4528301886792558E-2</v>
      </c>
      <c r="H5" s="79">
        <v>2281000</v>
      </c>
      <c r="I5" s="82">
        <f t="shared" si="1"/>
        <v>5.0184162062615112E-2</v>
      </c>
      <c r="J5" s="79">
        <f>MROUND((+$H$5*1.05),1000)</f>
        <v>2395000</v>
      </c>
      <c r="K5" s="82">
        <f>IFERROR((J5/H5)-1,0)</f>
        <v>4.9978079789565921E-2</v>
      </c>
      <c r="L5" s="79">
        <f>MROUND((+$H$5*1.0345),1000)</f>
        <v>2360000</v>
      </c>
      <c r="M5" s="79">
        <v>2360000</v>
      </c>
      <c r="N5" s="79">
        <f t="shared" si="3"/>
        <v>1180000</v>
      </c>
      <c r="O5" s="83">
        <f>(M5*8)+((N5/30)*15)+(N5*2)</f>
        <v>21830000</v>
      </c>
      <c r="P5" s="82">
        <f>(L5/H5)-1</f>
        <v>3.4633932485751862E-2</v>
      </c>
    </row>
    <row r="6" spans="1:16" s="81" customFormat="1" x14ac:dyDescent="0.25">
      <c r="A6" s="60" t="s">
        <v>13</v>
      </c>
      <c r="B6" s="60" t="s">
        <v>12</v>
      </c>
      <c r="C6" s="61">
        <v>42750</v>
      </c>
      <c r="D6" s="61">
        <v>43069</v>
      </c>
      <c r="E6" s="77">
        <v>1791000</v>
      </c>
      <c r="F6" s="77">
        <v>1835000</v>
      </c>
      <c r="G6" s="78">
        <f t="shared" si="0"/>
        <v>2.4567280848687867E-2</v>
      </c>
      <c r="H6" s="77">
        <v>1927000</v>
      </c>
      <c r="I6" s="78">
        <f t="shared" si="1"/>
        <v>5.0136239782016423E-2</v>
      </c>
      <c r="J6" s="77">
        <f>MROUND((+$H$6*1.09),1000)</f>
        <v>2100000</v>
      </c>
      <c r="K6" s="78">
        <f t="shared" ref="K6" si="4">IFERROR((J6/H6)-1,0)</f>
        <v>8.9776855215360607E-2</v>
      </c>
      <c r="L6" s="77">
        <f>MROUND((+$H$6*1.0485),1000)</f>
        <v>2020000</v>
      </c>
      <c r="M6" s="77">
        <v>2100000</v>
      </c>
      <c r="N6" s="79">
        <f t="shared" si="3"/>
        <v>1050000</v>
      </c>
      <c r="O6" s="83">
        <f>(M6*8)+((N6/30)*15)+(N6*2)</f>
        <v>19425000</v>
      </c>
      <c r="P6" s="78">
        <f>(L6/H6)-1</f>
        <v>4.8261546445251602E-2</v>
      </c>
    </row>
    <row r="7" spans="1:16" s="81" customFormat="1" x14ac:dyDescent="0.25">
      <c r="A7" s="62" t="s">
        <v>14</v>
      </c>
      <c r="B7" s="62" t="s">
        <v>5</v>
      </c>
      <c r="C7" s="63">
        <v>42750</v>
      </c>
      <c r="D7" s="63">
        <v>43069</v>
      </c>
      <c r="E7" s="79">
        <v>650000</v>
      </c>
      <c r="F7" s="79">
        <v>700000</v>
      </c>
      <c r="G7" s="82">
        <f t="shared" si="0"/>
        <v>7.6923076923076872E-2</v>
      </c>
      <c r="H7" s="79">
        <v>735000</v>
      </c>
      <c r="I7" s="82">
        <f t="shared" si="1"/>
        <v>5.0000000000000044E-2</v>
      </c>
      <c r="J7" s="79">
        <f>MROUND((+$H$7*1.109),1000)</f>
        <v>815000</v>
      </c>
      <c r="K7" s="82">
        <f>IFERROR((J7/H7)-1,0)</f>
        <v>0.10884353741496589</v>
      </c>
      <c r="L7" s="79">
        <f>MROUND((+$H$7*1.095),1000)</f>
        <v>805000</v>
      </c>
      <c r="M7" s="79">
        <v>805000</v>
      </c>
      <c r="N7" s="79">
        <f t="shared" si="3"/>
        <v>402500</v>
      </c>
      <c r="O7" s="83">
        <f>(M7*8)+((N7/30)*15)+(N7*2)</f>
        <v>7446250</v>
      </c>
      <c r="P7" s="82">
        <f>(L7/H7)-1</f>
        <v>9.5238095238095344E-2</v>
      </c>
    </row>
    <row r="8" spans="1:16" s="81" customFormat="1" x14ac:dyDescent="0.25">
      <c r="A8" s="60" t="s">
        <v>15</v>
      </c>
      <c r="B8" s="60" t="s">
        <v>7</v>
      </c>
      <c r="C8" s="61">
        <v>42750</v>
      </c>
      <c r="D8" s="61">
        <v>43069</v>
      </c>
      <c r="E8" s="77">
        <v>794000</v>
      </c>
      <c r="F8" s="77">
        <v>700000</v>
      </c>
      <c r="G8" s="78">
        <f t="shared" si="0"/>
        <v>-0.11838790931989929</v>
      </c>
      <c r="H8" s="77">
        <v>735000</v>
      </c>
      <c r="I8" s="78">
        <f t="shared" si="1"/>
        <v>5.0000000000000044E-2</v>
      </c>
      <c r="J8" s="77">
        <f>MROUND((+$H$8*1.109),1000)</f>
        <v>815000</v>
      </c>
      <c r="K8" s="78">
        <f t="shared" ref="K8:K17" si="5">IFERROR((J8/H8)-1,0)</f>
        <v>0.10884353741496589</v>
      </c>
      <c r="L8" s="77">
        <f>MROUND((+$H$8*1.095),1000)</f>
        <v>805000</v>
      </c>
      <c r="M8" s="77">
        <v>805000</v>
      </c>
      <c r="N8" s="79">
        <f t="shared" si="3"/>
        <v>402500</v>
      </c>
      <c r="O8" s="83">
        <f>(M8*8)+((N8/30)*15)+(N8*2)</f>
        <v>7446250</v>
      </c>
      <c r="P8" s="78">
        <f>(L8/H8)-1</f>
        <v>9.5238095238095344E-2</v>
      </c>
    </row>
    <row r="9" spans="1:16" s="81" customFormat="1" x14ac:dyDescent="0.25">
      <c r="A9" s="60" t="s">
        <v>41</v>
      </c>
      <c r="B9" s="60" t="s">
        <v>25</v>
      </c>
      <c r="C9" s="61">
        <v>42750</v>
      </c>
      <c r="D9" s="61">
        <v>43099</v>
      </c>
      <c r="E9" s="77">
        <v>2903500</v>
      </c>
      <c r="F9" s="77">
        <v>2974300</v>
      </c>
      <c r="G9" s="78">
        <f>+(F9/E9)-1</f>
        <v>2.4384363698984002E-2</v>
      </c>
      <c r="H9" s="77">
        <v>3123000</v>
      </c>
      <c r="I9" s="78">
        <f>+(H9/F9)-1</f>
        <v>4.9994956796557188E-2</v>
      </c>
      <c r="J9" s="77">
        <f>MROUND((+$H$9*1.0567),1000)</f>
        <v>3300000</v>
      </c>
      <c r="K9" s="78">
        <f t="shared" si="5"/>
        <v>5.6676272814601303E-2</v>
      </c>
      <c r="L9" s="77">
        <f>MROUND((+$H$9*1.0504),1000)</f>
        <v>3280000</v>
      </c>
      <c r="M9" s="77">
        <v>3280000</v>
      </c>
      <c r="N9" s="79">
        <f>+M9*0.5</f>
        <v>1640000</v>
      </c>
      <c r="O9" s="80">
        <f>((M9/30)*15)+(M9*9)+(N9*2)</f>
        <v>34440000</v>
      </c>
      <c r="P9" s="78">
        <f t="shared" ref="P9:P17" si="6">IFERROR((L9/H9)-1,0)</f>
        <v>5.0272174191482444E-2</v>
      </c>
    </row>
    <row r="10" spans="1:16" s="81" customFormat="1" ht="18.75" customHeight="1" x14ac:dyDescent="0.25">
      <c r="A10" s="62" t="s">
        <v>42</v>
      </c>
      <c r="B10" s="62" t="s">
        <v>25</v>
      </c>
      <c r="C10" s="63">
        <v>42566</v>
      </c>
      <c r="D10" s="63">
        <v>43300</v>
      </c>
      <c r="E10" s="79"/>
      <c r="F10" s="79"/>
      <c r="G10" s="82"/>
      <c r="H10" s="79" t="s">
        <v>21</v>
      </c>
      <c r="I10" s="82"/>
      <c r="J10" s="79" t="s">
        <v>43</v>
      </c>
      <c r="K10" s="82">
        <f t="shared" si="5"/>
        <v>0</v>
      </c>
      <c r="L10" s="79" t="s">
        <v>40</v>
      </c>
      <c r="M10" s="79"/>
      <c r="N10" s="79"/>
      <c r="O10" s="83">
        <f t="shared" ref="O10" si="7">(M10*8)+(N10*3)</f>
        <v>0</v>
      </c>
      <c r="P10" s="82">
        <f t="shared" si="6"/>
        <v>0</v>
      </c>
    </row>
    <row r="11" spans="1:16" s="81" customFormat="1" ht="15" customHeight="1" x14ac:dyDescent="0.25">
      <c r="A11" s="60" t="s">
        <v>44</v>
      </c>
      <c r="B11" s="60" t="s">
        <v>18</v>
      </c>
      <c r="C11" s="61">
        <v>42677</v>
      </c>
      <c r="D11" s="61">
        <v>43100</v>
      </c>
      <c r="E11" s="77"/>
      <c r="F11" s="77">
        <v>1500000</v>
      </c>
      <c r="G11" s="78" t="e">
        <f>+(F11/E11)-1</f>
        <v>#DIV/0!</v>
      </c>
      <c r="H11" s="77">
        <v>1500000</v>
      </c>
      <c r="I11" s="78">
        <f>+(H11/F11)-1</f>
        <v>0</v>
      </c>
      <c r="J11" s="77">
        <f>MROUND((+$H$11*1.333),1000)</f>
        <v>2000000</v>
      </c>
      <c r="K11" s="78">
        <f t="shared" si="5"/>
        <v>0.33333333333333326</v>
      </c>
      <c r="L11" s="77">
        <f>MROUND((+$H$11*1.2),1000)</f>
        <v>1800000</v>
      </c>
      <c r="M11" s="77">
        <v>2000000</v>
      </c>
      <c r="N11" s="79">
        <f>+M11*0.5</f>
        <v>1000000</v>
      </c>
      <c r="O11" s="80">
        <f>(M11*10)+(N11*2)</f>
        <v>22000000</v>
      </c>
      <c r="P11" s="78">
        <f t="shared" si="6"/>
        <v>0.19999999999999996</v>
      </c>
    </row>
    <row r="12" spans="1:16" s="81" customFormat="1" x14ac:dyDescent="0.25">
      <c r="A12" s="62" t="s">
        <v>45</v>
      </c>
      <c r="B12" s="62" t="s">
        <v>18</v>
      </c>
      <c r="C12" s="63">
        <v>42583</v>
      </c>
      <c r="D12" s="63">
        <v>42947</v>
      </c>
      <c r="E12" s="79"/>
      <c r="F12" s="79"/>
      <c r="G12" s="82"/>
      <c r="H12" s="79">
        <v>1500000</v>
      </c>
      <c r="I12" s="82"/>
      <c r="J12" s="79">
        <f>MROUND((+$H$12*1.05),1000)</f>
        <v>1575000</v>
      </c>
      <c r="K12" s="82">
        <f t="shared" si="5"/>
        <v>5.0000000000000044E-2</v>
      </c>
      <c r="L12" s="79">
        <f>MROUND((+$H$12*1.05),1000)</f>
        <v>1575000</v>
      </c>
      <c r="M12" s="79">
        <v>1575000</v>
      </c>
      <c r="N12" s="79"/>
      <c r="O12" s="83">
        <f>(M12*8)</f>
        <v>12600000</v>
      </c>
      <c r="P12" s="82">
        <f t="shared" si="6"/>
        <v>5.0000000000000044E-2</v>
      </c>
    </row>
    <row r="13" spans="1:16" s="81" customFormat="1" x14ac:dyDescent="0.25">
      <c r="A13" s="64" t="s">
        <v>60</v>
      </c>
      <c r="B13" s="64" t="s">
        <v>47</v>
      </c>
      <c r="C13" s="65">
        <v>42566</v>
      </c>
      <c r="D13" s="65">
        <v>43295</v>
      </c>
      <c r="E13" s="79"/>
      <c r="F13" s="79"/>
      <c r="G13" s="82" t="e">
        <f t="shared" ref="G13" si="8">+(F13/E13)-1</f>
        <v>#DIV/0!</v>
      </c>
      <c r="H13" s="79">
        <v>1281000</v>
      </c>
      <c r="I13" s="82" t="e">
        <f t="shared" ref="I13" si="9">+(H13/F13)-1</f>
        <v>#DIV/0!</v>
      </c>
      <c r="J13" s="79">
        <f>MROUND((+$H$13*1.05),1000)</f>
        <v>1345000</v>
      </c>
      <c r="K13" s="82">
        <f t="shared" si="5"/>
        <v>4.9960967993754934E-2</v>
      </c>
      <c r="L13" s="79">
        <f>MROUND((+$H$13*1.05),1000)</f>
        <v>1345000</v>
      </c>
      <c r="M13" s="77">
        <v>1345000</v>
      </c>
      <c r="N13" s="79">
        <v>672500</v>
      </c>
      <c r="O13" s="83">
        <f>(M13*7)+(N13*3)</f>
        <v>11432500</v>
      </c>
      <c r="P13" s="82">
        <f t="shared" si="6"/>
        <v>4.9960967993754934E-2</v>
      </c>
    </row>
    <row r="14" spans="1:16" s="81" customFormat="1" x14ac:dyDescent="0.25">
      <c r="A14" s="66" t="s">
        <v>48</v>
      </c>
      <c r="B14" s="66" t="s">
        <v>49</v>
      </c>
      <c r="C14" s="67">
        <v>42064</v>
      </c>
      <c r="D14" s="67">
        <v>43159</v>
      </c>
      <c r="E14" s="86"/>
      <c r="F14" s="86"/>
      <c r="G14" s="85"/>
      <c r="H14" s="86"/>
      <c r="I14" s="85"/>
      <c r="J14" s="87"/>
      <c r="K14" s="88">
        <f t="shared" si="5"/>
        <v>0</v>
      </c>
      <c r="L14" s="77"/>
      <c r="M14" s="77">
        <v>1345000</v>
      </c>
      <c r="N14" s="79">
        <f>+M14*0.5</f>
        <v>672500</v>
      </c>
      <c r="O14" s="89">
        <f>(M14*8)+(N14*4)</f>
        <v>13450000</v>
      </c>
      <c r="P14" s="82">
        <f t="shared" si="6"/>
        <v>0</v>
      </c>
    </row>
    <row r="15" spans="1:16" s="81" customFormat="1" x14ac:dyDescent="0.25">
      <c r="A15" s="64" t="s">
        <v>50</v>
      </c>
      <c r="B15" s="64" t="s">
        <v>51</v>
      </c>
      <c r="C15" s="65">
        <v>42750</v>
      </c>
      <c r="D15" s="65">
        <v>42931</v>
      </c>
      <c r="E15" s="90"/>
      <c r="F15" s="90"/>
      <c r="G15" s="84"/>
      <c r="H15" s="90"/>
      <c r="I15" s="84"/>
      <c r="J15" s="91">
        <f>+L6+260000</f>
        <v>2280000</v>
      </c>
      <c r="K15" s="92">
        <f t="shared" si="5"/>
        <v>0</v>
      </c>
      <c r="L15" s="79"/>
      <c r="M15" s="79">
        <v>805000</v>
      </c>
      <c r="N15" s="79">
        <f>+M15*0.5</f>
        <v>402500</v>
      </c>
      <c r="O15" s="93">
        <f>(M15*8)+((N15/30)*15)+(N15*2)</f>
        <v>7446250</v>
      </c>
      <c r="P15" s="82">
        <f t="shared" si="6"/>
        <v>0</v>
      </c>
    </row>
    <row r="16" spans="1:16" s="81" customFormat="1" x14ac:dyDescent="0.25">
      <c r="A16" s="66" t="s">
        <v>52</v>
      </c>
      <c r="B16" s="66" t="s">
        <v>53</v>
      </c>
      <c r="C16" s="67">
        <v>42064</v>
      </c>
      <c r="D16" s="67">
        <v>43159</v>
      </c>
      <c r="E16" s="86"/>
      <c r="F16" s="86"/>
      <c r="G16" s="85"/>
      <c r="H16" s="86"/>
      <c r="I16" s="85"/>
      <c r="J16" s="87">
        <f>+J6+260000</f>
        <v>2360000</v>
      </c>
      <c r="K16" s="88">
        <f t="shared" si="5"/>
        <v>0</v>
      </c>
      <c r="L16" s="77"/>
      <c r="M16" s="77">
        <v>1345000</v>
      </c>
      <c r="N16" s="79">
        <f>+M16*0.5</f>
        <v>672500</v>
      </c>
      <c r="O16" s="89">
        <f>(M16*8)+(N16*4)</f>
        <v>13450000</v>
      </c>
      <c r="P16" s="82">
        <f t="shared" si="6"/>
        <v>0</v>
      </c>
    </row>
    <row r="17" spans="1:16" s="81" customFormat="1" x14ac:dyDescent="0.25">
      <c r="A17" s="64" t="s">
        <v>54</v>
      </c>
      <c r="B17" s="64" t="s">
        <v>55</v>
      </c>
      <c r="C17" s="65">
        <v>42750</v>
      </c>
      <c r="D17" s="65">
        <v>43084</v>
      </c>
      <c r="E17" s="90"/>
      <c r="F17" s="90"/>
      <c r="G17" s="84"/>
      <c r="H17" s="90"/>
      <c r="I17" s="84"/>
      <c r="J17" s="91">
        <v>2500000</v>
      </c>
      <c r="K17" s="92">
        <f t="shared" si="5"/>
        <v>0</v>
      </c>
      <c r="L17" s="79">
        <v>2500000</v>
      </c>
      <c r="M17" s="79">
        <v>2500000</v>
      </c>
      <c r="N17" s="79">
        <f>+M17*0.5</f>
        <v>1250000</v>
      </c>
      <c r="O17" s="93">
        <f>(M17*8)+(N17*4)</f>
        <v>25000000</v>
      </c>
      <c r="P17" s="92">
        <f t="shared" si="6"/>
        <v>0</v>
      </c>
    </row>
    <row r="18" spans="1:16" s="81" customFormat="1" x14ac:dyDescent="0.25">
      <c r="A18" s="66" t="s">
        <v>56</v>
      </c>
      <c r="B18" s="66" t="s">
        <v>57</v>
      </c>
      <c r="C18" s="67">
        <v>42381</v>
      </c>
      <c r="D18" s="67">
        <v>43464</v>
      </c>
      <c r="E18" s="86"/>
      <c r="F18" s="86"/>
      <c r="G18" s="85"/>
      <c r="H18" s="86"/>
      <c r="I18" s="85"/>
      <c r="J18" s="87"/>
      <c r="K18" s="88"/>
      <c r="L18" s="77"/>
      <c r="M18" s="77"/>
      <c r="N18" s="79"/>
      <c r="O18" s="89"/>
      <c r="P18" s="82"/>
    </row>
    <row r="19" spans="1:16" s="81" customFormat="1" x14ac:dyDescent="0.25">
      <c r="A19" s="68" t="s">
        <v>61</v>
      </c>
      <c r="B19" s="68" t="s">
        <v>62</v>
      </c>
      <c r="C19" s="69">
        <v>42736</v>
      </c>
      <c r="D19" s="69">
        <v>43100</v>
      </c>
      <c r="E19" s="95"/>
      <c r="F19" s="95"/>
      <c r="G19" s="94"/>
      <c r="H19" s="95"/>
      <c r="I19" s="94"/>
      <c r="J19" s="94"/>
      <c r="K19" s="94"/>
      <c r="L19" s="94"/>
      <c r="M19" s="94"/>
      <c r="N19" s="94"/>
      <c r="O19" s="96"/>
      <c r="P19" s="9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2"/>
  <sheetViews>
    <sheetView tabSelected="1" workbookViewId="0">
      <selection activeCell="F11" sqref="F11"/>
    </sheetView>
  </sheetViews>
  <sheetFormatPr baseColWidth="10" defaultRowHeight="15" x14ac:dyDescent="0.25"/>
  <cols>
    <col min="1" max="1" width="34.7109375" bestFit="1" customWidth="1"/>
    <col min="2" max="2" width="34.5703125" bestFit="1" customWidth="1"/>
    <col min="3" max="3" width="12.85546875" style="1" bestFit="1" customWidth="1"/>
    <col min="4" max="4" width="20" style="1" bestFit="1" customWidth="1"/>
  </cols>
  <sheetData>
    <row r="2" spans="1:4" x14ac:dyDescent="0.25">
      <c r="A2" s="4" t="s">
        <v>24</v>
      </c>
      <c r="B2" s="4" t="s">
        <v>23</v>
      </c>
      <c r="C2" s="13" t="s">
        <v>0</v>
      </c>
      <c r="D2" s="4" t="s">
        <v>28</v>
      </c>
    </row>
    <row r="3" spans="1:4" x14ac:dyDescent="0.25">
      <c r="A3" s="60" t="s">
        <v>58</v>
      </c>
      <c r="B3" s="60" t="s">
        <v>26</v>
      </c>
      <c r="C3" s="101">
        <v>43115</v>
      </c>
      <c r="D3" s="101">
        <v>43448</v>
      </c>
    </row>
    <row r="4" spans="1:4" ht="30" x14ac:dyDescent="0.25">
      <c r="A4" s="60" t="s">
        <v>59</v>
      </c>
      <c r="B4" s="60" t="s">
        <v>26</v>
      </c>
      <c r="C4" s="102" t="s">
        <v>63</v>
      </c>
      <c r="D4" s="102" t="s">
        <v>64</v>
      </c>
    </row>
    <row r="5" spans="1:4" x14ac:dyDescent="0.25">
      <c r="A5" s="62" t="s">
        <v>16</v>
      </c>
      <c r="B5" s="62" t="s">
        <v>4</v>
      </c>
      <c r="C5" s="103">
        <v>43115</v>
      </c>
      <c r="D5" s="103">
        <v>43434</v>
      </c>
    </row>
    <row r="6" spans="1:4" x14ac:dyDescent="0.25">
      <c r="A6" s="60" t="s">
        <v>13</v>
      </c>
      <c r="B6" s="60" t="s">
        <v>12</v>
      </c>
      <c r="C6" s="101">
        <v>43115</v>
      </c>
      <c r="D6" s="101">
        <v>43434</v>
      </c>
    </row>
    <row r="7" spans="1:4" x14ac:dyDescent="0.25">
      <c r="A7" s="62" t="s">
        <v>14</v>
      </c>
      <c r="B7" s="62" t="s">
        <v>5</v>
      </c>
      <c r="C7" s="101">
        <v>43115</v>
      </c>
      <c r="D7" s="101">
        <v>43434</v>
      </c>
    </row>
    <row r="8" spans="1:4" x14ac:dyDescent="0.25">
      <c r="A8" s="60" t="s">
        <v>15</v>
      </c>
      <c r="B8" s="60" t="s">
        <v>7</v>
      </c>
      <c r="C8" s="101">
        <v>43115</v>
      </c>
      <c r="D8" s="101">
        <v>43434</v>
      </c>
    </row>
    <row r="9" spans="1:4" x14ac:dyDescent="0.25">
      <c r="A9" s="60" t="s">
        <v>41</v>
      </c>
      <c r="B9" s="60" t="s">
        <v>25</v>
      </c>
      <c r="C9" s="101">
        <v>43115</v>
      </c>
      <c r="D9" s="101">
        <v>43464</v>
      </c>
    </row>
    <row r="10" spans="1:4" ht="30" x14ac:dyDescent="0.25">
      <c r="A10" s="62" t="s">
        <v>42</v>
      </c>
      <c r="B10" s="62" t="s">
        <v>25</v>
      </c>
      <c r="C10" s="102" t="s">
        <v>65</v>
      </c>
      <c r="D10" s="102" t="s">
        <v>66</v>
      </c>
    </row>
    <row r="11" spans="1:4" x14ac:dyDescent="0.25">
      <c r="A11" s="60" t="s">
        <v>44</v>
      </c>
      <c r="B11" s="60" t="s">
        <v>18</v>
      </c>
      <c r="C11" s="101">
        <v>43101</v>
      </c>
      <c r="D11" s="101">
        <v>43465</v>
      </c>
    </row>
    <row r="12" spans="1:4" x14ac:dyDescent="0.25">
      <c r="A12" s="62" t="s">
        <v>45</v>
      </c>
      <c r="B12" s="62" t="s">
        <v>18</v>
      </c>
      <c r="C12" s="101">
        <v>43115</v>
      </c>
      <c r="D12" s="101">
        <v>43434</v>
      </c>
    </row>
    <row r="13" spans="1:4" x14ac:dyDescent="0.25">
      <c r="A13" s="64" t="s">
        <v>60</v>
      </c>
      <c r="B13" s="64" t="s">
        <v>47</v>
      </c>
      <c r="C13" s="101">
        <v>43115</v>
      </c>
      <c r="D13" s="101">
        <v>43449</v>
      </c>
    </row>
    <row r="14" spans="1:4" ht="30" x14ac:dyDescent="0.25">
      <c r="A14" s="66" t="s">
        <v>48</v>
      </c>
      <c r="B14" s="66" t="s">
        <v>49</v>
      </c>
      <c r="C14" s="102" t="s">
        <v>68</v>
      </c>
      <c r="D14" s="102" t="s">
        <v>69</v>
      </c>
    </row>
    <row r="15" spans="1:4" ht="30" x14ac:dyDescent="0.25">
      <c r="A15" s="64" t="s">
        <v>50</v>
      </c>
      <c r="B15" s="64" t="s">
        <v>51</v>
      </c>
      <c r="C15" s="102" t="s">
        <v>63</v>
      </c>
      <c r="D15" s="102" t="s">
        <v>67</v>
      </c>
    </row>
    <row r="16" spans="1:4" x14ac:dyDescent="0.25">
      <c r="A16" s="66" t="s">
        <v>52</v>
      </c>
      <c r="B16" s="66" t="s">
        <v>53</v>
      </c>
      <c r="C16" s="101">
        <v>43132</v>
      </c>
      <c r="D16" s="101">
        <v>43434</v>
      </c>
    </row>
    <row r="17" spans="1:4" x14ac:dyDescent="0.25">
      <c r="A17" s="64" t="s">
        <v>54</v>
      </c>
      <c r="B17" s="64" t="s">
        <v>55</v>
      </c>
      <c r="C17" s="101">
        <v>43115</v>
      </c>
      <c r="D17" s="101">
        <v>43449</v>
      </c>
    </row>
    <row r="18" spans="1:4" x14ac:dyDescent="0.25">
      <c r="A18" s="66" t="s">
        <v>56</v>
      </c>
      <c r="B18" s="66" t="s">
        <v>57</v>
      </c>
      <c r="C18" s="101">
        <v>42381</v>
      </c>
      <c r="D18" s="101">
        <v>43476</v>
      </c>
    </row>
    <row r="19" spans="1:4" x14ac:dyDescent="0.25">
      <c r="A19" s="68" t="s">
        <v>61</v>
      </c>
      <c r="B19" s="68" t="s">
        <v>62</v>
      </c>
      <c r="C19" s="101">
        <v>43101</v>
      </c>
      <c r="D19" s="101">
        <v>43465</v>
      </c>
    </row>
    <row r="20" spans="1:4" x14ac:dyDescent="0.25">
      <c r="A20" s="100" t="s">
        <v>70</v>
      </c>
      <c r="B20" s="99" t="s">
        <v>71</v>
      </c>
      <c r="C20" s="101">
        <v>43101</v>
      </c>
      <c r="D20" s="101">
        <v>43434</v>
      </c>
    </row>
    <row r="21" spans="1:4" x14ac:dyDescent="0.25">
      <c r="A21" s="98" t="s">
        <v>72</v>
      </c>
      <c r="B21" s="97" t="s">
        <v>73</v>
      </c>
      <c r="C21" s="101">
        <v>43132</v>
      </c>
      <c r="D21" s="101">
        <v>43281</v>
      </c>
    </row>
    <row r="22" spans="1:4" x14ac:dyDescent="0.25">
      <c r="A22" s="98" t="s">
        <v>74</v>
      </c>
      <c r="B22" s="97" t="s">
        <v>75</v>
      </c>
      <c r="C22" s="101">
        <v>43296</v>
      </c>
      <c r="D22" s="101">
        <v>43434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2014</vt:lpstr>
      <vt:lpstr>2015</vt:lpstr>
      <vt:lpstr>2016</vt:lpstr>
      <vt:lpstr>2017</vt:lpstr>
      <vt:lpstr>2018</vt:lpstr>
      <vt:lpstr>'2014'!Área_de_impresión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 Diaz</dc:creator>
  <cp:lastModifiedBy>Paola K Diaz Becerra</cp:lastModifiedBy>
  <cp:lastPrinted>2014-11-11T21:26:10Z</cp:lastPrinted>
  <dcterms:created xsi:type="dcterms:W3CDTF">2014-08-26T20:06:24Z</dcterms:created>
  <dcterms:modified xsi:type="dcterms:W3CDTF">2019-01-21T21:12:42Z</dcterms:modified>
</cp:coreProperties>
</file>