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X:\Cloud\RESULTADO REUNIONES DIC\MEDICINA\"/>
    </mc:Choice>
  </mc:AlternateContent>
  <bookViews>
    <workbookView xWindow="0" yWindow="0" windowWidth="19200" windowHeight="8445" tabRatio="903" activeTab="1"/>
  </bookViews>
  <sheets>
    <sheet name="MENU" sheetId="23" r:id="rId1"/>
    <sheet name="PRESUPUESTO" sheetId="49" r:id="rId2"/>
    <sheet name="PTO - PDI" sheetId="68" r:id="rId3"/>
    <sheet name="PTO + EC" sheetId="69" r:id="rId4"/>
    <sheet name="ALUMNOS" sheetId="2" r:id="rId5"/>
    <sheet name="MAT." sheetId="3" r:id="rId6"/>
    <sheet name="NOMINA" sheetId="4" r:id="rId7"/>
    <sheet name="BASE" sheetId="63" r:id="rId8"/>
    <sheet name="Base 3" sheetId="43" state="hidden" r:id="rId9"/>
    <sheet name="HONORARIOS" sheetId="7" r:id="rId10"/>
    <sheet name="CONVENIOS" sheetId="45" r:id="rId11"/>
    <sheet name="ASESOR.Y.CONSULT." sheetId="53" r:id="rId12"/>
    <sheet name="PROY INVEST." sheetId="54" r:id="rId13"/>
    <sheet name="P.PROY.SOCIAL" sheetId="55" r:id="rId14"/>
    <sheet name="GEST.REC.HUM." sheetId="56" r:id="rId15"/>
    <sheet name="OTRAS ACTIV." sheetId="57" r:id="rId16"/>
    <sheet name="ADICIONALES PD" sheetId="67" r:id="rId17"/>
    <sheet name="SALIDAS" sheetId="61" r:id="rId18"/>
    <sheet name="BIBLIOTECA" sheetId="25" r:id="rId19"/>
    <sheet name="AFILIACIONES" sheetId="31" r:id="rId20"/>
    <sheet name="IMPRESOS.PUBLIC" sheetId="30" r:id="rId21"/>
    <sheet name="MANTEN.EQUIP." sheetId="58" r:id="rId22"/>
    <sheet name="INVER.EQUIPO.COMP" sheetId="35" r:id="rId23"/>
    <sheet name="INVER.OTROS.EQUIPOS" sheetId="36" r:id="rId24"/>
    <sheet name="INVER.MUEBLES" sheetId="37" r:id="rId25"/>
    <sheet name="ADECUAC.LOCATIVAS" sheetId="38" r:id="rId26"/>
    <sheet name="Hoja2" sheetId="65" state="hidden" r:id="rId27"/>
    <sheet name="EDUC.CONT." sheetId="52" r:id="rId28"/>
    <sheet name="PPTO 2017" sheetId="70" r:id="rId29"/>
    <sheet name="EJEC" sheetId="71" r:id="rId30"/>
  </sheets>
  <definedNames>
    <definedName name="_xlnm._FilterDatabase" localSheetId="6" hidden="1">NOMINA!$A$22:$CO$277</definedName>
    <definedName name="_xlnm.Print_Area" localSheetId="25">ADECUAC.LOCATIVAS!$A$2:$Q$32</definedName>
    <definedName name="_xlnm.Print_Area" localSheetId="16">'ADICIONALES PD'!$A$2:$N$25</definedName>
    <definedName name="_xlnm.Print_Area" localSheetId="19">AFILIACIONES!$A$2:$Q$30</definedName>
    <definedName name="_xlnm.Print_Area" localSheetId="4">ALUMNOS!$B$1:$V$39</definedName>
    <definedName name="_xlnm.Print_Area" localSheetId="11">ASESOR.Y.CONSULT.!$A$2:$N$31</definedName>
    <definedName name="_xlnm.Print_Area" localSheetId="18">BIBLIOTECA!$A$2:$R$43</definedName>
    <definedName name="_xlnm.Print_Area" localSheetId="10">CONVENIOS!$A$1:$L$104</definedName>
    <definedName name="_xlnm.Print_Area" localSheetId="27">EDUC.CONT.!$A$1:$V$32</definedName>
    <definedName name="_xlnm.Print_Area" localSheetId="14">GEST.REC.HUM.!$A$2:$N$41</definedName>
    <definedName name="_xlnm.Print_Area" localSheetId="9">HONORARIOS!$B$1:$R$168</definedName>
    <definedName name="_xlnm.Print_Area" localSheetId="20">IMPRESOS.PUBLIC!$A$4:$P$37</definedName>
    <definedName name="_xlnm.Print_Area" localSheetId="22">INVER.EQUIPO.COMP!$A$1:$Q$40</definedName>
    <definedName name="_xlnm.Print_Area" localSheetId="24">INVER.MUEBLES!$A$2:$Q$39</definedName>
    <definedName name="_xlnm.Print_Area" localSheetId="23">INVER.OTROS.EQUIPOS!$A$2:$Q$39</definedName>
    <definedName name="_xlnm.Print_Area" localSheetId="21">MANTEN.EQUIP.!$A$2:$P$30</definedName>
    <definedName name="_xlnm.Print_Area" localSheetId="5">MAT.!$B$1:$Q$59</definedName>
    <definedName name="_xlnm.Print_Area" localSheetId="0">MENU!$B$1:$C$35</definedName>
    <definedName name="_xlnm.Print_Area" localSheetId="6">NOMINA!$B$1:$AS$379</definedName>
    <definedName name="_xlnm.Print_Area" localSheetId="15">'OTRAS ACTIV.'!$A$2:$N$39</definedName>
    <definedName name="_xlnm.Print_Area" localSheetId="13">P.PROY.SOCIAL!$A$12:$B$25</definedName>
    <definedName name="_xlnm.Print_Area" localSheetId="1">PRESUPUESTO!$A$2:$I$330</definedName>
    <definedName name="_xlnm.Print_Area" localSheetId="12">'PROY INVEST.'!$A$2:$N$31</definedName>
    <definedName name="_xlnm.Print_Area" localSheetId="2">'PTO - PDI'!$B$6:$F$65</definedName>
    <definedName name="catego2" localSheetId="16">#REF!</definedName>
    <definedName name="catego2">#REF!</definedName>
    <definedName name="CodCategoria">NOMINA!$D$22:$D$333</definedName>
    <definedName name="CodContrato">NOMINA!$G$22:$G$333</definedName>
    <definedName name="codigo" localSheetId="16">#REF!</definedName>
    <definedName name="codigo">#REF!</definedName>
    <definedName name="DATA1" localSheetId="16">#REF!</definedName>
    <definedName name="DATA1">#REF!</definedName>
    <definedName name="DATA2" localSheetId="16">#REF!</definedName>
    <definedName name="DATA2">#REF!</definedName>
    <definedName name="DATA3" localSheetId="16">#REF!</definedName>
    <definedName name="DATA3">#REF!</definedName>
    <definedName name="DATA4" localSheetId="16">#REF!</definedName>
    <definedName name="DATA4">#REF!</definedName>
    <definedName name="DATA5" localSheetId="16">#REF!</definedName>
    <definedName name="DATA5">#REF!</definedName>
    <definedName name="NivelEstudio">NOMINA!$C$22:$C$332</definedName>
    <definedName name="NOMINATABLA">NOMINA!$A$22:$AO$350</definedName>
    <definedName name="razon" localSheetId="16">#REF!</definedName>
    <definedName name="razon">#REF!</definedName>
    <definedName name="sueldo" localSheetId="16">#REF!</definedName>
    <definedName name="sueldo">#REF!</definedName>
    <definedName name="TEST0" localSheetId="16">#REF!</definedName>
    <definedName name="TEST0">#REF!</definedName>
    <definedName name="TESTHKEY" localSheetId="16">#REF!</definedName>
    <definedName name="TESTHKEY">#REF!</definedName>
    <definedName name="TESTKEYS" localSheetId="16">#REF!</definedName>
    <definedName name="TESTKEYS">#REF!</definedName>
    <definedName name="TESTVKEY" localSheetId="16">#REF!</definedName>
    <definedName name="TESTVKEY">#REF!</definedName>
    <definedName name="tipo" localSheetId="16">#REF!</definedName>
    <definedName name="tipo">#REF!</definedName>
    <definedName name="TipoOD">NOMINA!#REF!</definedName>
    <definedName name="_xlnm.Print_Titles" localSheetId="9">HONORARIOS!$25:$25</definedName>
    <definedName name="_xlnm.Print_Titles" localSheetId="6">NOMINA!#REF!</definedName>
    <definedName name="_xlnm.Print_Titles" localSheetId="1">PRESUPUESTO!$4:$5</definedName>
  </definedNames>
  <calcPr calcId="152511"/>
</workbook>
</file>

<file path=xl/calcChain.xml><?xml version="1.0" encoding="utf-8"?>
<calcChain xmlns="http://schemas.openxmlformats.org/spreadsheetml/2006/main">
  <c r="G141" i="49" l="1"/>
  <c r="G140" i="49"/>
  <c r="G149" i="49" l="1"/>
  <c r="G153" i="49"/>
  <c r="G315" i="49"/>
  <c r="G313" i="49"/>
  <c r="G71" i="49"/>
  <c r="C71" i="49"/>
  <c r="D34" i="49"/>
  <c r="C52" i="49"/>
  <c r="C58" i="49"/>
  <c r="C64" i="49"/>
  <c r="C68" i="49"/>
  <c r="C75" i="49"/>
  <c r="C181" i="49"/>
  <c r="C189" i="49"/>
  <c r="C194" i="49"/>
  <c r="C210" i="49"/>
  <c r="C216" i="49"/>
  <c r="C221" i="49"/>
  <c r="C227" i="49"/>
  <c r="C236" i="49"/>
  <c r="C250" i="49"/>
  <c r="C256" i="49"/>
  <c r="C287" i="49"/>
  <c r="C313" i="49"/>
  <c r="C320" i="49"/>
  <c r="C37" i="49"/>
  <c r="C40" i="49"/>
  <c r="C48" i="49"/>
  <c r="C53" i="49"/>
  <c r="D189" i="49"/>
  <c r="E189" i="49" s="1"/>
  <c r="C192" i="49"/>
  <c r="C199" i="49"/>
  <c r="C201" i="49"/>
  <c r="C38" i="49"/>
  <c r="C46" i="49"/>
  <c r="C54" i="49"/>
  <c r="C57" i="49"/>
  <c r="C63" i="49"/>
  <c r="C65" i="49"/>
  <c r="C69" i="49"/>
  <c r="C180" i="49"/>
  <c r="C182" i="49"/>
  <c r="D187" i="49"/>
  <c r="E187" i="49" s="1"/>
  <c r="C190" i="49"/>
  <c r="C34" i="49"/>
  <c r="C36" i="49"/>
  <c r="C39" i="49"/>
  <c r="C41" i="49"/>
  <c r="C44" i="49"/>
  <c r="C47" i="49"/>
  <c r="C49" i="49"/>
  <c r="C51" i="49"/>
  <c r="D54" i="49"/>
  <c r="E54" i="49" s="1"/>
  <c r="C183" i="49"/>
  <c r="C186" i="49"/>
  <c r="C188" i="49"/>
  <c r="D190" i="49"/>
  <c r="E190" i="49" s="1"/>
  <c r="D193" i="49"/>
  <c r="E193" i="49" s="1"/>
  <c r="C196" i="49"/>
  <c r="C198" i="49"/>
  <c r="C200" i="49"/>
  <c r="C202" i="49"/>
  <c r="C204" i="49"/>
  <c r="C206" i="49"/>
  <c r="C209" i="49"/>
  <c r="C212" i="49"/>
  <c r="D215" i="49"/>
  <c r="E215" i="49" s="1"/>
  <c r="C220" i="49"/>
  <c r="D223" i="49"/>
  <c r="E223" i="49" s="1"/>
  <c r="D226" i="49"/>
  <c r="E226" i="49" s="1"/>
  <c r="C229" i="49"/>
  <c r="C233" i="49"/>
  <c r="D235" i="49"/>
  <c r="E235" i="49" s="1"/>
  <c r="C239" i="49"/>
  <c r="C258" i="49"/>
  <c r="C261" i="49"/>
  <c r="C263" i="49"/>
  <c r="C265" i="49"/>
  <c r="C267" i="49"/>
  <c r="C270" i="49"/>
  <c r="C273" i="49"/>
  <c r="C275" i="49"/>
  <c r="C277" i="49"/>
  <c r="C279" i="49"/>
  <c r="C281" i="49"/>
  <c r="C284" i="49"/>
  <c r="C286" i="49"/>
  <c r="C293" i="49"/>
  <c r="C295" i="49"/>
  <c r="C300" i="49"/>
  <c r="C302" i="49"/>
  <c r="C304" i="49"/>
  <c r="C306" i="49"/>
  <c r="C308" i="49"/>
  <c r="C310" i="49"/>
  <c r="C312" i="49"/>
  <c r="C317" i="49"/>
  <c r="C319" i="49"/>
  <c r="D38" i="49"/>
  <c r="E38" i="49" s="1"/>
  <c r="D42" i="49"/>
  <c r="E42" i="49" s="1"/>
  <c r="D53" i="49"/>
  <c r="E53" i="49" s="1"/>
  <c r="D182" i="49"/>
  <c r="E182" i="49" s="1"/>
  <c r="D222" i="49"/>
  <c r="E222" i="49" s="1"/>
  <c r="D230" i="49"/>
  <c r="E230" i="49" s="1"/>
  <c r="D234" i="49"/>
  <c r="E234" i="49" s="1"/>
  <c r="D238" i="49"/>
  <c r="E238" i="49" s="1"/>
  <c r="C42" i="49"/>
  <c r="C60" i="49"/>
  <c r="C66" i="49"/>
  <c r="C207" i="49"/>
  <c r="C224" i="49"/>
  <c r="D239" i="49"/>
  <c r="E239" i="49" s="1"/>
  <c r="C252" i="49"/>
  <c r="C315" i="49"/>
  <c r="C33" i="49"/>
  <c r="C43" i="49"/>
  <c r="C50" i="49"/>
  <c r="C187" i="49"/>
  <c r="C197" i="49"/>
  <c r="C203" i="49"/>
  <c r="C211" i="49"/>
  <c r="C213" i="49"/>
  <c r="C219" i="49"/>
  <c r="C222" i="49"/>
  <c r="C225" i="49"/>
  <c r="D227" i="49"/>
  <c r="E227" i="49" s="1"/>
  <c r="C231" i="49"/>
  <c r="C234" i="49"/>
  <c r="C237" i="49"/>
  <c r="C240" i="49"/>
  <c r="C257" i="49"/>
  <c r="C259" i="49"/>
  <c r="C262" i="49"/>
  <c r="C264" i="49"/>
  <c r="C266" i="49"/>
  <c r="C268" i="49"/>
  <c r="C271" i="49"/>
  <c r="C274" i="49"/>
  <c r="C276" i="49"/>
  <c r="C278" i="49"/>
  <c r="C280" i="49"/>
  <c r="C282" i="49"/>
  <c r="C285" i="49"/>
  <c r="C292" i="49"/>
  <c r="C294" i="49"/>
  <c r="C296" i="49"/>
  <c r="C301" i="49"/>
  <c r="C303" i="49"/>
  <c r="C305" i="49"/>
  <c r="C307" i="49"/>
  <c r="C309" i="49"/>
  <c r="C311" i="49"/>
  <c r="C316" i="49"/>
  <c r="C318" i="49"/>
  <c r="D51" i="49"/>
  <c r="E51" i="49" s="1"/>
  <c r="D55" i="49"/>
  <c r="E55" i="49" s="1"/>
  <c r="D220" i="49"/>
  <c r="E220" i="49" s="1"/>
  <c r="D224" i="49"/>
  <c r="E224" i="49" s="1"/>
  <c r="D231" i="49"/>
  <c r="E231" i="49" s="1"/>
  <c r="D236" i="49"/>
  <c r="E236" i="49" s="1"/>
  <c r="D194" i="49"/>
  <c r="E194" i="49" s="1"/>
  <c r="D39" i="49"/>
  <c r="E39" i="49" s="1"/>
  <c r="C55" i="49"/>
  <c r="C70" i="49"/>
  <c r="C191" i="49"/>
  <c r="D212" i="49"/>
  <c r="E212" i="49" s="1"/>
  <c r="C230" i="49"/>
  <c r="C248" i="49"/>
  <c r="C254" i="49"/>
  <c r="C291" i="49"/>
  <c r="C327" i="49"/>
  <c r="C35" i="49"/>
  <c r="C45" i="49"/>
  <c r="C56" i="49"/>
  <c r="C184" i="49"/>
  <c r="C195" i="49"/>
  <c r="C205" i="49"/>
  <c r="D40" i="49"/>
  <c r="E40" i="49" s="1"/>
  <c r="C59" i="49"/>
  <c r="C67" i="49"/>
  <c r="C72" i="49"/>
  <c r="C185" i="49"/>
  <c r="C193" i="49"/>
  <c r="C208" i="49"/>
  <c r="C215" i="49"/>
  <c r="D219" i="49"/>
  <c r="E219" i="49" s="1"/>
  <c r="C223" i="49"/>
  <c r="C226" i="49"/>
  <c r="C228" i="49"/>
  <c r="C232" i="49"/>
  <c r="C235" i="49"/>
  <c r="C238" i="49"/>
  <c r="C247" i="49"/>
  <c r="C249" i="49"/>
  <c r="C251" i="49"/>
  <c r="C253" i="49"/>
  <c r="C255" i="49"/>
  <c r="C289" i="49"/>
  <c r="C314" i="49"/>
  <c r="C326" i="49"/>
  <c r="C328" i="49"/>
  <c r="D41" i="49"/>
  <c r="E41" i="49" s="1"/>
  <c r="D52" i="49"/>
  <c r="E52" i="49" s="1"/>
  <c r="D56" i="49"/>
  <c r="E56" i="49" s="1"/>
  <c r="D184" i="49"/>
  <c r="E184" i="49" s="1"/>
  <c r="D221" i="49"/>
  <c r="E221" i="49" s="1"/>
  <c r="D225" i="49"/>
  <c r="E225" i="49" s="1"/>
  <c r="D229" i="49"/>
  <c r="E229" i="49" s="1"/>
  <c r="D192" i="49"/>
  <c r="E192" i="49" s="1"/>
  <c r="D237" i="49"/>
  <c r="E237" i="49" s="1"/>
  <c r="D240" i="49"/>
  <c r="E240" i="49" s="1"/>
  <c r="C95" i="49"/>
  <c r="C100" i="49"/>
  <c r="C117" i="49"/>
  <c r="C127" i="49"/>
  <c r="C134" i="49"/>
  <c r="C144" i="49"/>
  <c r="C153" i="49"/>
  <c r="C169" i="49"/>
  <c r="C80" i="49"/>
  <c r="C90" i="49"/>
  <c r="C107" i="49"/>
  <c r="C109" i="49"/>
  <c r="C111" i="49"/>
  <c r="C113" i="49"/>
  <c r="C118" i="49"/>
  <c r="C140" i="49"/>
  <c r="C142" i="49"/>
  <c r="C149" i="49"/>
  <c r="C154" i="49"/>
  <c r="C156" i="49"/>
  <c r="C159" i="49"/>
  <c r="C161" i="49"/>
  <c r="C163" i="49"/>
  <c r="C165" i="49"/>
  <c r="C167" i="49"/>
  <c r="C170" i="49"/>
  <c r="C172" i="49"/>
  <c r="C174" i="49"/>
  <c r="C102" i="49"/>
  <c r="C120" i="49"/>
  <c r="C124" i="49"/>
  <c r="C136" i="49"/>
  <c r="C148" i="49"/>
  <c r="C158" i="49"/>
  <c r="C82" i="49"/>
  <c r="C93" i="49"/>
  <c r="C94" i="49"/>
  <c r="C99" i="49"/>
  <c r="C105" i="49"/>
  <c r="C114" i="49"/>
  <c r="C116" i="49"/>
  <c r="C119" i="49"/>
  <c r="C121" i="49"/>
  <c r="C123" i="49"/>
  <c r="C126" i="49"/>
  <c r="C128" i="49"/>
  <c r="C130" i="49"/>
  <c r="C133" i="49"/>
  <c r="C135" i="49"/>
  <c r="C137" i="49"/>
  <c r="C146" i="49"/>
  <c r="C150" i="49"/>
  <c r="C152" i="49"/>
  <c r="C157" i="49"/>
  <c r="C98" i="49"/>
  <c r="C104" i="49"/>
  <c r="C115" i="49"/>
  <c r="C122" i="49"/>
  <c r="C129" i="49"/>
  <c r="C132" i="49"/>
  <c r="C138" i="49"/>
  <c r="C151" i="49"/>
  <c r="C85" i="49"/>
  <c r="C87" i="49"/>
  <c r="C96" i="49"/>
  <c r="C101" i="49"/>
  <c r="C103" i="49"/>
  <c r="C79" i="49"/>
  <c r="C81" i="49"/>
  <c r="C83" i="49"/>
  <c r="C86" i="49"/>
  <c r="C88" i="49"/>
  <c r="C92" i="49"/>
  <c r="C106" i="49"/>
  <c r="C108" i="49"/>
  <c r="C110" i="49"/>
  <c r="C112" i="49"/>
  <c r="C141" i="49"/>
  <c r="C143" i="49"/>
  <c r="C155" i="49"/>
  <c r="C160" i="49"/>
  <c r="C162" i="49"/>
  <c r="C164" i="49"/>
  <c r="C166" i="49"/>
  <c r="C168" i="49"/>
  <c r="C171" i="49"/>
  <c r="C173" i="49"/>
  <c r="C10" i="49"/>
  <c r="C19" i="49"/>
  <c r="C9" i="49"/>
  <c r="C11" i="49"/>
  <c r="C13" i="49"/>
  <c r="C15" i="49"/>
  <c r="C17" i="49"/>
  <c r="C20" i="49"/>
  <c r="C22" i="49"/>
  <c r="C24" i="49"/>
  <c r="C26" i="49"/>
  <c r="C28" i="49"/>
  <c r="C18" i="49"/>
  <c r="C8" i="49"/>
  <c r="C12" i="49"/>
  <c r="C14" i="49"/>
  <c r="C16" i="49"/>
  <c r="C21" i="49"/>
  <c r="C23" i="49"/>
  <c r="C25" i="49"/>
  <c r="C27" i="49"/>
  <c r="G199" i="49"/>
  <c r="G228" i="49"/>
  <c r="G232" i="49"/>
  <c r="G183" i="49"/>
  <c r="G208" i="49"/>
  <c r="G196" i="49"/>
  <c r="G233" i="49"/>
  <c r="G186" i="49"/>
  <c r="G198" i="49"/>
  <c r="G202" i="49"/>
  <c r="G207" i="49"/>
  <c r="G195" i="49"/>
  <c r="G203" i="49"/>
  <c r="G180" i="49"/>
  <c r="G188" i="49"/>
  <c r="G200" i="49"/>
  <c r="G204" i="49"/>
  <c r="G209" i="49"/>
  <c r="G181" i="49"/>
  <c r="G185" i="49"/>
  <c r="G197" i="49"/>
  <c r="G201" i="49"/>
  <c r="G206" i="49"/>
  <c r="G174" i="49"/>
  <c r="G49" i="49"/>
  <c r="G280" i="49"/>
  <c r="G314" i="49"/>
  <c r="G35" i="49"/>
  <c r="G279" i="49"/>
  <c r="G96" i="49"/>
  <c r="G86" i="49"/>
  <c r="G108" i="49"/>
  <c r="G110" i="49"/>
  <c r="G161" i="49"/>
  <c r="G169" i="49"/>
  <c r="G9" i="49"/>
  <c r="G305" i="49"/>
  <c r="G284" i="49"/>
  <c r="G250" i="49"/>
  <c r="G63" i="49"/>
  <c r="G46" i="49"/>
  <c r="G316" i="49"/>
  <c r="G308" i="49"/>
  <c r="G278" i="49"/>
  <c r="G257" i="49"/>
  <c r="G301" i="49"/>
  <c r="G303" i="49"/>
  <c r="G265" i="49"/>
  <c r="G318" i="49"/>
  <c r="G306" i="49"/>
  <c r="G295" i="49"/>
  <c r="G285" i="49"/>
  <c r="G268" i="49"/>
  <c r="G259" i="49"/>
  <c r="G251" i="49"/>
  <c r="G69" i="49"/>
  <c r="G58" i="49"/>
  <c r="G37" i="49"/>
  <c r="G320" i="49"/>
  <c r="G296" i="49"/>
  <c r="G271" i="49"/>
  <c r="G252" i="49"/>
  <c r="G317" i="49"/>
  <c r="G267" i="49"/>
  <c r="G292" i="49"/>
  <c r="G65" i="49"/>
  <c r="G300" i="49"/>
  <c r="G266" i="49"/>
  <c r="G60" i="49"/>
  <c r="G286" i="49"/>
  <c r="G256" i="49"/>
  <c r="G310" i="49"/>
  <c r="G302" i="49"/>
  <c r="G291" i="49"/>
  <c r="G276" i="49"/>
  <c r="G264" i="49"/>
  <c r="G255" i="49"/>
  <c r="G247" i="49"/>
  <c r="G64" i="49"/>
  <c r="G47" i="49"/>
  <c r="G36" i="49"/>
  <c r="G307" i="49"/>
  <c r="G281" i="49"/>
  <c r="G261" i="49"/>
  <c r="G294" i="49"/>
  <c r="G258" i="49"/>
  <c r="G248" i="49"/>
  <c r="G43" i="49"/>
  <c r="G287" i="49"/>
  <c r="G249" i="49"/>
  <c r="G309" i="49"/>
  <c r="G289" i="49"/>
  <c r="G274" i="49"/>
  <c r="G263" i="49"/>
  <c r="G254" i="49"/>
  <c r="G68" i="49"/>
  <c r="G57" i="49"/>
  <c r="G311" i="49"/>
  <c r="G277" i="49"/>
  <c r="G59" i="49"/>
  <c r="G33" i="49"/>
  <c r="G312" i="49"/>
  <c r="G304" i="49"/>
  <c r="G293" i="49"/>
  <c r="G282" i="49"/>
  <c r="G273" i="49"/>
  <c r="G262" i="49"/>
  <c r="G253" i="49"/>
  <c r="G66" i="49"/>
  <c r="G50" i="49"/>
  <c r="G112" i="49"/>
  <c r="G129" i="49"/>
  <c r="G164" i="49"/>
  <c r="G118" i="49"/>
  <c r="G163" i="49"/>
  <c r="G123" i="49"/>
  <c r="G115" i="49"/>
  <c r="G105" i="49"/>
  <c r="G93" i="49"/>
  <c r="G79" i="49"/>
  <c r="G158" i="49"/>
  <c r="G122" i="49"/>
  <c r="G103" i="49"/>
  <c r="G165" i="49"/>
  <c r="G130" i="49"/>
  <c r="G160" i="49"/>
  <c r="G106" i="49"/>
  <c r="G152" i="49"/>
  <c r="G126" i="49"/>
  <c r="G107" i="49"/>
  <c r="G134" i="49"/>
  <c r="G154" i="49"/>
  <c r="G101" i="49"/>
  <c r="G127" i="49"/>
  <c r="G172" i="49"/>
  <c r="G138" i="49"/>
  <c r="G128" i="49"/>
  <c r="G119" i="49"/>
  <c r="G109" i="49"/>
  <c r="G100" i="49"/>
  <c r="G83" i="49"/>
  <c r="G162" i="49"/>
  <c r="G136" i="49"/>
  <c r="G114" i="49"/>
  <c r="G88" i="49"/>
  <c r="G148" i="49"/>
  <c r="G121" i="49"/>
  <c r="G102" i="49"/>
  <c r="G87" i="49"/>
  <c r="G132" i="49"/>
  <c r="G144" i="49"/>
  <c r="G94" i="49"/>
  <c r="G150" i="49"/>
  <c r="G82" i="49"/>
  <c r="G133" i="49"/>
  <c r="G155" i="49"/>
  <c r="G135" i="49"/>
  <c r="G117" i="49"/>
  <c r="G98" i="49"/>
  <c r="G81" i="49"/>
  <c r="G120" i="49"/>
  <c r="G80" i="49"/>
  <c r="G173" i="49"/>
  <c r="G124" i="49"/>
  <c r="G171" i="49"/>
  <c r="G99" i="49"/>
  <c r="G159" i="49"/>
  <c r="G28" i="49"/>
  <c r="G20" i="49"/>
  <c r="G12" i="49"/>
  <c r="G27" i="49"/>
  <c r="G19" i="49"/>
  <c r="G11" i="49"/>
  <c r="G14" i="49"/>
  <c r="G25" i="49"/>
  <c r="G17" i="49"/>
  <c r="G24" i="49"/>
  <c r="G16" i="49"/>
  <c r="G22" i="49"/>
  <c r="G23" i="49"/>
  <c r="G15" i="49"/>
  <c r="G18" i="49"/>
  <c r="G21" i="49"/>
  <c r="G13" i="49"/>
  <c r="G26" i="49"/>
  <c r="E29" i="49"/>
  <c r="G90" i="49"/>
  <c r="G327" i="49"/>
  <c r="G326" i="49"/>
  <c r="G328" i="49"/>
  <c r="G111" i="49"/>
  <c r="G85" i="49"/>
  <c r="G137" i="49"/>
  <c r="G170" i="49"/>
  <c r="G113" i="49"/>
  <c r="G157" i="49"/>
  <c r="G104" i="49"/>
  <c r="G92" i="49"/>
  <c r="G48" i="49"/>
  <c r="G319" i="49"/>
  <c r="G156" i="49"/>
  <c r="G151" i="49"/>
  <c r="G67" i="49"/>
  <c r="G72" i="49"/>
  <c r="C175" i="49"/>
  <c r="G175" i="49"/>
  <c r="G76" i="49"/>
  <c r="F27" i="68" s="1"/>
  <c r="G107" i="7"/>
  <c r="G106" i="7"/>
  <c r="G105" i="7"/>
  <c r="G104" i="7"/>
  <c r="G103" i="7"/>
  <c r="G102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F76" i="7"/>
  <c r="G76" i="7"/>
  <c r="G58" i="7"/>
  <c r="G57" i="7"/>
  <c r="G56" i="7"/>
  <c r="G55" i="7"/>
  <c r="G54" i="7"/>
  <c r="G53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D99" i="45"/>
  <c r="O55" i="4"/>
  <c r="D39" i="57"/>
  <c r="D39" i="56"/>
  <c r="D287" i="4"/>
  <c r="D286" i="4"/>
  <c r="D284" i="4"/>
  <c r="D283" i="4"/>
  <c r="V270" i="4"/>
  <c r="R270" i="4"/>
  <c r="O270" i="4"/>
  <c r="I270" i="4"/>
  <c r="Z270" i="4"/>
  <c r="G270" i="4"/>
  <c r="D270" i="4"/>
  <c r="X270" i="4"/>
  <c r="Y270" i="4"/>
  <c r="AP21" i="4"/>
  <c r="Q10" i="52"/>
  <c r="Q28" i="52"/>
  <c r="Q30" i="52"/>
  <c r="P10" i="52"/>
  <c r="M10" i="52"/>
  <c r="L10" i="52"/>
  <c r="K10" i="52"/>
  <c r="J10" i="52"/>
  <c r="J28" i="52"/>
  <c r="J30" i="52"/>
  <c r="I10" i="52"/>
  <c r="H10" i="52"/>
  <c r="G124" i="7"/>
  <c r="G123" i="7"/>
  <c r="G122" i="7"/>
  <c r="G121" i="7"/>
  <c r="G120" i="7"/>
  <c r="G119" i="7"/>
  <c r="G118" i="7"/>
  <c r="P28" i="52"/>
  <c r="P30" i="52"/>
  <c r="K28" i="52"/>
  <c r="K30" i="52"/>
  <c r="H28" i="52"/>
  <c r="H30" i="52"/>
  <c r="L28" i="52"/>
  <c r="L30" i="52"/>
  <c r="I28" i="52"/>
  <c r="I30" i="52"/>
  <c r="M28" i="52"/>
  <c r="M30" i="52"/>
  <c r="S13" i="2"/>
  <c r="S12" i="2"/>
  <c r="S11" i="2"/>
  <c r="S10" i="2"/>
  <c r="S9" i="2"/>
  <c r="S8" i="2"/>
  <c r="S4" i="2"/>
  <c r="G36" i="3"/>
  <c r="S15" i="2"/>
  <c r="G35" i="3"/>
  <c r="S14" i="2"/>
  <c r="G28" i="3"/>
  <c r="S7" i="2"/>
  <c r="G27" i="3"/>
  <c r="S6" i="2"/>
  <c r="S5" i="2"/>
  <c r="G52" i="3"/>
  <c r="T15" i="2"/>
  <c r="G51" i="3"/>
  <c r="T14" i="2"/>
  <c r="G50" i="3"/>
  <c r="T13" i="2"/>
  <c r="G49" i="3"/>
  <c r="T12" i="2"/>
  <c r="G48" i="3"/>
  <c r="T11" i="2"/>
  <c r="G47" i="3"/>
  <c r="T10" i="2"/>
  <c r="G46" i="3"/>
  <c r="T9" i="2"/>
  <c r="G45" i="3"/>
  <c r="T8" i="2"/>
  <c r="G44" i="3"/>
  <c r="T7" i="2"/>
  <c r="G43" i="3"/>
  <c r="T6" i="2"/>
  <c r="G42" i="3"/>
  <c r="T5" i="2"/>
  <c r="G41" i="3"/>
  <c r="T4" i="2"/>
  <c r="D254" i="4"/>
  <c r="G254" i="4"/>
  <c r="I254" i="4"/>
  <c r="O254" i="4"/>
  <c r="R254" i="4"/>
  <c r="V254" i="4"/>
  <c r="D255" i="4"/>
  <c r="G255" i="4"/>
  <c r="I255" i="4"/>
  <c r="O255" i="4"/>
  <c r="R255" i="4"/>
  <c r="V255" i="4"/>
  <c r="Z255" i="4"/>
  <c r="D256" i="4"/>
  <c r="G256" i="4"/>
  <c r="I256" i="4"/>
  <c r="O256" i="4"/>
  <c r="R256" i="4"/>
  <c r="V256" i="4"/>
  <c r="Z256" i="4"/>
  <c r="D257" i="4"/>
  <c r="G257" i="4"/>
  <c r="I257" i="4"/>
  <c r="O257" i="4"/>
  <c r="R257" i="4"/>
  <c r="V257" i="4"/>
  <c r="D258" i="4"/>
  <c r="G258" i="4"/>
  <c r="I258" i="4"/>
  <c r="O258" i="4"/>
  <c r="R258" i="4"/>
  <c r="V258" i="4"/>
  <c r="D259" i="4"/>
  <c r="G259" i="4"/>
  <c r="I259" i="4"/>
  <c r="O259" i="4"/>
  <c r="R259" i="4"/>
  <c r="V259" i="4"/>
  <c r="Z259" i="4"/>
  <c r="D260" i="4"/>
  <c r="G260" i="4"/>
  <c r="I260" i="4"/>
  <c r="O260" i="4"/>
  <c r="R260" i="4"/>
  <c r="V260" i="4"/>
  <c r="Z260" i="4"/>
  <c r="D261" i="4"/>
  <c r="G261" i="4"/>
  <c r="I261" i="4"/>
  <c r="O261" i="4"/>
  <c r="R261" i="4"/>
  <c r="V261" i="4"/>
  <c r="D262" i="4"/>
  <c r="G262" i="4"/>
  <c r="I262" i="4"/>
  <c r="O262" i="4"/>
  <c r="R262" i="4"/>
  <c r="V262" i="4"/>
  <c r="D263" i="4"/>
  <c r="G263" i="4"/>
  <c r="I263" i="4"/>
  <c r="O263" i="4"/>
  <c r="R263" i="4"/>
  <c r="V263" i="4"/>
  <c r="Z263" i="4"/>
  <c r="D264" i="4"/>
  <c r="G264" i="4"/>
  <c r="I264" i="4"/>
  <c r="O264" i="4"/>
  <c r="R264" i="4"/>
  <c r="V264" i="4"/>
  <c r="Z264" i="4"/>
  <c r="D265" i="4"/>
  <c r="G265" i="4"/>
  <c r="O265" i="4"/>
  <c r="R265" i="4"/>
  <c r="V265" i="4"/>
  <c r="D266" i="4"/>
  <c r="G266" i="4"/>
  <c r="I266" i="4"/>
  <c r="O266" i="4"/>
  <c r="R266" i="4"/>
  <c r="V266" i="4"/>
  <c r="D267" i="4"/>
  <c r="G267" i="4"/>
  <c r="I267" i="4"/>
  <c r="Z267" i="4"/>
  <c r="O267" i="4"/>
  <c r="R267" i="4"/>
  <c r="V267" i="4"/>
  <c r="D268" i="4"/>
  <c r="AC268" i="4"/>
  <c r="G268" i="4"/>
  <c r="I268" i="4"/>
  <c r="O268" i="4"/>
  <c r="R268" i="4"/>
  <c r="V268" i="4"/>
  <c r="Z268" i="4"/>
  <c r="D269" i="4"/>
  <c r="G269" i="4"/>
  <c r="I269" i="4"/>
  <c r="O269" i="4"/>
  <c r="R269" i="4"/>
  <c r="V269" i="4"/>
  <c r="V253" i="4"/>
  <c r="R253" i="4"/>
  <c r="O253" i="4"/>
  <c r="I253" i="4"/>
  <c r="G253" i="4"/>
  <c r="D253" i="4"/>
  <c r="V252" i="4"/>
  <c r="R252" i="4"/>
  <c r="O252" i="4"/>
  <c r="I252" i="4"/>
  <c r="G252" i="4"/>
  <c r="D252" i="4"/>
  <c r="V251" i="4"/>
  <c r="R251" i="4"/>
  <c r="O251" i="4"/>
  <c r="I251" i="4"/>
  <c r="G251" i="4"/>
  <c r="D251" i="4"/>
  <c r="V250" i="4"/>
  <c r="R250" i="4"/>
  <c r="O250" i="4"/>
  <c r="I250" i="4"/>
  <c r="G250" i="4"/>
  <c r="D250" i="4"/>
  <c r="V249" i="4"/>
  <c r="R249" i="4"/>
  <c r="O249" i="4"/>
  <c r="I249" i="4"/>
  <c r="G249" i="4"/>
  <c r="D249" i="4"/>
  <c r="V248" i="4"/>
  <c r="R248" i="4"/>
  <c r="O248" i="4"/>
  <c r="I248" i="4"/>
  <c r="G248" i="4"/>
  <c r="D248" i="4"/>
  <c r="V247" i="4"/>
  <c r="R247" i="4"/>
  <c r="O247" i="4"/>
  <c r="I247" i="4"/>
  <c r="G247" i="4"/>
  <c r="D247" i="4"/>
  <c r="V246" i="4"/>
  <c r="R246" i="4"/>
  <c r="O246" i="4"/>
  <c r="I246" i="4"/>
  <c r="G246" i="4"/>
  <c r="D246" i="4"/>
  <c r="V245" i="4"/>
  <c r="R245" i="4"/>
  <c r="O245" i="4"/>
  <c r="I245" i="4"/>
  <c r="G245" i="4"/>
  <c r="D245" i="4"/>
  <c r="V244" i="4"/>
  <c r="R244" i="4"/>
  <c r="O244" i="4"/>
  <c r="I244" i="4"/>
  <c r="G244" i="4"/>
  <c r="D244" i="4"/>
  <c r="V243" i="4"/>
  <c r="R243" i="4"/>
  <c r="O243" i="4"/>
  <c r="I243" i="4"/>
  <c r="G243" i="4"/>
  <c r="D243" i="4"/>
  <c r="V242" i="4"/>
  <c r="R242" i="4"/>
  <c r="O242" i="4"/>
  <c r="G242" i="4"/>
  <c r="D242" i="4"/>
  <c r="V241" i="4"/>
  <c r="R241" i="4"/>
  <c r="O241" i="4"/>
  <c r="I241" i="4"/>
  <c r="G241" i="4"/>
  <c r="D241" i="4"/>
  <c r="X265" i="4"/>
  <c r="Y265" i="4"/>
  <c r="X254" i="4"/>
  <c r="Y254" i="4"/>
  <c r="X269" i="4"/>
  <c r="Y269" i="4"/>
  <c r="X258" i="4"/>
  <c r="Y258" i="4"/>
  <c r="X261" i="4"/>
  <c r="Y261" i="4"/>
  <c r="X268" i="4"/>
  <c r="Y268" i="4"/>
  <c r="X257" i="4"/>
  <c r="Y257" i="4"/>
  <c r="X242" i="4"/>
  <c r="Y242" i="4"/>
  <c r="X246" i="4"/>
  <c r="Y246" i="4"/>
  <c r="AC263" i="4"/>
  <c r="X266" i="4"/>
  <c r="Y266" i="4"/>
  <c r="X262" i="4"/>
  <c r="Y262" i="4"/>
  <c r="AK268" i="4"/>
  <c r="Z261" i="4"/>
  <c r="X260" i="4"/>
  <c r="Y260" i="4"/>
  <c r="X255" i="4"/>
  <c r="Y255" i="4"/>
  <c r="Z254" i="4"/>
  <c r="Z265" i="4"/>
  <c r="X264" i="4"/>
  <c r="Y264" i="4"/>
  <c r="Z257" i="4"/>
  <c r="X256" i="4"/>
  <c r="Y256" i="4"/>
  <c r="Z269" i="4"/>
  <c r="AE269" i="4"/>
  <c r="X263" i="4"/>
  <c r="Y263" i="4"/>
  <c r="Z262" i="4"/>
  <c r="X247" i="4"/>
  <c r="Y247" i="4"/>
  <c r="X249" i="4"/>
  <c r="Y249" i="4"/>
  <c r="AL268" i="4"/>
  <c r="X267" i="4"/>
  <c r="Y267" i="4"/>
  <c r="Z266" i="4"/>
  <c r="AE266" i="4"/>
  <c r="X259" i="4"/>
  <c r="Y259" i="4"/>
  <c r="Z258" i="4"/>
  <c r="AM268" i="4"/>
  <c r="X243" i="4"/>
  <c r="Y243" i="4"/>
  <c r="X251" i="4"/>
  <c r="Y251" i="4"/>
  <c r="X253" i="4"/>
  <c r="Y253" i="4"/>
  <c r="X245" i="4"/>
  <c r="Y245" i="4"/>
  <c r="Z241" i="4"/>
  <c r="AE245" i="4"/>
  <c r="X241" i="4"/>
  <c r="Y241" i="4"/>
  <c r="X248" i="4"/>
  <c r="Y248" i="4"/>
  <c r="Z250" i="4"/>
  <c r="Z251" i="4"/>
  <c r="Z242" i="4"/>
  <c r="Z245" i="4"/>
  <c r="X244" i="4"/>
  <c r="Y244" i="4"/>
  <c r="Z246" i="4"/>
  <c r="Z249" i="4"/>
  <c r="X250" i="4"/>
  <c r="Y250" i="4"/>
  <c r="Z252" i="4"/>
  <c r="Z244" i="4"/>
  <c r="Z248" i="4"/>
  <c r="Z253" i="4"/>
  <c r="Z243" i="4"/>
  <c r="Z247" i="4"/>
  <c r="AE247" i="4"/>
  <c r="X252" i="4"/>
  <c r="Y252" i="4"/>
  <c r="F71" i="49"/>
  <c r="AK263" i="4"/>
  <c r="AM263" i="4"/>
  <c r="AE259" i="4"/>
  <c r="AE244" i="4"/>
  <c r="E136" i="71"/>
  <c r="E135" i="71"/>
  <c r="E134" i="71"/>
  <c r="E133" i="71"/>
  <c r="E132" i="71"/>
  <c r="D213" i="49"/>
  <c r="E131" i="71"/>
  <c r="D216" i="49"/>
  <c r="E130" i="71"/>
  <c r="E129" i="71"/>
  <c r="D210" i="49"/>
  <c r="E128" i="71"/>
  <c r="D209" i="49"/>
  <c r="E127" i="71"/>
  <c r="D208" i="49"/>
  <c r="E126" i="71"/>
  <c r="E125" i="71"/>
  <c r="D206" i="49"/>
  <c r="E124" i="71"/>
  <c r="E123" i="71"/>
  <c r="E122" i="71"/>
  <c r="E121" i="71"/>
  <c r="E120" i="71"/>
  <c r="E119" i="71"/>
  <c r="E118" i="71"/>
  <c r="E117" i="71"/>
  <c r="D191" i="49"/>
  <c r="E116" i="71"/>
  <c r="D232" i="49"/>
  <c r="E115" i="71"/>
  <c r="E114" i="71"/>
  <c r="E113" i="71"/>
  <c r="E112" i="71"/>
  <c r="E111" i="71"/>
  <c r="D228" i="49"/>
  <c r="E110" i="71"/>
  <c r="E109" i="71"/>
  <c r="D188" i="49"/>
  <c r="E108" i="71"/>
  <c r="E107" i="71"/>
  <c r="E106" i="71"/>
  <c r="E105" i="71"/>
  <c r="E104" i="71"/>
  <c r="E103" i="71"/>
  <c r="E102" i="71"/>
  <c r="E101" i="71"/>
  <c r="D185" i="49"/>
  <c r="E100" i="71"/>
  <c r="E99" i="71"/>
  <c r="E98" i="71"/>
  <c r="E97" i="71"/>
  <c r="E96" i="71"/>
  <c r="D319" i="49"/>
  <c r="E95" i="71"/>
  <c r="D315" i="49"/>
  <c r="E94" i="71"/>
  <c r="E93" i="71"/>
  <c r="D312" i="49"/>
  <c r="E92" i="71"/>
  <c r="D175" i="49"/>
  <c r="E91" i="71"/>
  <c r="D174" i="49"/>
  <c r="E90" i="71"/>
  <c r="E89" i="71"/>
  <c r="D169" i="49"/>
  <c r="E88" i="71"/>
  <c r="D168" i="49"/>
  <c r="E87" i="71"/>
  <c r="E86" i="71"/>
  <c r="E85" i="71"/>
  <c r="E84" i="71"/>
  <c r="E83" i="71"/>
  <c r="D158" i="49"/>
  <c r="E82" i="71"/>
  <c r="E81" i="71"/>
  <c r="D156" i="49"/>
  <c r="E80" i="71"/>
  <c r="D153" i="49"/>
  <c r="E79" i="71"/>
  <c r="E78" i="71"/>
  <c r="E77" i="71"/>
  <c r="D149" i="49"/>
  <c r="E76" i="71"/>
  <c r="D148" i="49"/>
  <c r="E75" i="71"/>
  <c r="F74" i="71"/>
  <c r="F73" i="71"/>
  <c r="F72" i="71"/>
  <c r="F71" i="71"/>
  <c r="F70" i="71"/>
  <c r="F69" i="71"/>
  <c r="E68" i="71"/>
  <c r="D143" i="49"/>
  <c r="E67" i="71"/>
  <c r="E66" i="71"/>
  <c r="E65" i="71"/>
  <c r="D138" i="49"/>
  <c r="E64" i="71"/>
  <c r="E63" i="71"/>
  <c r="E62" i="71"/>
  <c r="E61" i="71"/>
  <c r="D118" i="49"/>
  <c r="E60" i="71"/>
  <c r="D117" i="49"/>
  <c r="E59" i="71"/>
  <c r="E58" i="71"/>
  <c r="E57" i="71"/>
  <c r="D113" i="49"/>
  <c r="E56" i="71"/>
  <c r="E55" i="71"/>
  <c r="D105" i="49"/>
  <c r="E54" i="71"/>
  <c r="E53" i="71"/>
  <c r="E52" i="71"/>
  <c r="D93" i="49"/>
  <c r="E51" i="71"/>
  <c r="E50" i="71"/>
  <c r="E49" i="71"/>
  <c r="E48" i="71"/>
  <c r="D71" i="49"/>
  <c r="E47" i="71"/>
  <c r="E46" i="71"/>
  <c r="E45" i="71"/>
  <c r="E44" i="71"/>
  <c r="E43" i="71"/>
  <c r="E42" i="71"/>
  <c r="E41" i="71"/>
  <c r="E40" i="71"/>
  <c r="E39" i="71"/>
  <c r="E38" i="71"/>
  <c r="E37" i="71"/>
  <c r="E36" i="71"/>
  <c r="D46" i="49"/>
  <c r="E35" i="71"/>
  <c r="D45" i="49"/>
  <c r="E34" i="71"/>
  <c r="E33" i="71"/>
  <c r="E32" i="71"/>
  <c r="E31" i="71"/>
  <c r="E30" i="71"/>
  <c r="E29" i="71"/>
  <c r="E28" i="71"/>
  <c r="D37" i="49"/>
  <c r="E27" i="71"/>
  <c r="E26" i="71"/>
  <c r="F24" i="71"/>
  <c r="E23" i="71"/>
  <c r="D291" i="49"/>
  <c r="E22" i="71"/>
  <c r="D286" i="49"/>
  <c r="E21" i="71"/>
  <c r="F20" i="71"/>
  <c r="E19" i="71"/>
  <c r="D256" i="49"/>
  <c r="E18" i="71"/>
  <c r="E17" i="71"/>
  <c r="E16" i="71"/>
  <c r="D19" i="49"/>
  <c r="E15" i="71"/>
  <c r="D17" i="49"/>
  <c r="E14" i="71"/>
  <c r="E13" i="71"/>
  <c r="E12" i="71"/>
  <c r="E11" i="71"/>
  <c r="E10" i="71"/>
  <c r="E9" i="71"/>
  <c r="E8" i="71"/>
  <c r="C343" i="70"/>
  <c r="C327" i="70"/>
  <c r="C319" i="70"/>
  <c r="C320" i="70"/>
  <c r="C295" i="70"/>
  <c r="C239" i="70"/>
  <c r="C215" i="70"/>
  <c r="C240" i="70"/>
  <c r="C175" i="70"/>
  <c r="C346" i="70"/>
  <c r="C75" i="70"/>
  <c r="C72" i="70"/>
  <c r="C345" i="70"/>
  <c r="C61" i="70"/>
  <c r="C29" i="70"/>
  <c r="C339" i="70"/>
  <c r="D328" i="49"/>
  <c r="D329" i="49" s="1"/>
  <c r="D327" i="49"/>
  <c r="D326" i="49"/>
  <c r="D320" i="49"/>
  <c r="D318" i="49"/>
  <c r="D317" i="49"/>
  <c r="D316" i="49"/>
  <c r="D314" i="49"/>
  <c r="D313" i="49"/>
  <c r="D311" i="49"/>
  <c r="D310" i="49"/>
  <c r="D309" i="49"/>
  <c r="D308" i="49"/>
  <c r="D307" i="49"/>
  <c r="D306" i="49"/>
  <c r="D305" i="49"/>
  <c r="D304" i="49"/>
  <c r="D303" i="49"/>
  <c r="D302" i="49"/>
  <c r="D301" i="49"/>
  <c r="D300" i="49"/>
  <c r="D296" i="49"/>
  <c r="D295" i="49"/>
  <c r="D294" i="49"/>
  <c r="D293" i="49"/>
  <c r="D292" i="49"/>
  <c r="D289" i="49"/>
  <c r="D287" i="49"/>
  <c r="D285" i="49"/>
  <c r="D284" i="49"/>
  <c r="D282" i="49"/>
  <c r="D281" i="49"/>
  <c r="D280" i="49"/>
  <c r="D279" i="49"/>
  <c r="D278" i="49"/>
  <c r="D277" i="49"/>
  <c r="D276" i="49"/>
  <c r="D275" i="49"/>
  <c r="D274" i="49"/>
  <c r="D273" i="49"/>
  <c r="D271" i="49"/>
  <c r="D270" i="49"/>
  <c r="D268" i="49"/>
  <c r="D267" i="49"/>
  <c r="D266" i="49"/>
  <c r="D265" i="49"/>
  <c r="D264" i="49"/>
  <c r="D263" i="49"/>
  <c r="D262" i="49"/>
  <c r="D261" i="49"/>
  <c r="D259" i="49"/>
  <c r="D258" i="49"/>
  <c r="D257" i="49"/>
  <c r="D255" i="49"/>
  <c r="D254" i="49"/>
  <c r="D253" i="49"/>
  <c r="D252" i="49"/>
  <c r="D251" i="49"/>
  <c r="D250" i="49"/>
  <c r="D249" i="49"/>
  <c r="D248" i="49"/>
  <c r="D247" i="49"/>
  <c r="D233" i="49"/>
  <c r="D211" i="49"/>
  <c r="D207" i="49"/>
  <c r="D205" i="49"/>
  <c r="D204" i="49"/>
  <c r="D203" i="49"/>
  <c r="D202" i="49"/>
  <c r="D201" i="49"/>
  <c r="D200" i="49"/>
  <c r="D199" i="49"/>
  <c r="D198" i="49"/>
  <c r="D197" i="49"/>
  <c r="D196" i="49"/>
  <c r="D195" i="49"/>
  <c r="D186" i="49"/>
  <c r="D183" i="49"/>
  <c r="D181" i="49"/>
  <c r="D180" i="49"/>
  <c r="D173" i="49"/>
  <c r="D172" i="49"/>
  <c r="D171" i="49"/>
  <c r="D170" i="49"/>
  <c r="D167" i="49"/>
  <c r="D166" i="49"/>
  <c r="D165" i="49"/>
  <c r="D164" i="49"/>
  <c r="D163" i="49"/>
  <c r="D162" i="49"/>
  <c r="D161" i="49"/>
  <c r="D160" i="49"/>
  <c r="D159" i="49"/>
  <c r="D157" i="49"/>
  <c r="D155" i="49"/>
  <c r="D154" i="49"/>
  <c r="D152" i="49"/>
  <c r="D151" i="49"/>
  <c r="D150" i="49"/>
  <c r="D146" i="49"/>
  <c r="D144" i="49"/>
  <c r="D142" i="49"/>
  <c r="D141" i="49"/>
  <c r="D140" i="49"/>
  <c r="D137" i="49"/>
  <c r="D136" i="49"/>
  <c r="D135" i="49"/>
  <c r="D134" i="49"/>
  <c r="D133" i="49"/>
  <c r="D132" i="49"/>
  <c r="D130" i="49"/>
  <c r="D129" i="49"/>
  <c r="D128" i="49"/>
  <c r="D127" i="49"/>
  <c r="D126" i="49"/>
  <c r="D124" i="49"/>
  <c r="D123" i="49"/>
  <c r="D122" i="49"/>
  <c r="D121" i="49"/>
  <c r="D120" i="49"/>
  <c r="D119" i="49"/>
  <c r="D116" i="49"/>
  <c r="D115" i="49"/>
  <c r="D114" i="49"/>
  <c r="D112" i="49"/>
  <c r="D111" i="49"/>
  <c r="D110" i="49"/>
  <c r="D109" i="49"/>
  <c r="D108" i="49"/>
  <c r="D107" i="49"/>
  <c r="D106" i="49"/>
  <c r="D104" i="49"/>
  <c r="D103" i="49"/>
  <c r="D102" i="49"/>
  <c r="D101" i="49"/>
  <c r="D100" i="49"/>
  <c r="D99" i="49"/>
  <c r="D98" i="49"/>
  <c r="D96" i="49"/>
  <c r="D95" i="49"/>
  <c r="D94" i="49"/>
  <c r="D92" i="49"/>
  <c r="D90" i="49"/>
  <c r="D88" i="49"/>
  <c r="D87" i="49"/>
  <c r="D86" i="49"/>
  <c r="D85" i="49"/>
  <c r="D83" i="49"/>
  <c r="D82" i="49"/>
  <c r="D81" i="49"/>
  <c r="D80" i="49"/>
  <c r="D79" i="49"/>
  <c r="D75" i="49"/>
  <c r="D76" i="49" s="1"/>
  <c r="D72" i="49"/>
  <c r="D70" i="49"/>
  <c r="D69" i="49"/>
  <c r="D68" i="49"/>
  <c r="D67" i="49"/>
  <c r="D66" i="49"/>
  <c r="D65" i="49"/>
  <c r="D64" i="49"/>
  <c r="D63" i="49"/>
  <c r="D60" i="49"/>
  <c r="D59" i="49"/>
  <c r="D58" i="49"/>
  <c r="D57" i="49"/>
  <c r="D50" i="49"/>
  <c r="D49" i="49"/>
  <c r="D48" i="49"/>
  <c r="D47" i="49"/>
  <c r="D44" i="49"/>
  <c r="D43" i="49"/>
  <c r="D36" i="49"/>
  <c r="D35" i="49"/>
  <c r="D33" i="49"/>
  <c r="D28" i="49"/>
  <c r="D27" i="49"/>
  <c r="D26" i="49"/>
  <c r="D25" i="49"/>
  <c r="D24" i="49"/>
  <c r="D23" i="49"/>
  <c r="D22" i="49"/>
  <c r="D21" i="49"/>
  <c r="D20" i="49"/>
  <c r="D18" i="49"/>
  <c r="D16" i="49"/>
  <c r="D15" i="49"/>
  <c r="D14" i="49"/>
  <c r="D13" i="49"/>
  <c r="D12" i="49"/>
  <c r="D11" i="49"/>
  <c r="D10" i="49"/>
  <c r="D9" i="49"/>
  <c r="D8" i="49"/>
  <c r="C333" i="70"/>
  <c r="C337" i="70"/>
  <c r="E25" i="71"/>
  <c r="C340" i="70"/>
  <c r="C331" i="70"/>
  <c r="E137" i="71"/>
  <c r="E138" i="71"/>
  <c r="C176" i="70"/>
  <c r="C241" i="70"/>
  <c r="C334" i="70"/>
  <c r="C335" i="70"/>
  <c r="C344" i="70"/>
  <c r="C336" i="70"/>
  <c r="C341" i="70"/>
  <c r="C242" i="70"/>
  <c r="C330" i="70"/>
  <c r="C321" i="70"/>
  <c r="C328" i="70"/>
  <c r="C329" i="70"/>
  <c r="C338" i="70"/>
  <c r="E28" i="38"/>
  <c r="E27" i="38"/>
  <c r="E26" i="38"/>
  <c r="E25" i="38"/>
  <c r="E24" i="38"/>
  <c r="E23" i="38"/>
  <c r="E22" i="38"/>
  <c r="E21" i="38"/>
  <c r="E20" i="38"/>
  <c r="E19" i="38"/>
  <c r="E18" i="38"/>
  <c r="E17" i="38"/>
  <c r="E16" i="38"/>
  <c r="E15" i="38"/>
  <c r="E14" i="38"/>
  <c r="E13" i="38"/>
  <c r="E12" i="38"/>
  <c r="E11" i="38"/>
  <c r="E10" i="38"/>
  <c r="E9" i="38"/>
  <c r="E8" i="38"/>
  <c r="E34" i="37"/>
  <c r="E33" i="37"/>
  <c r="E32" i="37"/>
  <c r="E31" i="37"/>
  <c r="E30" i="37"/>
  <c r="E29" i="37"/>
  <c r="E28" i="37"/>
  <c r="E27" i="37"/>
  <c r="E26" i="37"/>
  <c r="E25" i="37"/>
  <c r="E24" i="37"/>
  <c r="E23" i="37"/>
  <c r="E22" i="37"/>
  <c r="E21" i="37"/>
  <c r="E20" i="37"/>
  <c r="E19" i="37"/>
  <c r="E18" i="37"/>
  <c r="E17" i="37"/>
  <c r="E16" i="37"/>
  <c r="E15" i="37"/>
  <c r="E14" i="37"/>
  <c r="E13" i="37"/>
  <c r="E12" i="37"/>
  <c r="E11" i="37"/>
  <c r="E10" i="37"/>
  <c r="E36" i="36"/>
  <c r="E35" i="36"/>
  <c r="E34" i="36"/>
  <c r="E33" i="36"/>
  <c r="E32" i="36"/>
  <c r="E31" i="36"/>
  <c r="E30" i="36"/>
  <c r="E29" i="36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D26" i="58"/>
  <c r="D25" i="58"/>
  <c r="D24" i="58"/>
  <c r="D23" i="58"/>
  <c r="D22" i="58"/>
  <c r="D21" i="58"/>
  <c r="D20" i="58"/>
  <c r="D19" i="58"/>
  <c r="D18" i="58"/>
  <c r="D17" i="58"/>
  <c r="D16" i="58"/>
  <c r="D15" i="58"/>
  <c r="D14" i="58"/>
  <c r="D13" i="58"/>
  <c r="D12" i="58"/>
  <c r="D11" i="58"/>
  <c r="D10" i="58"/>
  <c r="D9" i="58"/>
  <c r="D8" i="58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E23" i="31"/>
  <c r="E22" i="31"/>
  <c r="E21" i="31"/>
  <c r="E20" i="31"/>
  <c r="E19" i="31"/>
  <c r="E18" i="31"/>
  <c r="E15" i="31"/>
  <c r="E14" i="31"/>
  <c r="E13" i="31"/>
  <c r="E12" i="31"/>
  <c r="E11" i="31"/>
  <c r="E10" i="31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C56" i="63"/>
  <c r="C55" i="63"/>
  <c r="C54" i="63"/>
  <c r="C53" i="63"/>
  <c r="C52" i="63"/>
  <c r="AL311" i="4"/>
  <c r="AL310" i="4"/>
  <c r="AL309" i="4"/>
  <c r="AL308" i="4"/>
  <c r="AL307" i="4"/>
  <c r="AL293" i="4"/>
  <c r="AL286" i="4"/>
  <c r="AL283" i="4"/>
  <c r="AL282" i="4"/>
  <c r="AL280" i="4"/>
  <c r="G218" i="49"/>
  <c r="I218" i="49" s="1"/>
  <c r="F156" i="7"/>
  <c r="F145" i="7"/>
  <c r="F75" i="7"/>
  <c r="D34" i="30"/>
  <c r="AC344" i="4"/>
  <c r="V344" i="4"/>
  <c r="R344" i="4"/>
  <c r="O344" i="4"/>
  <c r="I344" i="4"/>
  <c r="Z344" i="4"/>
  <c r="AC343" i="4"/>
  <c r="V343" i="4"/>
  <c r="R343" i="4"/>
  <c r="O343" i="4"/>
  <c r="I343" i="4"/>
  <c r="Z343" i="4"/>
  <c r="AC342" i="4"/>
  <c r="V342" i="4"/>
  <c r="R342" i="4"/>
  <c r="O342" i="4"/>
  <c r="I342" i="4"/>
  <c r="Z342" i="4"/>
  <c r="AC341" i="4"/>
  <c r="V341" i="4"/>
  <c r="R341" i="4"/>
  <c r="O341" i="4"/>
  <c r="I341" i="4"/>
  <c r="Z341" i="4"/>
  <c r="AC340" i="4"/>
  <c r="V340" i="4"/>
  <c r="R340" i="4"/>
  <c r="O340" i="4"/>
  <c r="I340" i="4"/>
  <c r="Z340" i="4"/>
  <c r="AC339" i="4"/>
  <c r="V339" i="4"/>
  <c r="R339" i="4"/>
  <c r="O339" i="4"/>
  <c r="I339" i="4"/>
  <c r="Z339" i="4"/>
  <c r="AC338" i="4"/>
  <c r="V338" i="4"/>
  <c r="R338" i="4"/>
  <c r="O338" i="4"/>
  <c r="I338" i="4"/>
  <c r="Z338" i="4"/>
  <c r="AC337" i="4"/>
  <c r="V337" i="4"/>
  <c r="R337" i="4"/>
  <c r="O337" i="4"/>
  <c r="I337" i="4"/>
  <c r="V277" i="4"/>
  <c r="R277" i="4"/>
  <c r="O277" i="4"/>
  <c r="I277" i="4"/>
  <c r="V240" i="4"/>
  <c r="R240" i="4"/>
  <c r="O240" i="4"/>
  <c r="I240" i="4"/>
  <c r="V239" i="4"/>
  <c r="R239" i="4"/>
  <c r="O239" i="4"/>
  <c r="I239" i="4"/>
  <c r="V238" i="4"/>
  <c r="R238" i="4"/>
  <c r="O238" i="4"/>
  <c r="V237" i="4"/>
  <c r="R237" i="4"/>
  <c r="O237" i="4"/>
  <c r="I237" i="4"/>
  <c r="V236" i="4"/>
  <c r="R236" i="4"/>
  <c r="O236" i="4"/>
  <c r="V235" i="4"/>
  <c r="R235" i="4"/>
  <c r="O235" i="4"/>
  <c r="I235" i="4"/>
  <c r="V234" i="4"/>
  <c r="R234" i="4"/>
  <c r="O234" i="4"/>
  <c r="I234" i="4"/>
  <c r="V233" i="4"/>
  <c r="R233" i="4"/>
  <c r="O233" i="4"/>
  <c r="I233" i="4"/>
  <c r="V232" i="4"/>
  <c r="R232" i="4"/>
  <c r="O232" i="4"/>
  <c r="I232" i="4"/>
  <c r="V231" i="4"/>
  <c r="R231" i="4"/>
  <c r="O231" i="4"/>
  <c r="V230" i="4"/>
  <c r="R230" i="4"/>
  <c r="O230" i="4"/>
  <c r="V229" i="4"/>
  <c r="R229" i="4"/>
  <c r="O229" i="4"/>
  <c r="I229" i="4"/>
  <c r="V228" i="4"/>
  <c r="R228" i="4"/>
  <c r="O228" i="4"/>
  <c r="V227" i="4"/>
  <c r="R227" i="4"/>
  <c r="O227" i="4"/>
  <c r="V226" i="4"/>
  <c r="R226" i="4"/>
  <c r="O226" i="4"/>
  <c r="I226" i="4"/>
  <c r="V225" i="4"/>
  <c r="R225" i="4"/>
  <c r="O225" i="4"/>
  <c r="I225" i="4"/>
  <c r="V224" i="4"/>
  <c r="R224" i="4"/>
  <c r="O224" i="4"/>
  <c r="I224" i="4"/>
  <c r="V223" i="4"/>
  <c r="R223" i="4"/>
  <c r="O223" i="4"/>
  <c r="I223" i="4"/>
  <c r="V222" i="4"/>
  <c r="R222" i="4"/>
  <c r="O222" i="4"/>
  <c r="I222" i="4"/>
  <c r="V221" i="4"/>
  <c r="R221" i="4"/>
  <c r="O221" i="4"/>
  <c r="I221" i="4"/>
  <c r="V220" i="4"/>
  <c r="R220" i="4"/>
  <c r="O220" i="4"/>
  <c r="I220" i="4"/>
  <c r="V219" i="4"/>
  <c r="R219" i="4"/>
  <c r="O219" i="4"/>
  <c r="I219" i="4"/>
  <c r="V218" i="4"/>
  <c r="R218" i="4"/>
  <c r="O218" i="4"/>
  <c r="I218" i="4"/>
  <c r="V217" i="4"/>
  <c r="R217" i="4"/>
  <c r="O217" i="4"/>
  <c r="I217" i="4"/>
  <c r="V216" i="4"/>
  <c r="R216" i="4"/>
  <c r="O216" i="4"/>
  <c r="V215" i="4"/>
  <c r="R215" i="4"/>
  <c r="O215" i="4"/>
  <c r="I215" i="4"/>
  <c r="V214" i="4"/>
  <c r="R214" i="4"/>
  <c r="O214" i="4"/>
  <c r="I214" i="4"/>
  <c r="V213" i="4"/>
  <c r="R213" i="4"/>
  <c r="V212" i="4"/>
  <c r="R212" i="4"/>
  <c r="O212" i="4"/>
  <c r="I212" i="4"/>
  <c r="V211" i="4"/>
  <c r="R211" i="4"/>
  <c r="O211" i="4"/>
  <c r="I211" i="4"/>
  <c r="V210" i="4"/>
  <c r="R210" i="4"/>
  <c r="O210" i="4"/>
  <c r="V209" i="4"/>
  <c r="R209" i="4"/>
  <c r="O209" i="4"/>
  <c r="V208" i="4"/>
  <c r="R208" i="4"/>
  <c r="O208" i="4"/>
  <c r="I208" i="4"/>
  <c r="V207" i="4"/>
  <c r="R207" i="4"/>
  <c r="O207" i="4"/>
  <c r="I207" i="4"/>
  <c r="V206" i="4"/>
  <c r="R206" i="4"/>
  <c r="O206" i="4"/>
  <c r="I206" i="4"/>
  <c r="V205" i="4"/>
  <c r="R205" i="4"/>
  <c r="O205" i="4"/>
  <c r="I205" i="4"/>
  <c r="V204" i="4"/>
  <c r="R204" i="4"/>
  <c r="O204" i="4"/>
  <c r="I204" i="4"/>
  <c r="V203" i="4"/>
  <c r="R203" i="4"/>
  <c r="O203" i="4"/>
  <c r="I203" i="4"/>
  <c r="V202" i="4"/>
  <c r="R202" i="4"/>
  <c r="O202" i="4"/>
  <c r="I202" i="4"/>
  <c r="V201" i="4"/>
  <c r="R201" i="4"/>
  <c r="O201" i="4"/>
  <c r="I201" i="4"/>
  <c r="V200" i="4"/>
  <c r="R200" i="4"/>
  <c r="O200" i="4"/>
  <c r="I200" i="4"/>
  <c r="V199" i="4"/>
  <c r="R199" i="4"/>
  <c r="O199" i="4"/>
  <c r="V198" i="4"/>
  <c r="R198" i="4"/>
  <c r="O198" i="4"/>
  <c r="I198" i="4"/>
  <c r="V197" i="4"/>
  <c r="R197" i="4"/>
  <c r="O197" i="4"/>
  <c r="I197" i="4"/>
  <c r="V196" i="4"/>
  <c r="R196" i="4"/>
  <c r="O196" i="4"/>
  <c r="I196" i="4"/>
  <c r="V195" i="4"/>
  <c r="R195" i="4"/>
  <c r="O195" i="4"/>
  <c r="I195" i="4"/>
  <c r="V194" i="4"/>
  <c r="R194" i="4"/>
  <c r="O194" i="4"/>
  <c r="I194" i="4"/>
  <c r="V193" i="4"/>
  <c r="R193" i="4"/>
  <c r="O193" i="4"/>
  <c r="I193" i="4"/>
  <c r="V192" i="4"/>
  <c r="R192" i="4"/>
  <c r="O192" i="4"/>
  <c r="I192" i="4"/>
  <c r="V191" i="4"/>
  <c r="R191" i="4"/>
  <c r="O191" i="4"/>
  <c r="I191" i="4"/>
  <c r="V190" i="4"/>
  <c r="R190" i="4"/>
  <c r="O190" i="4"/>
  <c r="I190" i="4"/>
  <c r="V189" i="4"/>
  <c r="R189" i="4"/>
  <c r="O189" i="4"/>
  <c r="I189" i="4"/>
  <c r="V188" i="4"/>
  <c r="R188" i="4"/>
  <c r="O188" i="4"/>
  <c r="I188" i="4"/>
  <c r="V187" i="4"/>
  <c r="R187" i="4"/>
  <c r="O187" i="4"/>
  <c r="I187" i="4"/>
  <c r="V186" i="4"/>
  <c r="R186" i="4"/>
  <c r="O186" i="4"/>
  <c r="I186" i="4"/>
  <c r="V185" i="4"/>
  <c r="R185" i="4"/>
  <c r="O185" i="4"/>
  <c r="I185" i="4"/>
  <c r="V184" i="4"/>
  <c r="R184" i="4"/>
  <c r="O184" i="4"/>
  <c r="I184" i="4"/>
  <c r="V183" i="4"/>
  <c r="R183" i="4"/>
  <c r="O183" i="4"/>
  <c r="I183" i="4"/>
  <c r="V182" i="4"/>
  <c r="R182" i="4"/>
  <c r="O182" i="4"/>
  <c r="V181" i="4"/>
  <c r="R181" i="4"/>
  <c r="O181" i="4"/>
  <c r="I181" i="4"/>
  <c r="V180" i="4"/>
  <c r="R180" i="4"/>
  <c r="O180" i="4"/>
  <c r="I180" i="4"/>
  <c r="V179" i="4"/>
  <c r="R179" i="4"/>
  <c r="O179" i="4"/>
  <c r="I179" i="4"/>
  <c r="V178" i="4"/>
  <c r="R178" i="4"/>
  <c r="O178" i="4"/>
  <c r="I178" i="4"/>
  <c r="V177" i="4"/>
  <c r="R177" i="4"/>
  <c r="O177" i="4"/>
  <c r="I177" i="4"/>
  <c r="V176" i="4"/>
  <c r="R176" i="4"/>
  <c r="O176" i="4"/>
  <c r="V175" i="4"/>
  <c r="R175" i="4"/>
  <c r="O175" i="4"/>
  <c r="I175" i="4"/>
  <c r="V174" i="4"/>
  <c r="R174" i="4"/>
  <c r="O174" i="4"/>
  <c r="I174" i="4"/>
  <c r="V173" i="4"/>
  <c r="R173" i="4"/>
  <c r="O173" i="4"/>
  <c r="I173" i="4"/>
  <c r="V172" i="4"/>
  <c r="R172" i="4"/>
  <c r="O172" i="4"/>
  <c r="V171" i="4"/>
  <c r="R171" i="4"/>
  <c r="O171" i="4"/>
  <c r="I171" i="4"/>
  <c r="V170" i="4"/>
  <c r="R170" i="4"/>
  <c r="O170" i="4"/>
  <c r="I170" i="4"/>
  <c r="V169" i="4"/>
  <c r="R169" i="4"/>
  <c r="O169" i="4"/>
  <c r="I169" i="4"/>
  <c r="V168" i="4"/>
  <c r="R168" i="4"/>
  <c r="O168" i="4"/>
  <c r="I168" i="4"/>
  <c r="V167" i="4"/>
  <c r="R167" i="4"/>
  <c r="O167" i="4"/>
  <c r="I167" i="4"/>
  <c r="V166" i="4"/>
  <c r="R166" i="4"/>
  <c r="O166" i="4"/>
  <c r="I166" i="4"/>
  <c r="V165" i="4"/>
  <c r="R165" i="4"/>
  <c r="O165" i="4"/>
  <c r="I165" i="4"/>
  <c r="V164" i="4"/>
  <c r="R164" i="4"/>
  <c r="O164" i="4"/>
  <c r="I164" i="4"/>
  <c r="V163" i="4"/>
  <c r="R163" i="4"/>
  <c r="O163" i="4"/>
  <c r="I163" i="4"/>
  <c r="V162" i="4"/>
  <c r="R162" i="4"/>
  <c r="O162" i="4"/>
  <c r="I162" i="4"/>
  <c r="V161" i="4"/>
  <c r="R161" i="4"/>
  <c r="O161" i="4"/>
  <c r="I161" i="4"/>
  <c r="V160" i="4"/>
  <c r="R160" i="4"/>
  <c r="O160" i="4"/>
  <c r="I160" i="4"/>
  <c r="V159" i="4"/>
  <c r="R159" i="4"/>
  <c r="O159" i="4"/>
  <c r="I159" i="4"/>
  <c r="V158" i="4"/>
  <c r="R158" i="4"/>
  <c r="O158" i="4"/>
  <c r="V157" i="4"/>
  <c r="R157" i="4"/>
  <c r="O157" i="4"/>
  <c r="I157" i="4"/>
  <c r="V156" i="4"/>
  <c r="R156" i="4"/>
  <c r="O156" i="4"/>
  <c r="I156" i="4"/>
  <c r="V155" i="4"/>
  <c r="R155" i="4"/>
  <c r="O155" i="4"/>
  <c r="I155" i="4"/>
  <c r="V154" i="4"/>
  <c r="R154" i="4"/>
  <c r="O154" i="4"/>
  <c r="I154" i="4"/>
  <c r="V153" i="4"/>
  <c r="R153" i="4"/>
  <c r="O153" i="4"/>
  <c r="I153" i="4"/>
  <c r="V152" i="4"/>
  <c r="R152" i="4"/>
  <c r="O152" i="4"/>
  <c r="I152" i="4"/>
  <c r="V151" i="4"/>
  <c r="R151" i="4"/>
  <c r="O151" i="4"/>
  <c r="I151" i="4"/>
  <c r="V150" i="4"/>
  <c r="R150" i="4"/>
  <c r="O150" i="4"/>
  <c r="I150" i="4"/>
  <c r="V149" i="4"/>
  <c r="R149" i="4"/>
  <c r="O149" i="4"/>
  <c r="I149" i="4"/>
  <c r="V148" i="4"/>
  <c r="R148" i="4"/>
  <c r="O148" i="4"/>
  <c r="I148" i="4"/>
  <c r="V147" i="4"/>
  <c r="R147" i="4"/>
  <c r="O147" i="4"/>
  <c r="I147" i="4"/>
  <c r="V146" i="4"/>
  <c r="R146" i="4"/>
  <c r="O146" i="4"/>
  <c r="I146" i="4"/>
  <c r="V145" i="4"/>
  <c r="R145" i="4"/>
  <c r="O145" i="4"/>
  <c r="I145" i="4"/>
  <c r="V144" i="4"/>
  <c r="R144" i="4"/>
  <c r="O144" i="4"/>
  <c r="I144" i="4"/>
  <c r="V143" i="4"/>
  <c r="R143" i="4"/>
  <c r="O143" i="4"/>
  <c r="I143" i="4"/>
  <c r="V142" i="4"/>
  <c r="R142" i="4"/>
  <c r="O142" i="4"/>
  <c r="I142" i="4"/>
  <c r="V141" i="4"/>
  <c r="R141" i="4"/>
  <c r="O141" i="4"/>
  <c r="V140" i="4"/>
  <c r="R140" i="4"/>
  <c r="O140" i="4"/>
  <c r="I140" i="4"/>
  <c r="V139" i="4"/>
  <c r="R139" i="4"/>
  <c r="O139" i="4"/>
  <c r="I139" i="4"/>
  <c r="V138" i="4"/>
  <c r="R138" i="4"/>
  <c r="O138" i="4"/>
  <c r="I138" i="4"/>
  <c r="V137" i="4"/>
  <c r="R137" i="4"/>
  <c r="O137" i="4"/>
  <c r="V136" i="4"/>
  <c r="R136" i="4"/>
  <c r="O136" i="4"/>
  <c r="V135" i="4"/>
  <c r="R135" i="4"/>
  <c r="O135" i="4"/>
  <c r="I135" i="4"/>
  <c r="V134" i="4"/>
  <c r="R134" i="4"/>
  <c r="O134" i="4"/>
  <c r="I134" i="4"/>
  <c r="V133" i="4"/>
  <c r="R133" i="4"/>
  <c r="O133" i="4"/>
  <c r="I133" i="4"/>
  <c r="V132" i="4"/>
  <c r="R132" i="4"/>
  <c r="O132" i="4"/>
  <c r="I132" i="4"/>
  <c r="V131" i="4"/>
  <c r="R131" i="4"/>
  <c r="O131" i="4"/>
  <c r="I131" i="4"/>
  <c r="V130" i="4"/>
  <c r="R130" i="4"/>
  <c r="O130" i="4"/>
  <c r="I130" i="4"/>
  <c r="V129" i="4"/>
  <c r="R129" i="4"/>
  <c r="O129" i="4"/>
  <c r="I129" i="4"/>
  <c r="V128" i="4"/>
  <c r="R128" i="4"/>
  <c r="O128" i="4"/>
  <c r="I128" i="4"/>
  <c r="V127" i="4"/>
  <c r="R127" i="4"/>
  <c r="O127" i="4"/>
  <c r="I127" i="4"/>
  <c r="V126" i="4"/>
  <c r="R126" i="4"/>
  <c r="O126" i="4"/>
  <c r="I126" i="4"/>
  <c r="V125" i="4"/>
  <c r="R125" i="4"/>
  <c r="O125" i="4"/>
  <c r="I125" i="4"/>
  <c r="V124" i="4"/>
  <c r="R124" i="4"/>
  <c r="O124" i="4"/>
  <c r="I124" i="4"/>
  <c r="V123" i="4"/>
  <c r="R123" i="4"/>
  <c r="O123" i="4"/>
  <c r="I123" i="4"/>
  <c r="V122" i="4"/>
  <c r="R122" i="4"/>
  <c r="O122" i="4"/>
  <c r="I122" i="4"/>
  <c r="V121" i="4"/>
  <c r="R121" i="4"/>
  <c r="O121" i="4"/>
  <c r="I121" i="4"/>
  <c r="V120" i="4"/>
  <c r="R120" i="4"/>
  <c r="O120" i="4"/>
  <c r="I120" i="4"/>
  <c r="V119" i="4"/>
  <c r="R119" i="4"/>
  <c r="O119" i="4"/>
  <c r="I119" i="4"/>
  <c r="V118" i="4"/>
  <c r="R118" i="4"/>
  <c r="O118" i="4"/>
  <c r="I118" i="4"/>
  <c r="V117" i="4"/>
  <c r="R117" i="4"/>
  <c r="O117" i="4"/>
  <c r="I117" i="4"/>
  <c r="V116" i="4"/>
  <c r="R116" i="4"/>
  <c r="O116" i="4"/>
  <c r="I116" i="4"/>
  <c r="V115" i="4"/>
  <c r="R115" i="4"/>
  <c r="O115" i="4"/>
  <c r="I115" i="4"/>
  <c r="V114" i="4"/>
  <c r="R114" i="4"/>
  <c r="O114" i="4"/>
  <c r="I114" i="4"/>
  <c r="V113" i="4"/>
  <c r="R113" i="4"/>
  <c r="O113" i="4"/>
  <c r="I113" i="4"/>
  <c r="V112" i="4"/>
  <c r="R112" i="4"/>
  <c r="O112" i="4"/>
  <c r="I112" i="4"/>
  <c r="V111" i="4"/>
  <c r="R111" i="4"/>
  <c r="O111" i="4"/>
  <c r="I111" i="4"/>
  <c r="V110" i="4"/>
  <c r="R110" i="4"/>
  <c r="O110" i="4"/>
  <c r="I110" i="4"/>
  <c r="V109" i="4"/>
  <c r="R109" i="4"/>
  <c r="O109" i="4"/>
  <c r="I109" i="4"/>
  <c r="V108" i="4"/>
  <c r="R108" i="4"/>
  <c r="O108" i="4"/>
  <c r="I108" i="4"/>
  <c r="V107" i="4"/>
  <c r="R107" i="4"/>
  <c r="O107" i="4"/>
  <c r="I107" i="4"/>
  <c r="V106" i="4"/>
  <c r="R106" i="4"/>
  <c r="O106" i="4"/>
  <c r="I106" i="4"/>
  <c r="V105" i="4"/>
  <c r="R105" i="4"/>
  <c r="O105" i="4"/>
  <c r="I105" i="4"/>
  <c r="V104" i="4"/>
  <c r="R104" i="4"/>
  <c r="O104" i="4"/>
  <c r="I104" i="4"/>
  <c r="V103" i="4"/>
  <c r="R103" i="4"/>
  <c r="O103" i="4"/>
  <c r="I103" i="4"/>
  <c r="V102" i="4"/>
  <c r="R102" i="4"/>
  <c r="O102" i="4"/>
  <c r="I102" i="4"/>
  <c r="V101" i="4"/>
  <c r="R101" i="4"/>
  <c r="O101" i="4"/>
  <c r="I101" i="4"/>
  <c r="V100" i="4"/>
  <c r="R100" i="4"/>
  <c r="O100" i="4"/>
  <c r="I100" i="4"/>
  <c r="V99" i="4"/>
  <c r="R99" i="4"/>
  <c r="O99" i="4"/>
  <c r="I99" i="4"/>
  <c r="V98" i="4"/>
  <c r="R98" i="4"/>
  <c r="O98" i="4"/>
  <c r="I98" i="4"/>
  <c r="V97" i="4"/>
  <c r="R97" i="4"/>
  <c r="O97" i="4"/>
  <c r="I97" i="4"/>
  <c r="V96" i="4"/>
  <c r="R96" i="4"/>
  <c r="O96" i="4"/>
  <c r="I96" i="4"/>
  <c r="V95" i="4"/>
  <c r="R95" i="4"/>
  <c r="O95" i="4"/>
  <c r="V94" i="4"/>
  <c r="R94" i="4"/>
  <c r="O94" i="4"/>
  <c r="I94" i="4"/>
  <c r="V93" i="4"/>
  <c r="R93" i="4"/>
  <c r="O93" i="4"/>
  <c r="I93" i="4"/>
  <c r="V92" i="4"/>
  <c r="R92" i="4"/>
  <c r="O92" i="4"/>
  <c r="I92" i="4"/>
  <c r="V91" i="4"/>
  <c r="R91" i="4"/>
  <c r="O91" i="4"/>
  <c r="V90" i="4"/>
  <c r="R90" i="4"/>
  <c r="O90" i="4"/>
  <c r="I90" i="4"/>
  <c r="V89" i="4"/>
  <c r="R89" i="4"/>
  <c r="O89" i="4"/>
  <c r="I89" i="4"/>
  <c r="V88" i="4"/>
  <c r="R88" i="4"/>
  <c r="O88" i="4"/>
  <c r="I88" i="4"/>
  <c r="V87" i="4"/>
  <c r="R87" i="4"/>
  <c r="O87" i="4"/>
  <c r="I87" i="4"/>
  <c r="V86" i="4"/>
  <c r="R86" i="4"/>
  <c r="O86" i="4"/>
  <c r="I86" i="4"/>
  <c r="V85" i="4"/>
  <c r="R85" i="4"/>
  <c r="O85" i="4"/>
  <c r="I85" i="4"/>
  <c r="V84" i="4"/>
  <c r="R84" i="4"/>
  <c r="O84" i="4"/>
  <c r="I84" i="4"/>
  <c r="V83" i="4"/>
  <c r="R83" i="4"/>
  <c r="O83" i="4"/>
  <c r="I83" i="4"/>
  <c r="V82" i="4"/>
  <c r="R82" i="4"/>
  <c r="O82" i="4"/>
  <c r="I82" i="4"/>
  <c r="V81" i="4"/>
  <c r="R81" i="4"/>
  <c r="O81" i="4"/>
  <c r="I81" i="4"/>
  <c r="V80" i="4"/>
  <c r="R80" i="4"/>
  <c r="O80" i="4"/>
  <c r="I80" i="4"/>
  <c r="V79" i="4"/>
  <c r="R79" i="4"/>
  <c r="O79" i="4"/>
  <c r="I79" i="4"/>
  <c r="V78" i="4"/>
  <c r="R78" i="4"/>
  <c r="O78" i="4"/>
  <c r="I78" i="4"/>
  <c r="V77" i="4"/>
  <c r="R77" i="4"/>
  <c r="O77" i="4"/>
  <c r="I77" i="4"/>
  <c r="V76" i="4"/>
  <c r="R76" i="4"/>
  <c r="O76" i="4"/>
  <c r="V75" i="4"/>
  <c r="R75" i="4"/>
  <c r="O75" i="4"/>
  <c r="I75" i="4"/>
  <c r="V74" i="4"/>
  <c r="R74" i="4"/>
  <c r="O74" i="4"/>
  <c r="I74" i="4"/>
  <c r="V73" i="4"/>
  <c r="R73" i="4"/>
  <c r="O73" i="4"/>
  <c r="I73" i="4"/>
  <c r="V72" i="4"/>
  <c r="R72" i="4"/>
  <c r="O72" i="4"/>
  <c r="I72" i="4"/>
  <c r="V71" i="4"/>
  <c r="R71" i="4"/>
  <c r="O71" i="4"/>
  <c r="V70" i="4"/>
  <c r="R70" i="4"/>
  <c r="O70" i="4"/>
  <c r="V69" i="4"/>
  <c r="R69" i="4"/>
  <c r="O69" i="4"/>
  <c r="I69" i="4"/>
  <c r="V68" i="4"/>
  <c r="R68" i="4"/>
  <c r="O68" i="4"/>
  <c r="I68" i="4"/>
  <c r="V67" i="4"/>
  <c r="R67" i="4"/>
  <c r="O67" i="4"/>
  <c r="I67" i="4"/>
  <c r="V66" i="4"/>
  <c r="R66" i="4"/>
  <c r="O66" i="4"/>
  <c r="I66" i="4"/>
  <c r="V65" i="4"/>
  <c r="R65" i="4"/>
  <c r="O65" i="4"/>
  <c r="I65" i="4"/>
  <c r="V64" i="4"/>
  <c r="R64" i="4"/>
  <c r="O64" i="4"/>
  <c r="I64" i="4"/>
  <c r="V63" i="4"/>
  <c r="R63" i="4"/>
  <c r="O63" i="4"/>
  <c r="I63" i="4"/>
  <c r="V62" i="4"/>
  <c r="R62" i="4"/>
  <c r="O62" i="4"/>
  <c r="I62" i="4"/>
  <c r="V61" i="4"/>
  <c r="R61" i="4"/>
  <c r="O61" i="4"/>
  <c r="V60" i="4"/>
  <c r="R60" i="4"/>
  <c r="O60" i="4"/>
  <c r="I60" i="4"/>
  <c r="V59" i="4"/>
  <c r="R59" i="4"/>
  <c r="O59" i="4"/>
  <c r="I59" i="4"/>
  <c r="V58" i="4"/>
  <c r="R58" i="4"/>
  <c r="O58" i="4"/>
  <c r="I58" i="4"/>
  <c r="V57" i="4"/>
  <c r="R57" i="4"/>
  <c r="O57" i="4"/>
  <c r="I57" i="4"/>
  <c r="V56" i="4"/>
  <c r="R56" i="4"/>
  <c r="O56" i="4"/>
  <c r="V55" i="4"/>
  <c r="R55" i="4"/>
  <c r="I55" i="4"/>
  <c r="V54" i="4"/>
  <c r="R54" i="4"/>
  <c r="O54" i="4"/>
  <c r="I54" i="4"/>
  <c r="V53" i="4"/>
  <c r="R53" i="4"/>
  <c r="O53" i="4"/>
  <c r="V52" i="4"/>
  <c r="R52" i="4"/>
  <c r="O52" i="4"/>
  <c r="I52" i="4"/>
  <c r="V51" i="4"/>
  <c r="R51" i="4"/>
  <c r="O51" i="4"/>
  <c r="I51" i="4"/>
  <c r="V50" i="4"/>
  <c r="R50" i="4"/>
  <c r="O50" i="4"/>
  <c r="I50" i="4"/>
  <c r="V49" i="4"/>
  <c r="R49" i="4"/>
  <c r="O49" i="4"/>
  <c r="I49" i="4"/>
  <c r="V48" i="4"/>
  <c r="R48" i="4"/>
  <c r="O48" i="4"/>
  <c r="I48" i="4"/>
  <c r="V47" i="4"/>
  <c r="R47" i="4"/>
  <c r="O47" i="4"/>
  <c r="V46" i="4"/>
  <c r="R46" i="4"/>
  <c r="O46" i="4"/>
  <c r="I46" i="4"/>
  <c r="V45" i="4"/>
  <c r="R45" i="4"/>
  <c r="O45" i="4"/>
  <c r="I45" i="4"/>
  <c r="V44" i="4"/>
  <c r="R44" i="4"/>
  <c r="O44" i="4"/>
  <c r="V43" i="4"/>
  <c r="R43" i="4"/>
  <c r="O43" i="4"/>
  <c r="I43" i="4"/>
  <c r="V42" i="4"/>
  <c r="R42" i="4"/>
  <c r="O42" i="4"/>
  <c r="I42" i="4"/>
  <c r="V41" i="4"/>
  <c r="R41" i="4"/>
  <c r="O41" i="4"/>
  <c r="I41" i="4"/>
  <c r="V40" i="4"/>
  <c r="R40" i="4"/>
  <c r="O40" i="4"/>
  <c r="I40" i="4"/>
  <c r="V39" i="4"/>
  <c r="R39" i="4"/>
  <c r="O39" i="4"/>
  <c r="I39" i="4"/>
  <c r="V38" i="4"/>
  <c r="R38" i="4"/>
  <c r="O38" i="4"/>
  <c r="I38" i="4"/>
  <c r="V37" i="4"/>
  <c r="R37" i="4"/>
  <c r="O37" i="4"/>
  <c r="V36" i="4"/>
  <c r="R36" i="4"/>
  <c r="O36" i="4"/>
  <c r="I36" i="4"/>
  <c r="V35" i="4"/>
  <c r="R35" i="4"/>
  <c r="O35" i="4"/>
  <c r="I35" i="4"/>
  <c r="V34" i="4"/>
  <c r="R34" i="4"/>
  <c r="O34" i="4"/>
  <c r="I34" i="4"/>
  <c r="V33" i="4"/>
  <c r="R33" i="4"/>
  <c r="O33" i="4"/>
  <c r="I33" i="4"/>
  <c r="V32" i="4"/>
  <c r="R32" i="4"/>
  <c r="O32" i="4"/>
  <c r="I32" i="4"/>
  <c r="V31" i="4"/>
  <c r="R31" i="4"/>
  <c r="O31" i="4"/>
  <c r="V30" i="4"/>
  <c r="R30" i="4"/>
  <c r="O30" i="4"/>
  <c r="I30" i="4"/>
  <c r="V29" i="4"/>
  <c r="R29" i="4"/>
  <c r="O29" i="4"/>
  <c r="I29" i="4"/>
  <c r="V28" i="4"/>
  <c r="R28" i="4"/>
  <c r="O28" i="4"/>
  <c r="V27" i="4"/>
  <c r="R27" i="4"/>
  <c r="O27" i="4"/>
  <c r="I27" i="4"/>
  <c r="V26" i="4"/>
  <c r="R26" i="4"/>
  <c r="O26" i="4"/>
  <c r="I26" i="4"/>
  <c r="V25" i="4"/>
  <c r="R25" i="4"/>
  <c r="O25" i="4"/>
  <c r="I25" i="4"/>
  <c r="V24" i="4"/>
  <c r="R24" i="4"/>
  <c r="O24" i="4"/>
  <c r="I24" i="4"/>
  <c r="V23" i="4"/>
  <c r="R23" i="4"/>
  <c r="O23" i="4"/>
  <c r="I23" i="4"/>
  <c r="C53" i="3"/>
  <c r="Z337" i="4"/>
  <c r="X39" i="4"/>
  <c r="X111" i="4"/>
  <c r="Y111" i="4"/>
  <c r="X139" i="4"/>
  <c r="Y139" i="4"/>
  <c r="X217" i="4"/>
  <c r="Y217" i="4"/>
  <c r="X227" i="4"/>
  <c r="Y227" i="4"/>
  <c r="X231" i="4"/>
  <c r="Y231" i="4"/>
  <c r="X235" i="4"/>
  <c r="Y235" i="4"/>
  <c r="X344" i="4"/>
  <c r="Y344" i="4"/>
  <c r="X341" i="4"/>
  <c r="Y341" i="4"/>
  <c r="X127" i="4"/>
  <c r="Y127" i="4"/>
  <c r="Z40" i="4"/>
  <c r="Z41" i="4"/>
  <c r="Z44" i="4"/>
  <c r="Z45" i="4"/>
  <c r="Z46" i="4"/>
  <c r="Z48" i="4"/>
  <c r="Z49" i="4"/>
  <c r="Z52" i="4"/>
  <c r="Z53" i="4"/>
  <c r="Z54" i="4"/>
  <c r="Z56" i="4"/>
  <c r="Z57" i="4"/>
  <c r="Z60" i="4"/>
  <c r="Z61" i="4"/>
  <c r="Z62" i="4"/>
  <c r="Z64" i="4"/>
  <c r="Z65" i="4"/>
  <c r="Z68" i="4"/>
  <c r="Z69" i="4"/>
  <c r="Z70" i="4"/>
  <c r="Z72" i="4"/>
  <c r="Z73" i="4"/>
  <c r="Z76" i="4"/>
  <c r="Z77" i="4"/>
  <c r="Z78" i="4"/>
  <c r="Z80" i="4"/>
  <c r="Z81" i="4"/>
  <c r="Z84" i="4"/>
  <c r="Z85" i="4"/>
  <c r="Z86" i="4"/>
  <c r="Z88" i="4"/>
  <c r="Z89" i="4"/>
  <c r="Z92" i="4"/>
  <c r="Z93" i="4"/>
  <c r="Z94" i="4"/>
  <c r="Z96" i="4"/>
  <c r="Z97" i="4"/>
  <c r="Z100" i="4"/>
  <c r="Z101" i="4"/>
  <c r="Z102" i="4"/>
  <c r="Z104" i="4"/>
  <c r="Z105" i="4"/>
  <c r="Z108" i="4"/>
  <c r="Z109" i="4"/>
  <c r="Z110" i="4"/>
  <c r="Z112" i="4"/>
  <c r="Z113" i="4"/>
  <c r="Z116" i="4"/>
  <c r="Z117" i="4"/>
  <c r="Z118" i="4"/>
  <c r="Z120" i="4"/>
  <c r="Z121" i="4"/>
  <c r="Z124" i="4"/>
  <c r="Z125" i="4"/>
  <c r="Z126" i="4"/>
  <c r="Z128" i="4"/>
  <c r="Z129" i="4"/>
  <c r="Z132" i="4"/>
  <c r="Z133" i="4"/>
  <c r="Z134" i="4"/>
  <c r="Z136" i="4"/>
  <c r="Z137" i="4"/>
  <c r="Z140" i="4"/>
  <c r="Z141" i="4"/>
  <c r="Z142" i="4"/>
  <c r="Z144" i="4"/>
  <c r="Z145" i="4"/>
  <c r="Z148" i="4"/>
  <c r="Z149" i="4"/>
  <c r="Z150" i="4"/>
  <c r="Z152" i="4"/>
  <c r="Z153" i="4"/>
  <c r="Z154" i="4"/>
  <c r="Z155" i="4"/>
  <c r="Z156" i="4"/>
  <c r="Z158" i="4"/>
  <c r="Z159" i="4"/>
  <c r="Z160" i="4"/>
  <c r="Z161" i="4"/>
  <c r="Z162" i="4"/>
  <c r="Z163" i="4"/>
  <c r="Z164" i="4"/>
  <c r="Z166" i="4"/>
  <c r="Z167" i="4"/>
  <c r="Z168" i="4"/>
  <c r="Z169" i="4"/>
  <c r="Z170" i="4"/>
  <c r="Z171" i="4"/>
  <c r="Z172" i="4"/>
  <c r="Z174" i="4"/>
  <c r="Z175" i="4"/>
  <c r="Z176" i="4"/>
  <c r="Z177" i="4"/>
  <c r="Z178" i="4"/>
  <c r="Z179" i="4"/>
  <c r="Z180" i="4"/>
  <c r="Z182" i="4"/>
  <c r="Z183" i="4"/>
  <c r="Z184" i="4"/>
  <c r="Z185" i="4"/>
  <c r="Z186" i="4"/>
  <c r="Z187" i="4"/>
  <c r="Z188" i="4"/>
  <c r="Z190" i="4"/>
  <c r="Z191" i="4"/>
  <c r="Z192" i="4"/>
  <c r="Z193" i="4"/>
  <c r="Z194" i="4"/>
  <c r="Z196" i="4"/>
  <c r="Z198" i="4"/>
  <c r="Z200" i="4"/>
  <c r="Z201" i="4"/>
  <c r="Z202" i="4"/>
  <c r="Z204" i="4"/>
  <c r="Z206" i="4"/>
  <c r="Z208" i="4"/>
  <c r="Z209" i="4"/>
  <c r="Z210" i="4"/>
  <c r="Z212" i="4"/>
  <c r="Z213" i="4"/>
  <c r="Z214" i="4"/>
  <c r="Z216" i="4"/>
  <c r="Z217" i="4"/>
  <c r="Z218" i="4"/>
  <c r="Z220" i="4"/>
  <c r="Z222" i="4"/>
  <c r="Z224" i="4"/>
  <c r="Z225" i="4"/>
  <c r="Z226" i="4"/>
  <c r="Z228" i="4"/>
  <c r="Z229" i="4"/>
  <c r="Z230" i="4"/>
  <c r="Z232" i="4"/>
  <c r="Z233" i="4"/>
  <c r="Z234" i="4"/>
  <c r="Z236" i="4"/>
  <c r="Z238" i="4"/>
  <c r="Z240" i="4"/>
  <c r="Z277" i="4"/>
  <c r="X120" i="4"/>
  <c r="Y120" i="4"/>
  <c r="X123" i="4"/>
  <c r="Y123" i="4"/>
  <c r="X124" i="4"/>
  <c r="Y124" i="4"/>
  <c r="Z23" i="4"/>
  <c r="Z24" i="4"/>
  <c r="Z25" i="4"/>
  <c r="Z27" i="4"/>
  <c r="Z28" i="4"/>
  <c r="Z29" i="4"/>
  <c r="Z31" i="4"/>
  <c r="Z32" i="4"/>
  <c r="Z33" i="4"/>
  <c r="Z35" i="4"/>
  <c r="Z36" i="4"/>
  <c r="Z37" i="4"/>
  <c r="Z39" i="4"/>
  <c r="X47" i="4"/>
  <c r="Y47" i="4"/>
  <c r="X71" i="4"/>
  <c r="Y71" i="4"/>
  <c r="X87" i="4"/>
  <c r="Y87" i="4"/>
  <c r="X29" i="4"/>
  <c r="Y29" i="4"/>
  <c r="X119" i="4"/>
  <c r="Y119" i="4"/>
  <c r="X148" i="4"/>
  <c r="Y148" i="4"/>
  <c r="X150" i="4"/>
  <c r="Y150" i="4"/>
  <c r="X27" i="4"/>
  <c r="Y27" i="4"/>
  <c r="X31" i="4"/>
  <c r="Y31" i="4"/>
  <c r="X33" i="4"/>
  <c r="Y33" i="4"/>
  <c r="X23" i="4"/>
  <c r="Y23" i="4"/>
  <c r="X59" i="4"/>
  <c r="Y59" i="4"/>
  <c r="X63" i="4"/>
  <c r="Y63" i="4"/>
  <c r="X79" i="4"/>
  <c r="Y79" i="4"/>
  <c r="X83" i="4"/>
  <c r="Y83" i="4"/>
  <c r="X99" i="4"/>
  <c r="Y99" i="4"/>
  <c r="X103" i="4"/>
  <c r="Y103" i="4"/>
  <c r="X147" i="4"/>
  <c r="Y147" i="4"/>
  <c r="X337" i="4"/>
  <c r="Y337" i="4"/>
  <c r="X48" i="4"/>
  <c r="Y48" i="4"/>
  <c r="X55" i="4"/>
  <c r="Y55" i="4"/>
  <c r="X72" i="4"/>
  <c r="Y72" i="4"/>
  <c r="X88" i="4"/>
  <c r="Y88" i="4"/>
  <c r="X95" i="4"/>
  <c r="Y95" i="4"/>
  <c r="X135" i="4"/>
  <c r="Y135" i="4"/>
  <c r="X237" i="4"/>
  <c r="Y237" i="4"/>
  <c r="X56" i="4"/>
  <c r="Y56" i="4"/>
  <c r="X96" i="4"/>
  <c r="Y96" i="4"/>
  <c r="X98" i="4"/>
  <c r="Y98" i="4"/>
  <c r="X128" i="4"/>
  <c r="Y128" i="4"/>
  <c r="X131" i="4"/>
  <c r="Y131" i="4"/>
  <c r="X132" i="4"/>
  <c r="Y132" i="4"/>
  <c r="X153" i="4"/>
  <c r="Y153" i="4"/>
  <c r="X195" i="4"/>
  <c r="Y195" i="4"/>
  <c r="X28" i="4"/>
  <c r="Y28" i="4"/>
  <c r="X43" i="4"/>
  <c r="Y43" i="4"/>
  <c r="X64" i="4"/>
  <c r="Y64" i="4"/>
  <c r="X67" i="4"/>
  <c r="Y67" i="4"/>
  <c r="X80" i="4"/>
  <c r="Y80" i="4"/>
  <c r="X104" i="4"/>
  <c r="Y104" i="4"/>
  <c r="X107" i="4"/>
  <c r="Y107" i="4"/>
  <c r="X108" i="4"/>
  <c r="Y108" i="4"/>
  <c r="X136" i="4"/>
  <c r="Y136" i="4"/>
  <c r="X137" i="4"/>
  <c r="Y137" i="4"/>
  <c r="X213" i="4"/>
  <c r="Y213" i="4"/>
  <c r="X223" i="4"/>
  <c r="Y223" i="4"/>
  <c r="X26" i="4"/>
  <c r="Y26" i="4"/>
  <c r="X35" i="4"/>
  <c r="Y35" i="4"/>
  <c r="X51" i="4"/>
  <c r="Y51" i="4"/>
  <c r="X75" i="4"/>
  <c r="Y75" i="4"/>
  <c r="X91" i="4"/>
  <c r="Y91" i="4"/>
  <c r="X112" i="4"/>
  <c r="Y112" i="4"/>
  <c r="X115" i="4"/>
  <c r="Y115" i="4"/>
  <c r="X116" i="4"/>
  <c r="Y116" i="4"/>
  <c r="X140" i="4"/>
  <c r="Y140" i="4"/>
  <c r="X142" i="4"/>
  <c r="Y142" i="4"/>
  <c r="X145" i="4"/>
  <c r="Y145" i="4"/>
  <c r="X177" i="4"/>
  <c r="Y177" i="4"/>
  <c r="X193" i="4"/>
  <c r="Y193" i="4"/>
  <c r="X338" i="4"/>
  <c r="Y338" i="4"/>
  <c r="X339" i="4"/>
  <c r="Y339" i="4"/>
  <c r="X342" i="4"/>
  <c r="Y342" i="4"/>
  <c r="X343" i="4"/>
  <c r="Y343" i="4"/>
  <c r="X24" i="4"/>
  <c r="Y24" i="4"/>
  <c r="X40" i="4"/>
  <c r="Y40" i="4"/>
  <c r="X42" i="4"/>
  <c r="Y42" i="4"/>
  <c r="X45" i="4"/>
  <c r="Y45" i="4"/>
  <c r="X50" i="4"/>
  <c r="Y50" i="4"/>
  <c r="X58" i="4"/>
  <c r="Y58" i="4"/>
  <c r="X61" i="4"/>
  <c r="Y61" i="4"/>
  <c r="X66" i="4"/>
  <c r="Y66" i="4"/>
  <c r="X74" i="4"/>
  <c r="Y74" i="4"/>
  <c r="X77" i="4"/>
  <c r="Y77" i="4"/>
  <c r="X82" i="4"/>
  <c r="Y82" i="4"/>
  <c r="X85" i="4"/>
  <c r="Y85" i="4"/>
  <c r="X90" i="4"/>
  <c r="Y90" i="4"/>
  <c r="X25" i="4"/>
  <c r="Y25" i="4"/>
  <c r="X34" i="4"/>
  <c r="Y34" i="4"/>
  <c r="X36" i="4"/>
  <c r="Y36" i="4"/>
  <c r="X41" i="4"/>
  <c r="Y41" i="4"/>
  <c r="X44" i="4"/>
  <c r="Y44" i="4"/>
  <c r="X52" i="4"/>
  <c r="Y52" i="4"/>
  <c r="X60" i="4"/>
  <c r="Y60" i="4"/>
  <c r="X68" i="4"/>
  <c r="Y68" i="4"/>
  <c r="X76" i="4"/>
  <c r="Y76" i="4"/>
  <c r="X84" i="4"/>
  <c r="Y84" i="4"/>
  <c r="X92" i="4"/>
  <c r="Y92" i="4"/>
  <c r="Z98" i="4"/>
  <c r="X38" i="4"/>
  <c r="Y38" i="4"/>
  <c r="X53" i="4"/>
  <c r="Y53" i="4"/>
  <c r="X69" i="4"/>
  <c r="Y69" i="4"/>
  <c r="X93" i="4"/>
  <c r="Y93" i="4"/>
  <c r="X30" i="4"/>
  <c r="Y30" i="4"/>
  <c r="X32" i="4"/>
  <c r="Y32" i="4"/>
  <c r="X37" i="4"/>
  <c r="Y37" i="4"/>
  <c r="Z42" i="4"/>
  <c r="X46" i="4"/>
  <c r="Y46" i="4"/>
  <c r="X49" i="4"/>
  <c r="Y49" i="4"/>
  <c r="Z50" i="4"/>
  <c r="X54" i="4"/>
  <c r="Y54" i="4"/>
  <c r="X57" i="4"/>
  <c r="Y57" i="4"/>
  <c r="Z58" i="4"/>
  <c r="X62" i="4"/>
  <c r="Y62" i="4"/>
  <c r="X65" i="4"/>
  <c r="Y65" i="4"/>
  <c r="Z66" i="4"/>
  <c r="X70" i="4"/>
  <c r="Y70" i="4"/>
  <c r="X73" i="4"/>
  <c r="Y73" i="4"/>
  <c r="Z74" i="4"/>
  <c r="X78" i="4"/>
  <c r="Y78" i="4"/>
  <c r="X81" i="4"/>
  <c r="Y81" i="4"/>
  <c r="Z82" i="4"/>
  <c r="X86" i="4"/>
  <c r="Y86" i="4"/>
  <c r="X89" i="4"/>
  <c r="Y89" i="4"/>
  <c r="Z90" i="4"/>
  <c r="X94" i="4"/>
  <c r="Y94" i="4"/>
  <c r="X97" i="4"/>
  <c r="Y97" i="4"/>
  <c r="X101" i="4"/>
  <c r="Y101" i="4"/>
  <c r="X106" i="4"/>
  <c r="Y106" i="4"/>
  <c r="X109" i="4"/>
  <c r="Y109" i="4"/>
  <c r="X114" i="4"/>
  <c r="Y114" i="4"/>
  <c r="X117" i="4"/>
  <c r="Y117" i="4"/>
  <c r="X122" i="4"/>
  <c r="Y122" i="4"/>
  <c r="X125" i="4"/>
  <c r="Y125" i="4"/>
  <c r="X130" i="4"/>
  <c r="Y130" i="4"/>
  <c r="X133" i="4"/>
  <c r="Y133" i="4"/>
  <c r="Z138" i="4"/>
  <c r="X143" i="4"/>
  <c r="Y143" i="4"/>
  <c r="X161" i="4"/>
  <c r="Y161" i="4"/>
  <c r="X167" i="4"/>
  <c r="Y167" i="4"/>
  <c r="X178" i="4"/>
  <c r="Y178" i="4"/>
  <c r="X181" i="4"/>
  <c r="Y181" i="4"/>
  <c r="X185" i="4"/>
  <c r="Y185" i="4"/>
  <c r="X196" i="4"/>
  <c r="Y196" i="4"/>
  <c r="X199" i="4"/>
  <c r="Y199" i="4"/>
  <c r="X219" i="4"/>
  <c r="Y219" i="4"/>
  <c r="X232" i="4"/>
  <c r="Y232" i="4"/>
  <c r="X240" i="4"/>
  <c r="Y240" i="4"/>
  <c r="X100" i="4"/>
  <c r="Y100" i="4"/>
  <c r="X102" i="4"/>
  <c r="Y102" i="4"/>
  <c r="X105" i="4"/>
  <c r="Y105" i="4"/>
  <c r="Z106" i="4"/>
  <c r="X110" i="4"/>
  <c r="Y110" i="4"/>
  <c r="X113" i="4"/>
  <c r="Y113" i="4"/>
  <c r="Z114" i="4"/>
  <c r="X118" i="4"/>
  <c r="Y118" i="4"/>
  <c r="X121" i="4"/>
  <c r="Y121" i="4"/>
  <c r="Z122" i="4"/>
  <c r="X126" i="4"/>
  <c r="Y126" i="4"/>
  <c r="X129" i="4"/>
  <c r="Y129" i="4"/>
  <c r="Z130" i="4"/>
  <c r="X134" i="4"/>
  <c r="Y134" i="4"/>
  <c r="Z146" i="4"/>
  <c r="X151" i="4"/>
  <c r="Y151" i="4"/>
  <c r="X165" i="4"/>
  <c r="Y165" i="4"/>
  <c r="X169" i="4"/>
  <c r="Y169" i="4"/>
  <c r="X183" i="4"/>
  <c r="Y183" i="4"/>
  <c r="X197" i="4"/>
  <c r="Y197" i="4"/>
  <c r="X203" i="4"/>
  <c r="Y203" i="4"/>
  <c r="X211" i="4"/>
  <c r="Y211" i="4"/>
  <c r="X239" i="4"/>
  <c r="Y239" i="4"/>
  <c r="X340" i="4"/>
  <c r="Y340" i="4"/>
  <c r="X144" i="4"/>
  <c r="Y144" i="4"/>
  <c r="X155" i="4"/>
  <c r="Y155" i="4"/>
  <c r="X157" i="4"/>
  <c r="Y157" i="4"/>
  <c r="X160" i="4"/>
  <c r="Y160" i="4"/>
  <c r="X163" i="4"/>
  <c r="Y163" i="4"/>
  <c r="X166" i="4"/>
  <c r="Y166" i="4"/>
  <c r="X182" i="4"/>
  <c r="Y182" i="4"/>
  <c r="X205" i="4"/>
  <c r="Y205" i="4"/>
  <c r="X207" i="4"/>
  <c r="Y207" i="4"/>
  <c r="X210" i="4"/>
  <c r="Y210" i="4"/>
  <c r="X212" i="4"/>
  <c r="Y212" i="4"/>
  <c r="X229" i="4"/>
  <c r="Y229" i="4"/>
  <c r="X233" i="4"/>
  <c r="Y233" i="4"/>
  <c r="X138" i="4"/>
  <c r="Y138" i="4"/>
  <c r="X141" i="4"/>
  <c r="Y141" i="4"/>
  <c r="X146" i="4"/>
  <c r="Y146" i="4"/>
  <c r="X149" i="4"/>
  <c r="Y149" i="4"/>
  <c r="X171" i="4"/>
  <c r="Y171" i="4"/>
  <c r="X173" i="4"/>
  <c r="Y173" i="4"/>
  <c r="X176" i="4"/>
  <c r="Y176" i="4"/>
  <c r="X179" i="4"/>
  <c r="Y179" i="4"/>
  <c r="X187" i="4"/>
  <c r="Y187" i="4"/>
  <c r="Y189" i="4"/>
  <c r="X192" i="4"/>
  <c r="Y192" i="4"/>
  <c r="X201" i="4"/>
  <c r="Y201" i="4"/>
  <c r="X215" i="4"/>
  <c r="Y215" i="4"/>
  <c r="X221" i="4"/>
  <c r="Y221" i="4"/>
  <c r="X226" i="4"/>
  <c r="Y226" i="4"/>
  <c r="X228" i="4"/>
  <c r="Y228" i="4"/>
  <c r="Z43" i="4"/>
  <c r="Z47" i="4"/>
  <c r="Z51" i="4"/>
  <c r="Z55" i="4"/>
  <c r="Z59" i="4"/>
  <c r="Z63" i="4"/>
  <c r="Z67" i="4"/>
  <c r="Z71" i="4"/>
  <c r="Z75" i="4"/>
  <c r="Z79" i="4"/>
  <c r="Z83" i="4"/>
  <c r="Z87" i="4"/>
  <c r="Z91" i="4"/>
  <c r="Z95" i="4"/>
  <c r="Z99" i="4"/>
  <c r="Z103" i="4"/>
  <c r="Z107" i="4"/>
  <c r="Z111" i="4"/>
  <c r="Z115" i="4"/>
  <c r="Z119" i="4"/>
  <c r="Z123" i="4"/>
  <c r="Z127" i="4"/>
  <c r="Z131" i="4"/>
  <c r="Z135" i="4"/>
  <c r="Z139" i="4"/>
  <c r="Z143" i="4"/>
  <c r="Z147" i="4"/>
  <c r="Z151" i="4"/>
  <c r="Z181" i="4"/>
  <c r="Z197" i="4"/>
  <c r="Z211" i="4"/>
  <c r="Z227" i="4"/>
  <c r="Z26" i="4"/>
  <c r="Z30" i="4"/>
  <c r="Z34" i="4"/>
  <c r="Z38" i="4"/>
  <c r="Y39" i="4"/>
  <c r="X154" i="4"/>
  <c r="Y154" i="4"/>
  <c r="Z157" i="4"/>
  <c r="X159" i="4"/>
  <c r="Y159" i="4"/>
  <c r="X162" i="4"/>
  <c r="Y162" i="4"/>
  <c r="Z165" i="4"/>
  <c r="X170" i="4"/>
  <c r="Y170" i="4"/>
  <c r="Z173" i="4"/>
  <c r="X175" i="4"/>
  <c r="Y175" i="4"/>
  <c r="Z219" i="4"/>
  <c r="Z231" i="4"/>
  <c r="Z235" i="4"/>
  <c r="X186" i="4"/>
  <c r="Y186" i="4"/>
  <c r="Z189" i="4"/>
  <c r="X191" i="4"/>
  <c r="Y191" i="4"/>
  <c r="X194" i="4"/>
  <c r="Y194" i="4"/>
  <c r="Z199" i="4"/>
  <c r="X200" i="4"/>
  <c r="Y200" i="4"/>
  <c r="X208" i="4"/>
  <c r="Y208" i="4"/>
  <c r="X152" i="4"/>
  <c r="Y152" i="4"/>
  <c r="X158" i="4"/>
  <c r="Y158" i="4"/>
  <c r="X168" i="4"/>
  <c r="Y168" i="4"/>
  <c r="Z195" i="4"/>
  <c r="Z203" i="4"/>
  <c r="Z215" i="4"/>
  <c r="X216" i="4"/>
  <c r="Y216" i="4"/>
  <c r="X224" i="4"/>
  <c r="Y224" i="4"/>
  <c r="X156" i="4"/>
  <c r="Y156" i="4"/>
  <c r="X164" i="4"/>
  <c r="Y164" i="4"/>
  <c r="X174" i="4"/>
  <c r="Y174" i="4"/>
  <c r="X184" i="4"/>
  <c r="Y184" i="4"/>
  <c r="X190" i="4"/>
  <c r="Y190" i="4"/>
  <c r="X202" i="4"/>
  <c r="Y202" i="4"/>
  <c r="Z205" i="4"/>
  <c r="X218" i="4"/>
  <c r="Y218" i="4"/>
  <c r="Z221" i="4"/>
  <c r="X234" i="4"/>
  <c r="Y234" i="4"/>
  <c r="Z237" i="4"/>
  <c r="X277" i="4"/>
  <c r="Y277" i="4"/>
  <c r="X172" i="4"/>
  <c r="Y172" i="4"/>
  <c r="X180" i="4"/>
  <c r="Y180" i="4"/>
  <c r="Y188" i="4"/>
  <c r="X204" i="4"/>
  <c r="Y204" i="4"/>
  <c r="Z207" i="4"/>
  <c r="X209" i="4"/>
  <c r="Y209" i="4"/>
  <c r="X220" i="4"/>
  <c r="Y220" i="4"/>
  <c r="Z223" i="4"/>
  <c r="X225" i="4"/>
  <c r="Y225" i="4"/>
  <c r="X236" i="4"/>
  <c r="Y236" i="4"/>
  <c r="Z239" i="4"/>
  <c r="X198" i="4"/>
  <c r="Y198" i="4"/>
  <c r="X206" i="4"/>
  <c r="Y206" i="4"/>
  <c r="X214" i="4"/>
  <c r="Y214" i="4"/>
  <c r="X222" i="4"/>
  <c r="Y222" i="4"/>
  <c r="X230" i="4"/>
  <c r="Y230" i="4"/>
  <c r="X238" i="4"/>
  <c r="Y238" i="4"/>
  <c r="B2" i="69"/>
  <c r="B3" i="68"/>
  <c r="D326" i="69"/>
  <c r="E322" i="69"/>
  <c r="E321" i="69"/>
  <c r="E287" i="69"/>
  <c r="E285" i="69"/>
  <c r="E280" i="69"/>
  <c r="E269" i="69"/>
  <c r="E266" i="69"/>
  <c r="E257" i="69"/>
  <c r="E243" i="69"/>
  <c r="E146" i="69"/>
  <c r="E144" i="69"/>
  <c r="E138" i="69"/>
  <c r="E83" i="69"/>
  <c r="E77" i="69"/>
  <c r="E73" i="69"/>
  <c r="E32" i="69"/>
  <c r="V9" i="52"/>
  <c r="D275" i="69"/>
  <c r="I336" i="4"/>
  <c r="I22" i="4"/>
  <c r="F174" i="49"/>
  <c r="C203" i="69"/>
  <c r="E203" i="69" s="1"/>
  <c r="C199" i="69"/>
  <c r="E199" i="69" s="1"/>
  <c r="C179" i="69"/>
  <c r="E179" i="69" s="1"/>
  <c r="C213" i="69"/>
  <c r="E213" i="69" s="1"/>
  <c r="C208" i="69"/>
  <c r="E208" i="69" s="1"/>
  <c r="C207" i="69"/>
  <c r="E207" i="69" s="1"/>
  <c r="C206" i="69"/>
  <c r="E206" i="69" s="1"/>
  <c r="C189" i="69"/>
  <c r="E189" i="69" s="1"/>
  <c r="C184" i="69"/>
  <c r="E184" i="69" s="1"/>
  <c r="F206" i="49"/>
  <c r="H174" i="49"/>
  <c r="U10" i="52"/>
  <c r="T10" i="52"/>
  <c r="S10" i="52"/>
  <c r="R10" i="52"/>
  <c r="O10" i="52"/>
  <c r="N10" i="52"/>
  <c r="G10" i="52"/>
  <c r="G27" i="52"/>
  <c r="F10" i="52"/>
  <c r="E10" i="52"/>
  <c r="D10" i="52"/>
  <c r="C10" i="52"/>
  <c r="M39" i="57"/>
  <c r="L39" i="57"/>
  <c r="K39" i="57"/>
  <c r="J39" i="57"/>
  <c r="I39" i="57"/>
  <c r="H39" i="57"/>
  <c r="G39" i="57"/>
  <c r="F39" i="57"/>
  <c r="E39" i="57"/>
  <c r="C39" i="57"/>
  <c r="N38" i="57"/>
  <c r="N37" i="57"/>
  <c r="N36" i="57"/>
  <c r="N35" i="57"/>
  <c r="N34" i="57"/>
  <c r="N33" i="57"/>
  <c r="N32" i="57"/>
  <c r="N28" i="57"/>
  <c r="N27" i="57"/>
  <c r="M39" i="56"/>
  <c r="L39" i="56"/>
  <c r="K39" i="56"/>
  <c r="J39" i="56"/>
  <c r="I39" i="56"/>
  <c r="H39" i="56"/>
  <c r="G39" i="56"/>
  <c r="F39" i="56"/>
  <c r="E39" i="56"/>
  <c r="C39" i="56"/>
  <c r="N38" i="56"/>
  <c r="N37" i="56"/>
  <c r="N36" i="56"/>
  <c r="N35" i="56"/>
  <c r="N34" i="56"/>
  <c r="N33" i="56"/>
  <c r="N32" i="56"/>
  <c r="Q25" i="31"/>
  <c r="P25" i="31"/>
  <c r="O25" i="31"/>
  <c r="N25" i="31"/>
  <c r="M25" i="31"/>
  <c r="L25" i="31"/>
  <c r="K25" i="31"/>
  <c r="J25" i="31"/>
  <c r="I25" i="31"/>
  <c r="H25" i="31"/>
  <c r="G25" i="31"/>
  <c r="F25" i="31"/>
  <c r="N39" i="57"/>
  <c r="C204" i="69"/>
  <c r="E204" i="69" s="1"/>
  <c r="H207" i="49"/>
  <c r="N39" i="56"/>
  <c r="F58" i="68"/>
  <c r="F59" i="68"/>
  <c r="F55" i="68"/>
  <c r="F49" i="68"/>
  <c r="F18" i="68"/>
  <c r="F15" i="68"/>
  <c r="AP335" i="4"/>
  <c r="AP313" i="4"/>
  <c r="AP279" i="4"/>
  <c r="D294" i="69"/>
  <c r="D238" i="69"/>
  <c r="D214" i="69"/>
  <c r="D75" i="69"/>
  <c r="D61" i="69"/>
  <c r="I30" i="49"/>
  <c r="D239" i="69"/>
  <c r="AE17" i="61"/>
  <c r="C167" i="69"/>
  <c r="E167" i="69" s="1"/>
  <c r="C166" i="69"/>
  <c r="E166" i="69" s="1"/>
  <c r="C165" i="69"/>
  <c r="E165" i="69" s="1"/>
  <c r="C44" i="69"/>
  <c r="E44" i="69" s="1"/>
  <c r="M9" i="55"/>
  <c r="L9" i="55"/>
  <c r="K9" i="55"/>
  <c r="J9" i="55"/>
  <c r="I9" i="55"/>
  <c r="H9" i="55"/>
  <c r="G9" i="55"/>
  <c r="F9" i="55"/>
  <c r="E9" i="55"/>
  <c r="D9" i="55"/>
  <c r="C9" i="55"/>
  <c r="M9" i="54"/>
  <c r="L9" i="54"/>
  <c r="K9" i="54"/>
  <c r="J9" i="54"/>
  <c r="I9" i="54"/>
  <c r="H9" i="54"/>
  <c r="G9" i="54"/>
  <c r="F9" i="54"/>
  <c r="E9" i="54"/>
  <c r="D9" i="54"/>
  <c r="C9" i="54"/>
  <c r="M9" i="53"/>
  <c r="L9" i="53"/>
  <c r="K9" i="53"/>
  <c r="J9" i="53"/>
  <c r="I9" i="53"/>
  <c r="H9" i="53"/>
  <c r="G9" i="53"/>
  <c r="F9" i="53"/>
  <c r="E9" i="53"/>
  <c r="D9" i="53"/>
  <c r="C9" i="53"/>
  <c r="C258" i="69"/>
  <c r="E258" i="69" s="1"/>
  <c r="C278" i="69"/>
  <c r="E278" i="69" s="1"/>
  <c r="C261" i="69"/>
  <c r="E261" i="69" s="1"/>
  <c r="C282" i="69"/>
  <c r="E282" i="69" s="1"/>
  <c r="C253" i="69"/>
  <c r="E253" i="69" s="1"/>
  <c r="C262" i="69"/>
  <c r="E262" i="69" s="1"/>
  <c r="C263" i="69"/>
  <c r="E263" i="69" s="1"/>
  <c r="C43" i="69"/>
  <c r="E43" i="69" s="1"/>
  <c r="C70" i="69"/>
  <c r="E70" i="69" s="1"/>
  <c r="C63" i="69"/>
  <c r="E63" i="69" s="1"/>
  <c r="C68" i="69"/>
  <c r="E68" i="69" s="1"/>
  <c r="C251" i="69"/>
  <c r="E251" i="69" s="1"/>
  <c r="C264" i="69"/>
  <c r="E264" i="69" s="1"/>
  <c r="C286" i="69"/>
  <c r="E286" i="69" s="1"/>
  <c r="C302" i="69"/>
  <c r="E302" i="69" s="1"/>
  <c r="C306" i="69"/>
  <c r="E306" i="69" s="1"/>
  <c r="C108" i="69"/>
  <c r="E108" i="69" s="1"/>
  <c r="C158" i="69"/>
  <c r="E158" i="69" s="1"/>
  <c r="C172" i="69"/>
  <c r="E172" i="69" s="1"/>
  <c r="C115" i="69"/>
  <c r="E115" i="69" s="1"/>
  <c r="C128" i="69"/>
  <c r="E128" i="69" s="1"/>
  <c r="C101" i="69"/>
  <c r="E101" i="69" s="1"/>
  <c r="C17" i="69"/>
  <c r="E17" i="69" s="1"/>
  <c r="C21" i="69"/>
  <c r="E21" i="69" s="1"/>
  <c r="C10" i="69"/>
  <c r="E10" i="69" s="1"/>
  <c r="C23" i="69"/>
  <c r="E23" i="69" s="1"/>
  <c r="C22" i="69"/>
  <c r="E22" i="69" s="1"/>
  <c r="C9" i="69"/>
  <c r="E9" i="69" s="1"/>
  <c r="C45" i="69"/>
  <c r="E45" i="69" s="1"/>
  <c r="F28" i="68"/>
  <c r="C141" i="69"/>
  <c r="E141" i="69" s="1"/>
  <c r="C35" i="69"/>
  <c r="E35" i="69" s="1"/>
  <c r="C107" i="69"/>
  <c r="E107" i="69" s="1"/>
  <c r="C311" i="69"/>
  <c r="E311" i="69" s="1"/>
  <c r="N21" i="67"/>
  <c r="N20" i="67"/>
  <c r="N19" i="67"/>
  <c r="N15" i="57"/>
  <c r="N15" i="56"/>
  <c r="E329" i="49"/>
  <c r="F259" i="49"/>
  <c r="F258" i="49"/>
  <c r="F33" i="49"/>
  <c r="F9" i="49"/>
  <c r="I9" i="49"/>
  <c r="E321" i="49"/>
  <c r="F320" i="49"/>
  <c r="F318" i="49"/>
  <c r="F317" i="49"/>
  <c r="F314" i="49"/>
  <c r="F309" i="49"/>
  <c r="I308" i="49"/>
  <c r="F308" i="49"/>
  <c r="F303" i="49"/>
  <c r="F301" i="49"/>
  <c r="F302" i="49"/>
  <c r="F304" i="49"/>
  <c r="I285" i="49"/>
  <c r="F284" i="49"/>
  <c r="F282" i="49"/>
  <c r="F277" i="49"/>
  <c r="F273" i="49"/>
  <c r="F252" i="49"/>
  <c r="F250" i="49"/>
  <c r="F129" i="49"/>
  <c r="F128" i="49"/>
  <c r="F124" i="49"/>
  <c r="I121" i="49"/>
  <c r="F121" i="49"/>
  <c r="F96" i="49"/>
  <c r="F83" i="49"/>
  <c r="F81" i="49"/>
  <c r="F66" i="49"/>
  <c r="F14" i="49"/>
  <c r="H320" i="49"/>
  <c r="H314" i="49"/>
  <c r="H250" i="49"/>
  <c r="H81" i="49"/>
  <c r="F28" i="49"/>
  <c r="F27" i="49"/>
  <c r="F11" i="49"/>
  <c r="F37" i="49"/>
  <c r="AL349" i="4"/>
  <c r="AL348" i="4"/>
  <c r="AL347" i="4"/>
  <c r="AL346" i="4"/>
  <c r="AK349" i="4"/>
  <c r="AK348" i="4"/>
  <c r="AK347" i="4"/>
  <c r="AK346" i="4"/>
  <c r="AM349" i="4"/>
  <c r="AM348" i="4"/>
  <c r="AM347" i="4"/>
  <c r="AM346" i="4"/>
  <c r="AM332" i="4"/>
  <c r="AM331" i="4"/>
  <c r="AM330" i="4"/>
  <c r="AM329" i="4"/>
  <c r="AM328" i="4"/>
  <c r="AM327" i="4"/>
  <c r="AM326" i="4"/>
  <c r="AM325" i="4"/>
  <c r="AM324" i="4"/>
  <c r="AM323" i="4"/>
  <c r="AM322" i="4"/>
  <c r="AM321" i="4"/>
  <c r="AM320" i="4"/>
  <c r="AM319" i="4"/>
  <c r="AM318" i="4"/>
  <c r="AM317" i="4"/>
  <c r="AM316" i="4"/>
  <c r="AM315" i="4"/>
  <c r="AM314" i="4"/>
  <c r="AM311" i="4"/>
  <c r="AM310" i="4"/>
  <c r="AM309" i="4"/>
  <c r="AM308" i="4"/>
  <c r="AM307" i="4"/>
  <c r="AM293" i="4"/>
  <c r="AM286" i="4"/>
  <c r="AM283" i="4"/>
  <c r="AM282" i="4"/>
  <c r="AM280" i="4"/>
  <c r="AL332" i="4"/>
  <c r="AL331" i="4"/>
  <c r="AL330" i="4"/>
  <c r="AL329" i="4"/>
  <c r="AL328" i="4"/>
  <c r="AL327" i="4"/>
  <c r="AL326" i="4"/>
  <c r="AL325" i="4"/>
  <c r="AL324" i="4"/>
  <c r="AL323" i="4"/>
  <c r="AL322" i="4"/>
  <c r="AL321" i="4"/>
  <c r="AL320" i="4"/>
  <c r="AL319" i="4"/>
  <c r="AL318" i="4"/>
  <c r="AL317" i="4"/>
  <c r="AL316" i="4"/>
  <c r="AL315" i="4"/>
  <c r="AL314" i="4"/>
  <c r="AK332" i="4"/>
  <c r="AK331" i="4"/>
  <c r="AK330" i="4"/>
  <c r="AK329" i="4"/>
  <c r="AK328" i="4"/>
  <c r="AK327" i="4"/>
  <c r="AK326" i="4"/>
  <c r="AK325" i="4"/>
  <c r="AK324" i="4"/>
  <c r="AK323" i="4"/>
  <c r="AK322" i="4"/>
  <c r="AK321" i="4"/>
  <c r="AK320" i="4"/>
  <c r="AK319" i="4"/>
  <c r="AK318" i="4"/>
  <c r="AK317" i="4"/>
  <c r="AK316" i="4"/>
  <c r="AK315" i="4"/>
  <c r="AK314" i="4"/>
  <c r="AK311" i="4"/>
  <c r="AK310" i="4"/>
  <c r="AK309" i="4"/>
  <c r="AK308" i="4"/>
  <c r="AK307" i="4"/>
  <c r="AK293" i="4"/>
  <c r="AK286" i="4"/>
  <c r="AK283" i="4"/>
  <c r="AK282" i="4"/>
  <c r="AK280" i="4"/>
  <c r="D68" i="63"/>
  <c r="E165" i="7"/>
  <c r="E154" i="7"/>
  <c r="D70" i="63"/>
  <c r="D69" i="63"/>
  <c r="B70" i="63"/>
  <c r="B69" i="63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5" i="4"/>
  <c r="D282" i="4"/>
  <c r="D281" i="4"/>
  <c r="D277" i="4"/>
  <c r="AA277" i="4"/>
  <c r="AC277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AC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AC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AC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AC176" i="4"/>
  <c r="D175" i="4"/>
  <c r="D174" i="4"/>
  <c r="D173" i="4"/>
  <c r="D172" i="4"/>
  <c r="D171" i="4"/>
  <c r="D170" i="4"/>
  <c r="D169" i="4"/>
  <c r="D168" i="4"/>
  <c r="AC168" i="4"/>
  <c r="D167" i="4"/>
  <c r="D166" i="4"/>
  <c r="D165" i="4"/>
  <c r="D164" i="4"/>
  <c r="D163" i="4"/>
  <c r="D162" i="4"/>
  <c r="AC162" i="4"/>
  <c r="D161" i="4"/>
  <c r="D160" i="4"/>
  <c r="D159" i="4"/>
  <c r="D158" i="4"/>
  <c r="AC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AC139" i="4"/>
  <c r="D138" i="4"/>
  <c r="D137" i="4"/>
  <c r="D136" i="4"/>
  <c r="D135" i="4"/>
  <c r="D134" i="4"/>
  <c r="D133" i="4"/>
  <c r="D132" i="4"/>
  <c r="D131" i="4"/>
  <c r="AC131" i="4"/>
  <c r="D130" i="4"/>
  <c r="D129" i="4"/>
  <c r="D128" i="4"/>
  <c r="D127" i="4"/>
  <c r="AC127" i="4"/>
  <c r="D126" i="4"/>
  <c r="D125" i="4"/>
  <c r="D124" i="4"/>
  <c r="AC124" i="4"/>
  <c r="D123" i="4"/>
  <c r="D122" i="4"/>
  <c r="D121" i="4"/>
  <c r="D120" i="4"/>
  <c r="D119" i="4"/>
  <c r="D118" i="4"/>
  <c r="D117" i="4"/>
  <c r="AC117" i="4"/>
  <c r="D116" i="4"/>
  <c r="D115" i="4"/>
  <c r="D114" i="4"/>
  <c r="D113" i="4"/>
  <c r="D112" i="4"/>
  <c r="D111" i="4"/>
  <c r="AC111" i="4"/>
  <c r="D110" i="4"/>
  <c r="AC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AC70" i="4"/>
  <c r="D69" i="4"/>
  <c r="D68" i="4"/>
  <c r="D67" i="4"/>
  <c r="D66" i="4"/>
  <c r="D65" i="4"/>
  <c r="D64" i="4"/>
  <c r="D63" i="4"/>
  <c r="D62" i="4"/>
  <c r="D61" i="4"/>
  <c r="D60" i="4"/>
  <c r="D59" i="4"/>
  <c r="D58" i="4"/>
  <c r="AC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AC37" i="4"/>
  <c r="D36" i="4"/>
  <c r="D35" i="4"/>
  <c r="D34" i="4"/>
  <c r="D33" i="4"/>
  <c r="D32" i="4"/>
  <c r="D31" i="4"/>
  <c r="D30" i="4"/>
  <c r="D29" i="4"/>
  <c r="D28" i="4"/>
  <c r="D27" i="4"/>
  <c r="D26" i="4"/>
  <c r="D25" i="4"/>
  <c r="I61" i="63"/>
  <c r="B4" i="63"/>
  <c r="M23" i="67"/>
  <c r="L23" i="67"/>
  <c r="K23" i="67"/>
  <c r="J23" i="67"/>
  <c r="I23" i="67"/>
  <c r="H23" i="67"/>
  <c r="G23" i="67"/>
  <c r="F23" i="67"/>
  <c r="E23" i="67"/>
  <c r="D23" i="67"/>
  <c r="C23" i="67"/>
  <c r="N22" i="67"/>
  <c r="N18" i="67"/>
  <c r="N17" i="67"/>
  <c r="N16" i="67"/>
  <c r="N15" i="67"/>
  <c r="N14" i="67"/>
  <c r="A3" i="67"/>
  <c r="N23" i="67"/>
  <c r="G50" i="63"/>
  <c r="AA270" i="4"/>
  <c r="AC270" i="4"/>
  <c r="AA249" i="4"/>
  <c r="AC249" i="4"/>
  <c r="AA261" i="4"/>
  <c r="AC261" i="4"/>
  <c r="AA36" i="4"/>
  <c r="AC36" i="4"/>
  <c r="AA68" i="4"/>
  <c r="AC68" i="4"/>
  <c r="AA235" i="4"/>
  <c r="AC235" i="4"/>
  <c r="AA109" i="4"/>
  <c r="AC109" i="4"/>
  <c r="AA129" i="4"/>
  <c r="AC129" i="4"/>
  <c r="AA108" i="4"/>
  <c r="AC108" i="4"/>
  <c r="AA184" i="4"/>
  <c r="AC184" i="4"/>
  <c r="AA33" i="4"/>
  <c r="AC33" i="4"/>
  <c r="AA69" i="4"/>
  <c r="AC69" i="4"/>
  <c r="AA67" i="4"/>
  <c r="AC67" i="4"/>
  <c r="AA195" i="4"/>
  <c r="AC195" i="4"/>
  <c r="AA153" i="4"/>
  <c r="AC153" i="4"/>
  <c r="AA222" i="4"/>
  <c r="AC222" i="4"/>
  <c r="AA32" i="4"/>
  <c r="AC32" i="4"/>
  <c r="AA132" i="4"/>
  <c r="AC132" i="4"/>
  <c r="AA148" i="4"/>
  <c r="AC148" i="4"/>
  <c r="AA164" i="4"/>
  <c r="AC164" i="4"/>
  <c r="AA167" i="4"/>
  <c r="AC167" i="4"/>
  <c r="AA215" i="4"/>
  <c r="AC215" i="4"/>
  <c r="AA105" i="4"/>
  <c r="AC105" i="4"/>
  <c r="AA122" i="4"/>
  <c r="AC122" i="4"/>
  <c r="AA234" i="4"/>
  <c r="AC234" i="4"/>
  <c r="AA72" i="4"/>
  <c r="AC72" i="4"/>
  <c r="AA237" i="4"/>
  <c r="AC237" i="4"/>
  <c r="AA126" i="4"/>
  <c r="AC126" i="4"/>
  <c r="AA178" i="4"/>
  <c r="AC178" i="4"/>
  <c r="AA198" i="4"/>
  <c r="AC198" i="4"/>
  <c r="AA218" i="4"/>
  <c r="AC218" i="4"/>
  <c r="AA130" i="4"/>
  <c r="AC130" i="4"/>
  <c r="AA115" i="4"/>
  <c r="AC115" i="4"/>
  <c r="AA138" i="4"/>
  <c r="AC138" i="4"/>
  <c r="AA84" i="4"/>
  <c r="AC84" i="4"/>
  <c r="AA53" i="4"/>
  <c r="AC53" i="4"/>
  <c r="AA147" i="4"/>
  <c r="AC147" i="4"/>
  <c r="AA227" i="4"/>
  <c r="AC227" i="4"/>
  <c r="AA134" i="4"/>
  <c r="AC134" i="4"/>
  <c r="AA199" i="4"/>
  <c r="AC199" i="4"/>
  <c r="AA104" i="4"/>
  <c r="AC104" i="4"/>
  <c r="AA140" i="4"/>
  <c r="AC140" i="4"/>
  <c r="AA156" i="4"/>
  <c r="AC156" i="4"/>
  <c r="AA232" i="4"/>
  <c r="AC232" i="4"/>
  <c r="AA248" i="4"/>
  <c r="AC248" i="4"/>
  <c r="AA257" i="4"/>
  <c r="AC257" i="4"/>
  <c r="AA255" i="4"/>
  <c r="AC255" i="4"/>
  <c r="AA256" i="4"/>
  <c r="AC256" i="4"/>
  <c r="AA260" i="4"/>
  <c r="AC260" i="4"/>
  <c r="AA267" i="4"/>
  <c r="AC267" i="4"/>
  <c r="AA254" i="4"/>
  <c r="AC254" i="4"/>
  <c r="AA251" i="4"/>
  <c r="AC251" i="4"/>
  <c r="AA116" i="4"/>
  <c r="AC116" i="4"/>
  <c r="AA45" i="4"/>
  <c r="AC45" i="4"/>
  <c r="AA91" i="4"/>
  <c r="AC91" i="4"/>
  <c r="AA93" i="4"/>
  <c r="AC93" i="4"/>
  <c r="AA177" i="4"/>
  <c r="AC177" i="4"/>
  <c r="AA209" i="4"/>
  <c r="AC209" i="4"/>
  <c r="AA233" i="4"/>
  <c r="AC233" i="4"/>
  <c r="AA76" i="4"/>
  <c r="AC76" i="4"/>
  <c r="AA204" i="4"/>
  <c r="AC204" i="4"/>
  <c r="AA99" i="4"/>
  <c r="AC99" i="4"/>
  <c r="AA119" i="4"/>
  <c r="AC119" i="4"/>
  <c r="AA211" i="4"/>
  <c r="AC211" i="4"/>
  <c r="AA85" i="4"/>
  <c r="AC85" i="4"/>
  <c r="AA62" i="4"/>
  <c r="AC62" i="4"/>
  <c r="AA82" i="4"/>
  <c r="AC82" i="4"/>
  <c r="AA208" i="4"/>
  <c r="AC208" i="4"/>
  <c r="AA55" i="4"/>
  <c r="AC55" i="4"/>
  <c r="AA125" i="4"/>
  <c r="AC125" i="4"/>
  <c r="AA141" i="4"/>
  <c r="AC141" i="4"/>
  <c r="AA81" i="4"/>
  <c r="AC81" i="4"/>
  <c r="AA149" i="4"/>
  <c r="AC149" i="4"/>
  <c r="AA54" i="4"/>
  <c r="AC54" i="4"/>
  <c r="AA106" i="4"/>
  <c r="AC106" i="4"/>
  <c r="AA97" i="4"/>
  <c r="AC97" i="4"/>
  <c r="AA230" i="4"/>
  <c r="AC230" i="4"/>
  <c r="AA63" i="4"/>
  <c r="AC63" i="4"/>
  <c r="AA225" i="4"/>
  <c r="AC225" i="4"/>
  <c r="AA94" i="4"/>
  <c r="AC94" i="4"/>
  <c r="AA216" i="4"/>
  <c r="AC216" i="4"/>
  <c r="AA79" i="4"/>
  <c r="AC79" i="4"/>
  <c r="AA159" i="4"/>
  <c r="AC159" i="4"/>
  <c r="AA88" i="4"/>
  <c r="AC88" i="4"/>
  <c r="AA95" i="4"/>
  <c r="AC95" i="4"/>
  <c r="AA202" i="4"/>
  <c r="AC202" i="4"/>
  <c r="AA40" i="4"/>
  <c r="AC40" i="4"/>
  <c r="AA166" i="4"/>
  <c r="AC166" i="4"/>
  <c r="AA210" i="4"/>
  <c r="AC210" i="4"/>
  <c r="AA262" i="4"/>
  <c r="AC262" i="4"/>
  <c r="AA241" i="4"/>
  <c r="AC241" i="4"/>
  <c r="AA247" i="4"/>
  <c r="AC247" i="4"/>
  <c r="AA265" i="4"/>
  <c r="AC265" i="4"/>
  <c r="AA250" i="4"/>
  <c r="AC250" i="4"/>
  <c r="AA242" i="4"/>
  <c r="AC242" i="4"/>
  <c r="AA244" i="4"/>
  <c r="AC244" i="4"/>
  <c r="AA258" i="4"/>
  <c r="AC258" i="4"/>
  <c r="AA243" i="4"/>
  <c r="AC243" i="4"/>
  <c r="AA77" i="4"/>
  <c r="AC77" i="4"/>
  <c r="AA52" i="4"/>
  <c r="AC52" i="4"/>
  <c r="AA136" i="4"/>
  <c r="AC136" i="4"/>
  <c r="AA212" i="4"/>
  <c r="AC212" i="4"/>
  <c r="AA61" i="4"/>
  <c r="AC61" i="4"/>
  <c r="AA27" i="4"/>
  <c r="AC27" i="4"/>
  <c r="AA75" i="4"/>
  <c r="AC75" i="4"/>
  <c r="AA107" i="4"/>
  <c r="AC107" i="4"/>
  <c r="AA135" i="4"/>
  <c r="AC135" i="4"/>
  <c r="AA155" i="4"/>
  <c r="AC155" i="4"/>
  <c r="AA203" i="4"/>
  <c r="AC203" i="4"/>
  <c r="AA161" i="4"/>
  <c r="AC161" i="4"/>
  <c r="AA193" i="4"/>
  <c r="AC193" i="4"/>
  <c r="AA28" i="4"/>
  <c r="AC28" i="4"/>
  <c r="AA128" i="4"/>
  <c r="AC128" i="4"/>
  <c r="AA144" i="4"/>
  <c r="AC144" i="4"/>
  <c r="AA160" i="4"/>
  <c r="AC160" i="4"/>
  <c r="AA236" i="4"/>
  <c r="AC236" i="4"/>
  <c r="AA35" i="4"/>
  <c r="AC35" i="4"/>
  <c r="AA51" i="4"/>
  <c r="AC51" i="4"/>
  <c r="AA163" i="4"/>
  <c r="AC163" i="4"/>
  <c r="AA179" i="4"/>
  <c r="AC179" i="4"/>
  <c r="AA121" i="4"/>
  <c r="AC121" i="4"/>
  <c r="AA137" i="4"/>
  <c r="AC137" i="4"/>
  <c r="AA185" i="4"/>
  <c r="AC185" i="4"/>
  <c r="AA221" i="4"/>
  <c r="AC221" i="4"/>
  <c r="AA174" i="4"/>
  <c r="AC174" i="4"/>
  <c r="AA48" i="4"/>
  <c r="AC48" i="4"/>
  <c r="AA64" i="4"/>
  <c r="AC64" i="4"/>
  <c r="AA80" i="4"/>
  <c r="AC80" i="4"/>
  <c r="AA96" i="4"/>
  <c r="AC96" i="4"/>
  <c r="AA224" i="4"/>
  <c r="AC224" i="4"/>
  <c r="AA240" i="4"/>
  <c r="AC240" i="4"/>
  <c r="AA71" i="4"/>
  <c r="AC71" i="4"/>
  <c r="AA123" i="4"/>
  <c r="AC123" i="4"/>
  <c r="AA151" i="4"/>
  <c r="AC151" i="4"/>
  <c r="AA183" i="4"/>
  <c r="AC183" i="4"/>
  <c r="AA231" i="4"/>
  <c r="AC231" i="4"/>
  <c r="AA89" i="4"/>
  <c r="AC89" i="4"/>
  <c r="AA189" i="4"/>
  <c r="AC189" i="4"/>
  <c r="AA31" i="4"/>
  <c r="AC31" i="4"/>
  <c r="AA182" i="4"/>
  <c r="AC182" i="4"/>
  <c r="AA213" i="4"/>
  <c r="AC213" i="4"/>
  <c r="AA66" i="4"/>
  <c r="AC66" i="4"/>
  <c r="AA186" i="4"/>
  <c r="AC186" i="4"/>
  <c r="AA56" i="4"/>
  <c r="AC56" i="4"/>
  <c r="AA200" i="4"/>
  <c r="AC200" i="4"/>
  <c r="AA49" i="4"/>
  <c r="AC49" i="4"/>
  <c r="AA207" i="4"/>
  <c r="AC207" i="4"/>
  <c r="AA181" i="4"/>
  <c r="AC181" i="4"/>
  <c r="AA46" i="4"/>
  <c r="AC46" i="4"/>
  <c r="AA74" i="4"/>
  <c r="AC74" i="4"/>
  <c r="AA170" i="4"/>
  <c r="AC170" i="4"/>
  <c r="AA65" i="4"/>
  <c r="AC65" i="4"/>
  <c r="AA133" i="4"/>
  <c r="AC133" i="4"/>
  <c r="AA197" i="4"/>
  <c r="AC197" i="4"/>
  <c r="AA50" i="4"/>
  <c r="AC50" i="4"/>
  <c r="AA154" i="4"/>
  <c r="AC154" i="4"/>
  <c r="AA165" i="4"/>
  <c r="AC165" i="4"/>
  <c r="AA90" i="4"/>
  <c r="AC90" i="4"/>
  <c r="AA264" i="4"/>
  <c r="AC264" i="4"/>
  <c r="AA246" i="4"/>
  <c r="AC246" i="4"/>
  <c r="AA259" i="4"/>
  <c r="AC259" i="4"/>
  <c r="AA269" i="4"/>
  <c r="AC269" i="4"/>
  <c r="AA245" i="4"/>
  <c r="AC245" i="4"/>
  <c r="AA266" i="4"/>
  <c r="AC266" i="4"/>
  <c r="AA252" i="4"/>
  <c r="AC252" i="4"/>
  <c r="AA253" i="4"/>
  <c r="AC253" i="4"/>
  <c r="AA100" i="4"/>
  <c r="AC100" i="4"/>
  <c r="AA152" i="4"/>
  <c r="AC152" i="4"/>
  <c r="AA172" i="4"/>
  <c r="AC172" i="4"/>
  <c r="AA196" i="4"/>
  <c r="AC196" i="4"/>
  <c r="AA228" i="4"/>
  <c r="AC228" i="4"/>
  <c r="AA25" i="4"/>
  <c r="AC25" i="4"/>
  <c r="AA43" i="4"/>
  <c r="AC43" i="4"/>
  <c r="AA59" i="4"/>
  <c r="AC59" i="4"/>
  <c r="AA171" i="4"/>
  <c r="AC171" i="4"/>
  <c r="AA187" i="4"/>
  <c r="AC187" i="4"/>
  <c r="AA219" i="4"/>
  <c r="AC219" i="4"/>
  <c r="AA145" i="4"/>
  <c r="AC145" i="4"/>
  <c r="AA34" i="4"/>
  <c r="AC34" i="4"/>
  <c r="AA44" i="4"/>
  <c r="AC44" i="4"/>
  <c r="AA60" i="4"/>
  <c r="AC60" i="4"/>
  <c r="AA92" i="4"/>
  <c r="AC92" i="4"/>
  <c r="AA220" i="4"/>
  <c r="AC220" i="4"/>
  <c r="AA83" i="4"/>
  <c r="AC83" i="4"/>
  <c r="AA101" i="4"/>
  <c r="AC101" i="4"/>
  <c r="AA169" i="4"/>
  <c r="AC169" i="4"/>
  <c r="AA201" i="4"/>
  <c r="AC201" i="4"/>
  <c r="AA26" i="4"/>
  <c r="AC26" i="4"/>
  <c r="AA42" i="4"/>
  <c r="AC42" i="4"/>
  <c r="AA98" i="4"/>
  <c r="AC98" i="4"/>
  <c r="AA118" i="4"/>
  <c r="AC118" i="4"/>
  <c r="AA150" i="4"/>
  <c r="AC150" i="4"/>
  <c r="AA190" i="4"/>
  <c r="AC190" i="4"/>
  <c r="AA206" i="4"/>
  <c r="AC206" i="4"/>
  <c r="AA238" i="4"/>
  <c r="AC238" i="4"/>
  <c r="AA112" i="4"/>
  <c r="AC112" i="4"/>
  <c r="AA192" i="4"/>
  <c r="AC192" i="4"/>
  <c r="AA41" i="4"/>
  <c r="AC41" i="4"/>
  <c r="AA57" i="4"/>
  <c r="AC57" i="4"/>
  <c r="AA73" i="4"/>
  <c r="AC73" i="4"/>
  <c r="AA39" i="4"/>
  <c r="AC39" i="4"/>
  <c r="AA87" i="4"/>
  <c r="AC87" i="4"/>
  <c r="AA103" i="4"/>
  <c r="AC103" i="4"/>
  <c r="AA157" i="4"/>
  <c r="AC157" i="4"/>
  <c r="AA173" i="4"/>
  <c r="AC173" i="4"/>
  <c r="AA47" i="4"/>
  <c r="AC47" i="4"/>
  <c r="AA114" i="4"/>
  <c r="AC114" i="4"/>
  <c r="AA120" i="4"/>
  <c r="AC120" i="4"/>
  <c r="AA143" i="4"/>
  <c r="AC143" i="4"/>
  <c r="AA113" i="4"/>
  <c r="AC113" i="4"/>
  <c r="AA142" i="4"/>
  <c r="AC142" i="4"/>
  <c r="AA194" i="4"/>
  <c r="AC194" i="4"/>
  <c r="AA214" i="4"/>
  <c r="AC214" i="4"/>
  <c r="AA223" i="4"/>
  <c r="AC223" i="4"/>
  <c r="AA78" i="4"/>
  <c r="AC78" i="4"/>
  <c r="AA102" i="4"/>
  <c r="AC102" i="4"/>
  <c r="AA146" i="4"/>
  <c r="AC146" i="4"/>
  <c r="AA175" i="4"/>
  <c r="AC175" i="4"/>
  <c r="AA239" i="4"/>
  <c r="AC239" i="4"/>
  <c r="AA205" i="4"/>
  <c r="AC205" i="4"/>
  <c r="AA30" i="4"/>
  <c r="AC30" i="4"/>
  <c r="AA86" i="4"/>
  <c r="AC86" i="4"/>
  <c r="AA226" i="4"/>
  <c r="AC226" i="4"/>
  <c r="AA180" i="4"/>
  <c r="AC180" i="4"/>
  <c r="AA29" i="4"/>
  <c r="AC29" i="4"/>
  <c r="AA191" i="4"/>
  <c r="AC191" i="4"/>
  <c r="AA38" i="4"/>
  <c r="AC38" i="4"/>
  <c r="D15" i="65"/>
  <c r="AK246" i="4"/>
  <c r="AM246" i="4"/>
  <c r="AL246" i="4"/>
  <c r="AL244" i="4"/>
  <c r="AK244" i="4"/>
  <c r="AM244" i="4"/>
  <c r="AL251" i="4"/>
  <c r="AM251" i="4"/>
  <c r="AK251" i="4"/>
  <c r="AD251" i="4"/>
  <c r="AL256" i="4"/>
  <c r="AK256" i="4"/>
  <c r="AM256" i="4"/>
  <c r="AM245" i="4"/>
  <c r="AL245" i="4"/>
  <c r="AK245" i="4"/>
  <c r="AL242" i="4"/>
  <c r="AK242" i="4"/>
  <c r="AM242" i="4"/>
  <c r="AK255" i="4"/>
  <c r="AM255" i="4"/>
  <c r="AL255" i="4"/>
  <c r="AK261" i="4"/>
  <c r="AM261" i="4"/>
  <c r="AL261" i="4"/>
  <c r="AK253" i="4"/>
  <c r="AL253" i="4"/>
  <c r="AM253" i="4"/>
  <c r="AL269" i="4"/>
  <c r="AM269" i="4"/>
  <c r="AK269" i="4"/>
  <c r="AM243" i="4"/>
  <c r="AK243" i="4"/>
  <c r="AL243" i="4"/>
  <c r="AL250" i="4"/>
  <c r="AK250" i="4"/>
  <c r="AM250" i="4"/>
  <c r="AK262" i="4"/>
  <c r="AM262" i="4"/>
  <c r="AL262" i="4"/>
  <c r="AK267" i="4"/>
  <c r="AL267" i="4"/>
  <c r="AM267" i="4"/>
  <c r="AK257" i="4"/>
  <c r="AL257" i="4"/>
  <c r="AM257" i="4"/>
  <c r="AK249" i="4"/>
  <c r="AM249" i="4"/>
  <c r="AL266" i="4"/>
  <c r="AM266" i="4"/>
  <c r="AK266" i="4"/>
  <c r="AK247" i="4"/>
  <c r="AL247" i="4"/>
  <c r="AM247" i="4"/>
  <c r="AM264" i="4"/>
  <c r="AL264" i="4"/>
  <c r="AK264" i="4"/>
  <c r="AK241" i="4"/>
  <c r="AL241" i="4"/>
  <c r="AM241" i="4"/>
  <c r="AL254" i="4"/>
  <c r="AK254" i="4"/>
  <c r="AM254" i="4"/>
  <c r="AK252" i="4"/>
  <c r="AL252" i="4"/>
  <c r="AM252" i="4"/>
  <c r="AD259" i="4"/>
  <c r="AK259" i="4"/>
  <c r="AL259" i="4"/>
  <c r="AM259" i="4"/>
  <c r="AL258" i="4"/>
  <c r="AK258" i="4"/>
  <c r="AM258" i="4"/>
  <c r="AL265" i="4"/>
  <c r="AM265" i="4"/>
  <c r="AD265" i="4"/>
  <c r="AE265" i="4"/>
  <c r="AK265" i="4"/>
  <c r="AK260" i="4"/>
  <c r="AL260" i="4"/>
  <c r="AM260" i="4"/>
  <c r="AL248" i="4"/>
  <c r="AK248" i="4"/>
  <c r="AM248" i="4"/>
  <c r="AK270" i="4"/>
  <c r="AM270" i="4"/>
  <c r="D21" i="65"/>
  <c r="D20" i="65"/>
  <c r="D19" i="65"/>
  <c r="D18" i="65"/>
  <c r="D17" i="65"/>
  <c r="D16" i="65"/>
  <c r="AE251" i="4"/>
  <c r="AG251" i="4"/>
  <c r="AE252" i="4"/>
  <c r="AG259" i="4"/>
  <c r="AN259" i="4"/>
  <c r="AG265" i="4"/>
  <c r="AI265" i="4"/>
  <c r="AJ265" i="4"/>
  <c r="D22" i="65"/>
  <c r="E15" i="65"/>
  <c r="B362" i="4"/>
  <c r="D27" i="65"/>
  <c r="D26" i="65"/>
  <c r="D25" i="65"/>
  <c r="D24" i="65"/>
  <c r="D13" i="65"/>
  <c r="D12" i="65"/>
  <c r="D11" i="65"/>
  <c r="D10" i="65"/>
  <c r="D9" i="65"/>
  <c r="D8" i="65"/>
  <c r="AI251" i="4"/>
  <c r="AJ251" i="4"/>
  <c r="AH251" i="4"/>
  <c r="AH265" i="4"/>
  <c r="AI259" i="4"/>
  <c r="AJ259" i="4"/>
  <c r="AN265" i="4"/>
  <c r="AH259" i="4"/>
  <c r="AN251" i="4"/>
  <c r="E19" i="65"/>
  <c r="E21" i="65"/>
  <c r="E18" i="65"/>
  <c r="E17" i="65"/>
  <c r="E20" i="65"/>
  <c r="E16" i="65"/>
  <c r="D4" i="65"/>
  <c r="D3" i="65"/>
  <c r="AO251" i="4"/>
  <c r="AP251" i="4"/>
  <c r="AO259" i="4"/>
  <c r="AP259" i="4"/>
  <c r="AO265" i="4"/>
  <c r="AP265" i="4"/>
  <c r="W350" i="4"/>
  <c r="U350" i="4"/>
  <c r="T350" i="4"/>
  <c r="S350" i="4"/>
  <c r="Q350" i="4"/>
  <c r="P350" i="4"/>
  <c r="N350" i="4"/>
  <c r="M350" i="4"/>
  <c r="L350" i="4"/>
  <c r="K350" i="4"/>
  <c r="J350" i="4"/>
  <c r="W333" i="4"/>
  <c r="U333" i="4"/>
  <c r="T333" i="4"/>
  <c r="S333" i="4"/>
  <c r="Q333" i="4"/>
  <c r="P333" i="4"/>
  <c r="N333" i="4"/>
  <c r="M333" i="4"/>
  <c r="L333" i="4"/>
  <c r="K333" i="4"/>
  <c r="J333" i="4"/>
  <c r="T278" i="4"/>
  <c r="N278" i="4"/>
  <c r="W312" i="4"/>
  <c r="U312" i="4"/>
  <c r="T312" i="4"/>
  <c r="S312" i="4"/>
  <c r="Q312" i="4"/>
  <c r="P312" i="4"/>
  <c r="N312" i="4"/>
  <c r="M312" i="4"/>
  <c r="L312" i="4"/>
  <c r="K312" i="4"/>
  <c r="J312" i="4"/>
  <c r="I312" i="4"/>
  <c r="H312" i="4"/>
  <c r="V349" i="4"/>
  <c r="R349" i="4"/>
  <c r="O349" i="4"/>
  <c r="V348" i="4"/>
  <c r="R348" i="4"/>
  <c r="O348" i="4"/>
  <c r="V347" i="4"/>
  <c r="R347" i="4"/>
  <c r="O347" i="4"/>
  <c r="V346" i="4"/>
  <c r="R346" i="4"/>
  <c r="O346" i="4"/>
  <c r="V345" i="4"/>
  <c r="R345" i="4"/>
  <c r="O345" i="4"/>
  <c r="V336" i="4"/>
  <c r="R336" i="4"/>
  <c r="O336" i="4"/>
  <c r="V332" i="4"/>
  <c r="R332" i="4"/>
  <c r="O332" i="4"/>
  <c r="V331" i="4"/>
  <c r="R331" i="4"/>
  <c r="O331" i="4"/>
  <c r="V330" i="4"/>
  <c r="R330" i="4"/>
  <c r="O330" i="4"/>
  <c r="V329" i="4"/>
  <c r="R329" i="4"/>
  <c r="O329" i="4"/>
  <c r="V328" i="4"/>
  <c r="R328" i="4"/>
  <c r="O328" i="4"/>
  <c r="V327" i="4"/>
  <c r="R327" i="4"/>
  <c r="O327" i="4"/>
  <c r="V326" i="4"/>
  <c r="R326" i="4"/>
  <c r="O326" i="4"/>
  <c r="V325" i="4"/>
  <c r="R325" i="4"/>
  <c r="O325" i="4"/>
  <c r="V324" i="4"/>
  <c r="R324" i="4"/>
  <c r="O324" i="4"/>
  <c r="V323" i="4"/>
  <c r="R323" i="4"/>
  <c r="O323" i="4"/>
  <c r="V322" i="4"/>
  <c r="R322" i="4"/>
  <c r="O322" i="4"/>
  <c r="V321" i="4"/>
  <c r="R321" i="4"/>
  <c r="O321" i="4"/>
  <c r="V320" i="4"/>
  <c r="R320" i="4"/>
  <c r="O320" i="4"/>
  <c r="V319" i="4"/>
  <c r="R319" i="4"/>
  <c r="O319" i="4"/>
  <c r="V318" i="4"/>
  <c r="R318" i="4"/>
  <c r="O318" i="4"/>
  <c r="V317" i="4"/>
  <c r="R317" i="4"/>
  <c r="O317" i="4"/>
  <c r="V316" i="4"/>
  <c r="R316" i="4"/>
  <c r="O316" i="4"/>
  <c r="V315" i="4"/>
  <c r="R315" i="4"/>
  <c r="O315" i="4"/>
  <c r="V314" i="4"/>
  <c r="R314" i="4"/>
  <c r="O314" i="4"/>
  <c r="V311" i="4"/>
  <c r="R311" i="4"/>
  <c r="O311" i="4"/>
  <c r="V310" i="4"/>
  <c r="R310" i="4"/>
  <c r="O310" i="4"/>
  <c r="V309" i="4"/>
  <c r="R309" i="4"/>
  <c r="O309" i="4"/>
  <c r="V308" i="4"/>
  <c r="R308" i="4"/>
  <c r="O308" i="4"/>
  <c r="V307" i="4"/>
  <c r="R307" i="4"/>
  <c r="O307" i="4"/>
  <c r="V306" i="4"/>
  <c r="R306" i="4"/>
  <c r="O306" i="4"/>
  <c r="V305" i="4"/>
  <c r="R305" i="4"/>
  <c r="O305" i="4"/>
  <c r="V304" i="4"/>
  <c r="R304" i="4"/>
  <c r="O304" i="4"/>
  <c r="V303" i="4"/>
  <c r="R303" i="4"/>
  <c r="O303" i="4"/>
  <c r="V302" i="4"/>
  <c r="R302" i="4"/>
  <c r="O302" i="4"/>
  <c r="V301" i="4"/>
  <c r="R301" i="4"/>
  <c r="O301" i="4"/>
  <c r="V300" i="4"/>
  <c r="R300" i="4"/>
  <c r="O300" i="4"/>
  <c r="V299" i="4"/>
  <c r="R299" i="4"/>
  <c r="O299" i="4"/>
  <c r="V298" i="4"/>
  <c r="R298" i="4"/>
  <c r="O298" i="4"/>
  <c r="V297" i="4"/>
  <c r="R297" i="4"/>
  <c r="O297" i="4"/>
  <c r="V296" i="4"/>
  <c r="R296" i="4"/>
  <c r="O296" i="4"/>
  <c r="V295" i="4"/>
  <c r="R295" i="4"/>
  <c r="O295" i="4"/>
  <c r="V294" i="4"/>
  <c r="R294" i="4"/>
  <c r="O294" i="4"/>
  <c r="V293" i="4"/>
  <c r="R293" i="4"/>
  <c r="O293" i="4"/>
  <c r="V292" i="4"/>
  <c r="R292" i="4"/>
  <c r="O292" i="4"/>
  <c r="V291" i="4"/>
  <c r="R291" i="4"/>
  <c r="O291" i="4"/>
  <c r="V290" i="4"/>
  <c r="R290" i="4"/>
  <c r="O290" i="4"/>
  <c r="V289" i="4"/>
  <c r="R289" i="4"/>
  <c r="O289" i="4"/>
  <c r="V288" i="4"/>
  <c r="R288" i="4"/>
  <c r="O288" i="4"/>
  <c r="V287" i="4"/>
  <c r="R287" i="4"/>
  <c r="O287" i="4"/>
  <c r="V286" i="4"/>
  <c r="R286" i="4"/>
  <c r="O286" i="4"/>
  <c r="V285" i="4"/>
  <c r="R285" i="4"/>
  <c r="O285" i="4"/>
  <c r="V284" i="4"/>
  <c r="R284" i="4"/>
  <c r="O284" i="4"/>
  <c r="V283" i="4"/>
  <c r="R283" i="4"/>
  <c r="O283" i="4"/>
  <c r="V282" i="4"/>
  <c r="R282" i="4"/>
  <c r="O282" i="4"/>
  <c r="V281" i="4"/>
  <c r="R281" i="4"/>
  <c r="O281" i="4"/>
  <c r="V280" i="4"/>
  <c r="R280" i="4"/>
  <c r="O280" i="4"/>
  <c r="V22" i="4"/>
  <c r="O22" i="4"/>
  <c r="N334" i="4"/>
  <c r="T334" i="4"/>
  <c r="N371" i="4"/>
  <c r="V312" i="4"/>
  <c r="O350" i="4"/>
  <c r="R350" i="4"/>
  <c r="T371" i="4"/>
  <c r="V350" i="4"/>
  <c r="X346" i="4"/>
  <c r="V333" i="4"/>
  <c r="O312" i="4"/>
  <c r="O333" i="4"/>
  <c r="X345" i="4"/>
  <c r="X349" i="4"/>
  <c r="R333" i="4"/>
  <c r="R312" i="4"/>
  <c r="X347" i="4"/>
  <c r="X336" i="4"/>
  <c r="X348" i="4"/>
  <c r="X312" i="4"/>
  <c r="X333" i="4"/>
  <c r="X350" i="4"/>
  <c r="O28" i="52"/>
  <c r="O30" i="52"/>
  <c r="F28" i="52"/>
  <c r="F30" i="52"/>
  <c r="G28" i="52"/>
  <c r="G30" i="52"/>
  <c r="N28" i="52"/>
  <c r="N30" i="52"/>
  <c r="I26" i="55"/>
  <c r="I28" i="55"/>
  <c r="H26" i="55"/>
  <c r="H28" i="55"/>
  <c r="G26" i="55"/>
  <c r="F26" i="55"/>
  <c r="G28" i="55"/>
  <c r="I26" i="54"/>
  <c r="I28" i="54"/>
  <c r="H26" i="54"/>
  <c r="H28" i="54"/>
  <c r="G26" i="54"/>
  <c r="G28" i="54"/>
  <c r="F26" i="54"/>
  <c r="F28" i="54"/>
  <c r="F28" i="55"/>
  <c r="G25" i="53"/>
  <c r="G26" i="53"/>
  <c r="G28" i="53"/>
  <c r="H25" i="53"/>
  <c r="H26" i="53"/>
  <c r="H28" i="53"/>
  <c r="F25" i="53"/>
  <c r="F26" i="53"/>
  <c r="F28" i="53"/>
  <c r="I25" i="53"/>
  <c r="I26" i="53"/>
  <c r="I28" i="53"/>
  <c r="G114" i="4"/>
  <c r="AL114" i="4"/>
  <c r="E138" i="7"/>
  <c r="AN332" i="4"/>
  <c r="AN331" i="4"/>
  <c r="AN330" i="4"/>
  <c r="AN329" i="4"/>
  <c r="AN328" i="4"/>
  <c r="AN327" i="4"/>
  <c r="AN326" i="4"/>
  <c r="AN325" i="4"/>
  <c r="AN324" i="4"/>
  <c r="AN323" i="4"/>
  <c r="AN322" i="4"/>
  <c r="AN321" i="4"/>
  <c r="AN320" i="4"/>
  <c r="AN319" i="4"/>
  <c r="AN318" i="4"/>
  <c r="AN317" i="4"/>
  <c r="AN316" i="4"/>
  <c r="AN315" i="4"/>
  <c r="AN311" i="4"/>
  <c r="AN310" i="4"/>
  <c r="AN309" i="4"/>
  <c r="AN308" i="4"/>
  <c r="AN307" i="4"/>
  <c r="AN293" i="4"/>
  <c r="AN286" i="4"/>
  <c r="AN283" i="4"/>
  <c r="AN282" i="4"/>
  <c r="Q29" i="38"/>
  <c r="P29" i="38"/>
  <c r="O29" i="38"/>
  <c r="N29" i="38"/>
  <c r="M29" i="38"/>
  <c r="L29" i="38"/>
  <c r="K29" i="38"/>
  <c r="J29" i="38"/>
  <c r="I29" i="38"/>
  <c r="H29" i="38"/>
  <c r="G29" i="38"/>
  <c r="F29" i="38"/>
  <c r="R41" i="25"/>
  <c r="Q41" i="25"/>
  <c r="P41" i="25"/>
  <c r="O41" i="25"/>
  <c r="N41" i="25"/>
  <c r="M41" i="25"/>
  <c r="L41" i="25"/>
  <c r="K41" i="25"/>
  <c r="J41" i="25"/>
  <c r="I41" i="25"/>
  <c r="H41" i="25"/>
  <c r="G41" i="25"/>
  <c r="AD19" i="61"/>
  <c r="AC19" i="61"/>
  <c r="AB19" i="61"/>
  <c r="AA19" i="61"/>
  <c r="Z19" i="61"/>
  <c r="Y19" i="61"/>
  <c r="X19" i="61"/>
  <c r="W19" i="61"/>
  <c r="V19" i="61"/>
  <c r="U19" i="61"/>
  <c r="T19" i="61"/>
  <c r="S19" i="61"/>
  <c r="R19" i="61"/>
  <c r="Q19" i="61"/>
  <c r="P19" i="61"/>
  <c r="O19" i="61"/>
  <c r="N19" i="61"/>
  <c r="M19" i="61"/>
  <c r="L19" i="61"/>
  <c r="K19" i="61"/>
  <c r="J19" i="61"/>
  <c r="I19" i="61"/>
  <c r="H19" i="61"/>
  <c r="G19" i="61"/>
  <c r="F19" i="61"/>
  <c r="E19" i="61"/>
  <c r="I21" i="57"/>
  <c r="H21" i="57"/>
  <c r="G21" i="57"/>
  <c r="F21" i="57"/>
  <c r="I21" i="56"/>
  <c r="H21" i="56"/>
  <c r="G21" i="56"/>
  <c r="F21" i="56"/>
  <c r="C25" i="53"/>
  <c r="I345" i="4"/>
  <c r="F327" i="49"/>
  <c r="F325" i="49"/>
  <c r="F324" i="49"/>
  <c r="F319" i="49"/>
  <c r="F316" i="49"/>
  <c r="F312" i="49"/>
  <c r="F311" i="49"/>
  <c r="F310" i="49"/>
  <c r="F307" i="49"/>
  <c r="F306" i="49"/>
  <c r="F305" i="49"/>
  <c r="F300" i="49"/>
  <c r="F299" i="49"/>
  <c r="F298" i="49"/>
  <c r="F296" i="49"/>
  <c r="F295" i="49"/>
  <c r="F294" i="49"/>
  <c r="F293" i="49"/>
  <c r="F292" i="49"/>
  <c r="F291" i="49"/>
  <c r="F290" i="49"/>
  <c r="F289" i="49"/>
  <c r="F288" i="49"/>
  <c r="F287" i="49"/>
  <c r="F283" i="49"/>
  <c r="F281" i="49"/>
  <c r="F280" i="49"/>
  <c r="F279" i="49"/>
  <c r="F278" i="49"/>
  <c r="F276" i="49"/>
  <c r="F275" i="49"/>
  <c r="F274" i="49"/>
  <c r="F272" i="49"/>
  <c r="F271" i="49"/>
  <c r="F270" i="49"/>
  <c r="F269" i="49"/>
  <c r="F268" i="49"/>
  <c r="F267" i="49"/>
  <c r="F266" i="49"/>
  <c r="F265" i="49"/>
  <c r="F264" i="49"/>
  <c r="F263" i="49"/>
  <c r="F262" i="49"/>
  <c r="F261" i="49"/>
  <c r="F260" i="49"/>
  <c r="F257" i="49"/>
  <c r="F256" i="49"/>
  <c r="F255" i="49"/>
  <c r="F254" i="49"/>
  <c r="F253" i="49"/>
  <c r="F251" i="49"/>
  <c r="F249" i="49"/>
  <c r="F248" i="49"/>
  <c r="F247" i="49"/>
  <c r="F246" i="49"/>
  <c r="F245" i="49"/>
  <c r="F218" i="49"/>
  <c r="F209" i="49"/>
  <c r="F205" i="49"/>
  <c r="F204" i="49"/>
  <c r="F203" i="49"/>
  <c r="F202" i="49"/>
  <c r="F201" i="49"/>
  <c r="F200" i="49"/>
  <c r="F199" i="49"/>
  <c r="F198" i="49"/>
  <c r="F197" i="49"/>
  <c r="F196" i="49"/>
  <c r="F195" i="49"/>
  <c r="F183" i="49"/>
  <c r="F181" i="49"/>
  <c r="F180" i="49"/>
  <c r="F175" i="49"/>
  <c r="F173" i="49"/>
  <c r="F172" i="49"/>
  <c r="F170" i="49"/>
  <c r="F168" i="49"/>
  <c r="F165" i="49"/>
  <c r="F164" i="49"/>
  <c r="F163" i="49"/>
  <c r="F161" i="49"/>
  <c r="F160" i="49"/>
  <c r="F158" i="49"/>
  <c r="F155" i="49"/>
  <c r="F154" i="49"/>
  <c r="F152" i="49"/>
  <c r="F148" i="49"/>
  <c r="F147" i="49"/>
  <c r="F145" i="49"/>
  <c r="F144" i="49"/>
  <c r="F142" i="49"/>
  <c r="F139" i="49"/>
  <c r="F137" i="49"/>
  <c r="F136" i="49"/>
  <c r="F135" i="49"/>
  <c r="F134" i="49"/>
  <c r="F133" i="49"/>
  <c r="F132" i="49"/>
  <c r="F131" i="49"/>
  <c r="F130" i="49"/>
  <c r="F127" i="49"/>
  <c r="F126" i="49"/>
  <c r="F125" i="49"/>
  <c r="F123" i="49"/>
  <c r="F120" i="49"/>
  <c r="F119" i="49"/>
  <c r="F118" i="49"/>
  <c r="F117" i="49"/>
  <c r="F115" i="49"/>
  <c r="F114" i="49"/>
  <c r="F112" i="49"/>
  <c r="F111" i="49"/>
  <c r="F110" i="49"/>
  <c r="F109" i="49"/>
  <c r="F108" i="49"/>
  <c r="F107" i="49"/>
  <c r="F106" i="49"/>
  <c r="F103" i="49"/>
  <c r="F102" i="49"/>
  <c r="F101" i="49"/>
  <c r="F100" i="49"/>
  <c r="F99" i="49"/>
  <c r="F98" i="49"/>
  <c r="F97" i="49"/>
  <c r="F95" i="49"/>
  <c r="F94" i="49"/>
  <c r="F92" i="49"/>
  <c r="F91" i="49"/>
  <c r="F89" i="49"/>
  <c r="F88" i="49"/>
  <c r="F87" i="49"/>
  <c r="F86" i="49"/>
  <c r="F85" i="49"/>
  <c r="F84" i="49"/>
  <c r="F82" i="49"/>
  <c r="F80" i="49"/>
  <c r="F79" i="49"/>
  <c r="F78" i="49"/>
  <c r="F77" i="49"/>
  <c r="F74" i="49"/>
  <c r="F70" i="49"/>
  <c r="F69" i="49"/>
  <c r="F68" i="49"/>
  <c r="F65" i="49"/>
  <c r="F64" i="49"/>
  <c r="F63" i="49"/>
  <c r="F62" i="49"/>
  <c r="F60" i="49"/>
  <c r="F59" i="49"/>
  <c r="F58" i="49"/>
  <c r="F57" i="49"/>
  <c r="F50" i="49"/>
  <c r="F47" i="49"/>
  <c r="F46" i="49"/>
  <c r="F43" i="49"/>
  <c r="F32" i="49"/>
  <c r="F31" i="49"/>
  <c r="F30" i="49"/>
  <c r="F26" i="49"/>
  <c r="F25" i="49"/>
  <c r="F24" i="49"/>
  <c r="F23" i="49"/>
  <c r="F22" i="49"/>
  <c r="F21" i="49"/>
  <c r="F20" i="49"/>
  <c r="F19" i="49"/>
  <c r="F18" i="49"/>
  <c r="F15" i="49"/>
  <c r="E24" i="31"/>
  <c r="E16" i="31"/>
  <c r="F46" i="68"/>
  <c r="AN277" i="4"/>
  <c r="AM277" i="4"/>
  <c r="AM114" i="4"/>
  <c r="AK114" i="4"/>
  <c r="I350" i="4"/>
  <c r="E29" i="38"/>
  <c r="F41" i="25"/>
  <c r="F52" i="68"/>
  <c r="F53" i="68"/>
  <c r="G146" i="49"/>
  <c r="C145" i="69"/>
  <c r="E145" i="69" s="1"/>
  <c r="E25" i="31"/>
  <c r="AN349" i="4"/>
  <c r="AG349" i="4"/>
  <c r="AE349" i="4"/>
  <c r="AN348" i="4"/>
  <c r="AG348" i="4"/>
  <c r="AE348" i="4"/>
  <c r="AN347" i="4"/>
  <c r="AG347" i="4"/>
  <c r="AE347" i="4"/>
  <c r="AN346" i="4"/>
  <c r="AG346" i="4"/>
  <c r="AE346" i="4"/>
  <c r="AC345" i="4"/>
  <c r="AC336" i="4"/>
  <c r="G349" i="4"/>
  <c r="AD349" i="4"/>
  <c r="G348" i="4"/>
  <c r="AD348" i="4"/>
  <c r="G347" i="4"/>
  <c r="AD347" i="4"/>
  <c r="G346" i="4"/>
  <c r="AD346" i="4"/>
  <c r="G345" i="4"/>
  <c r="G344" i="4"/>
  <c r="G343" i="4"/>
  <c r="G342" i="4"/>
  <c r="G341" i="4"/>
  <c r="G340" i="4"/>
  <c r="G339" i="4"/>
  <c r="G338" i="4"/>
  <c r="G337" i="4"/>
  <c r="G336" i="4"/>
  <c r="AG332" i="4"/>
  <c r="AE332" i="4"/>
  <c r="AG330" i="4"/>
  <c r="AE330" i="4"/>
  <c r="AG329" i="4"/>
  <c r="AE329" i="4"/>
  <c r="AG328" i="4"/>
  <c r="AE328" i="4"/>
  <c r="AG327" i="4"/>
  <c r="AE327" i="4"/>
  <c r="AG326" i="4"/>
  <c r="AE326" i="4"/>
  <c r="AG325" i="4"/>
  <c r="AE325" i="4"/>
  <c r="AG324" i="4"/>
  <c r="AE324" i="4"/>
  <c r="AG323" i="4"/>
  <c r="AE323" i="4"/>
  <c r="AG322" i="4"/>
  <c r="AE322" i="4"/>
  <c r="AG321" i="4"/>
  <c r="AE321" i="4"/>
  <c r="AG320" i="4"/>
  <c r="AE320" i="4"/>
  <c r="AG319" i="4"/>
  <c r="AE319" i="4"/>
  <c r="AG318" i="4"/>
  <c r="AE318" i="4"/>
  <c r="AG317" i="4"/>
  <c r="AE317" i="4"/>
  <c r="AG316" i="4"/>
  <c r="AE316" i="4"/>
  <c r="AG315" i="4"/>
  <c r="AE315" i="4"/>
  <c r="AG311" i="4"/>
  <c r="AE311" i="4"/>
  <c r="AG309" i="4"/>
  <c r="AE309" i="4"/>
  <c r="AG308" i="4"/>
  <c r="AE308" i="4"/>
  <c r="AG307" i="4"/>
  <c r="AE307" i="4"/>
  <c r="AE305" i="4"/>
  <c r="AE304" i="4"/>
  <c r="AG293" i="4"/>
  <c r="AE293" i="4"/>
  <c r="AG286" i="4"/>
  <c r="AE286" i="4"/>
  <c r="AE285" i="4"/>
  <c r="AE284" i="4"/>
  <c r="AG283" i="4"/>
  <c r="AE283" i="4"/>
  <c r="AG282" i="4"/>
  <c r="AE282" i="4"/>
  <c r="AE277" i="4"/>
  <c r="AE226" i="4"/>
  <c r="AE223" i="4"/>
  <c r="AE196" i="4"/>
  <c r="AE177" i="4"/>
  <c r="AE154" i="4"/>
  <c r="AE120" i="4"/>
  <c r="AE114" i="4"/>
  <c r="AE113" i="4"/>
  <c r="AE98" i="4"/>
  <c r="AE97" i="4"/>
  <c r="G22" i="4"/>
  <c r="D24" i="4"/>
  <c r="AA24" i="4"/>
  <c r="AC24" i="4"/>
  <c r="H52" i="3"/>
  <c r="H51" i="3"/>
  <c r="H50" i="3"/>
  <c r="H49" i="3"/>
  <c r="H48" i="3"/>
  <c r="H47" i="3"/>
  <c r="H46" i="3"/>
  <c r="H45" i="3"/>
  <c r="H44" i="3"/>
  <c r="H43" i="3"/>
  <c r="H42" i="3"/>
  <c r="H41" i="3"/>
  <c r="H36" i="3"/>
  <c r="H35" i="3"/>
  <c r="H34" i="3"/>
  <c r="H33" i="3"/>
  <c r="H32" i="3"/>
  <c r="H31" i="3"/>
  <c r="H30" i="3"/>
  <c r="H29" i="3"/>
  <c r="H28" i="3"/>
  <c r="H27" i="3"/>
  <c r="H26" i="3"/>
  <c r="H25" i="3"/>
  <c r="I325" i="49"/>
  <c r="I324" i="49"/>
  <c r="I299" i="49"/>
  <c r="I298" i="49"/>
  <c r="I246" i="49"/>
  <c r="I245" i="49"/>
  <c r="I84" i="49"/>
  <c r="I78" i="49"/>
  <c r="I77" i="49"/>
  <c r="I74" i="49"/>
  <c r="I62" i="49"/>
  <c r="I32" i="49"/>
  <c r="I31" i="49"/>
  <c r="I233" i="49"/>
  <c r="I186" i="49"/>
  <c r="I136" i="49"/>
  <c r="I116" i="49"/>
  <c r="I70" i="49"/>
  <c r="I44" i="49"/>
  <c r="I43" i="49"/>
  <c r="I10" i="49"/>
  <c r="I315" i="49"/>
  <c r="I310" i="49"/>
  <c r="I304" i="49"/>
  <c r="I296" i="49"/>
  <c r="I295" i="49"/>
  <c r="I290" i="49"/>
  <c r="I289" i="49"/>
  <c r="I288" i="49"/>
  <c r="I283" i="49"/>
  <c r="I278" i="49"/>
  <c r="I276" i="49"/>
  <c r="I272" i="49"/>
  <c r="I269" i="49"/>
  <c r="I267" i="49"/>
  <c r="I266" i="49"/>
  <c r="I265" i="49"/>
  <c r="I264" i="49"/>
  <c r="I262" i="49"/>
  <c r="I261" i="49"/>
  <c r="I260" i="49"/>
  <c r="I256" i="49"/>
  <c r="I254" i="49"/>
  <c r="I251" i="49"/>
  <c r="I216" i="49"/>
  <c r="I210" i="49"/>
  <c r="I208" i="49"/>
  <c r="I205" i="49"/>
  <c r="I181" i="49"/>
  <c r="I173" i="49"/>
  <c r="I171" i="49"/>
  <c r="I169" i="49"/>
  <c r="I168" i="49"/>
  <c r="I167" i="49"/>
  <c r="I166" i="49"/>
  <c r="I163" i="49"/>
  <c r="I147" i="49"/>
  <c r="I145" i="49"/>
  <c r="I142" i="49"/>
  <c r="I139" i="49"/>
  <c r="I134" i="49"/>
  <c r="I131" i="49"/>
  <c r="I125" i="49"/>
  <c r="I123" i="49"/>
  <c r="I109" i="49"/>
  <c r="I108" i="49"/>
  <c r="I97" i="49"/>
  <c r="I93" i="49"/>
  <c r="I91" i="49"/>
  <c r="I89" i="49"/>
  <c r="I86" i="49"/>
  <c r="I69" i="49"/>
  <c r="I68" i="49"/>
  <c r="I63" i="49"/>
  <c r="I47" i="49"/>
  <c r="I45" i="49"/>
  <c r="I26" i="49"/>
  <c r="I22" i="49"/>
  <c r="I21" i="49"/>
  <c r="F8" i="49"/>
  <c r="I188" i="49"/>
  <c r="I300" i="49"/>
  <c r="F36" i="49"/>
  <c r="F35" i="49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72" i="4"/>
  <c r="G171" i="4"/>
  <c r="G170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AL92" i="4"/>
  <c r="G91" i="4"/>
  <c r="AL91" i="4"/>
  <c r="G90" i="4"/>
  <c r="AL90" i="4"/>
  <c r="G89" i="4"/>
  <c r="AL89" i="4"/>
  <c r="G88" i="4"/>
  <c r="AL88" i="4"/>
  <c r="G87" i="4"/>
  <c r="AL87" i="4"/>
  <c r="G86" i="4"/>
  <c r="AL86" i="4"/>
  <c r="G85" i="4"/>
  <c r="AL85" i="4"/>
  <c r="G84" i="4"/>
  <c r="AL84" i="4"/>
  <c r="G83" i="4"/>
  <c r="AL83" i="4"/>
  <c r="G82" i="4"/>
  <c r="AL82" i="4"/>
  <c r="G81" i="4"/>
  <c r="AL81" i="4"/>
  <c r="AL97" i="4"/>
  <c r="AM97" i="4"/>
  <c r="AK97" i="4"/>
  <c r="AM109" i="4"/>
  <c r="AK109" i="4"/>
  <c r="AL137" i="4"/>
  <c r="AM137" i="4"/>
  <c r="AK137" i="4"/>
  <c r="AL149" i="4"/>
  <c r="AK149" i="4"/>
  <c r="AM149" i="4"/>
  <c r="AM186" i="4"/>
  <c r="AK186" i="4"/>
  <c r="AM198" i="4"/>
  <c r="AK198" i="4"/>
  <c r="AL206" i="4"/>
  <c r="AK206" i="4"/>
  <c r="AM206" i="4"/>
  <c r="AM178" i="4"/>
  <c r="AK178" i="4"/>
  <c r="AL218" i="4"/>
  <c r="AM218" i="4"/>
  <c r="AK218" i="4"/>
  <c r="AL230" i="4"/>
  <c r="AM230" i="4"/>
  <c r="AK230" i="4"/>
  <c r="AM234" i="4"/>
  <c r="AK234" i="4"/>
  <c r="AL94" i="4"/>
  <c r="AK94" i="4"/>
  <c r="AM94" i="4"/>
  <c r="AL98" i="4"/>
  <c r="AM98" i="4"/>
  <c r="AK98" i="4"/>
  <c r="AL102" i="4"/>
  <c r="AM102" i="4"/>
  <c r="AK102" i="4"/>
  <c r="AL106" i="4"/>
  <c r="AM106" i="4"/>
  <c r="AK106" i="4"/>
  <c r="AK110" i="4"/>
  <c r="AM110" i="4"/>
  <c r="AM130" i="4"/>
  <c r="AK130" i="4"/>
  <c r="AL134" i="4"/>
  <c r="AM134" i="4"/>
  <c r="AK134" i="4"/>
  <c r="AM138" i="4"/>
  <c r="AK138" i="4"/>
  <c r="AL142" i="4"/>
  <c r="AK142" i="4"/>
  <c r="AM142" i="4"/>
  <c r="AL146" i="4"/>
  <c r="AM146" i="4"/>
  <c r="AK146" i="4"/>
  <c r="AL150" i="4"/>
  <c r="AM150" i="4"/>
  <c r="AK150" i="4"/>
  <c r="AL171" i="4"/>
  <c r="AM171" i="4"/>
  <c r="AK171" i="4"/>
  <c r="AM187" i="4"/>
  <c r="AK187" i="4"/>
  <c r="AL191" i="4"/>
  <c r="AM191" i="4"/>
  <c r="AK191" i="4"/>
  <c r="AM195" i="4"/>
  <c r="AK195" i="4"/>
  <c r="AL199" i="4"/>
  <c r="AM199" i="4"/>
  <c r="AK199" i="4"/>
  <c r="AM203" i="4"/>
  <c r="AK203" i="4"/>
  <c r="AL207" i="4"/>
  <c r="AM207" i="4"/>
  <c r="AK207" i="4"/>
  <c r="AL211" i="4"/>
  <c r="AK211" i="4"/>
  <c r="AM211" i="4"/>
  <c r="AL175" i="4"/>
  <c r="AM175" i="4"/>
  <c r="AK175" i="4"/>
  <c r="AL179" i="4"/>
  <c r="AM179" i="4"/>
  <c r="AK179" i="4"/>
  <c r="AM183" i="4"/>
  <c r="AK183" i="4"/>
  <c r="AL215" i="4"/>
  <c r="AM215" i="4"/>
  <c r="AK215" i="4"/>
  <c r="AL219" i="4"/>
  <c r="AM219" i="4"/>
  <c r="AK219" i="4"/>
  <c r="AL223" i="4"/>
  <c r="AM223" i="4"/>
  <c r="AK223" i="4"/>
  <c r="AL227" i="4"/>
  <c r="AM227" i="4"/>
  <c r="AK227" i="4"/>
  <c r="AL231" i="4"/>
  <c r="AM231" i="4"/>
  <c r="AK231" i="4"/>
  <c r="AM235" i="4"/>
  <c r="AK235" i="4"/>
  <c r="AL239" i="4"/>
  <c r="AM239" i="4"/>
  <c r="AK239" i="4"/>
  <c r="AL101" i="4"/>
  <c r="AM101" i="4"/>
  <c r="AK101" i="4"/>
  <c r="AL113" i="4"/>
  <c r="AM113" i="4"/>
  <c r="AK113" i="4"/>
  <c r="AL145" i="4"/>
  <c r="AK145" i="4"/>
  <c r="AM145" i="4"/>
  <c r="AL190" i="4"/>
  <c r="AK190" i="4"/>
  <c r="AM190" i="4"/>
  <c r="AL202" i="4"/>
  <c r="AM202" i="4"/>
  <c r="AK202" i="4"/>
  <c r="AL174" i="4"/>
  <c r="AM174" i="4"/>
  <c r="AK174" i="4"/>
  <c r="AL214" i="4"/>
  <c r="AK214" i="4"/>
  <c r="AM214" i="4"/>
  <c r="AL226" i="4"/>
  <c r="AM226" i="4"/>
  <c r="AK226" i="4"/>
  <c r="AL95" i="4"/>
  <c r="AM95" i="4"/>
  <c r="AK95" i="4"/>
  <c r="AL99" i="4"/>
  <c r="AM99" i="4"/>
  <c r="AK99" i="4"/>
  <c r="AL103" i="4"/>
  <c r="AM103" i="4"/>
  <c r="AK103" i="4"/>
  <c r="AL107" i="4"/>
  <c r="AM107" i="4"/>
  <c r="AK107" i="4"/>
  <c r="AM111" i="4"/>
  <c r="AK111" i="4"/>
  <c r="AM131" i="4"/>
  <c r="AK131" i="4"/>
  <c r="AL135" i="4"/>
  <c r="AM135" i="4"/>
  <c r="AK135" i="4"/>
  <c r="AM139" i="4"/>
  <c r="AK139" i="4"/>
  <c r="AL143" i="4"/>
  <c r="AM143" i="4"/>
  <c r="AK143" i="4"/>
  <c r="AL147" i="4"/>
  <c r="AM147" i="4"/>
  <c r="AK147" i="4"/>
  <c r="AL151" i="4"/>
  <c r="AM151" i="4"/>
  <c r="AK151" i="4"/>
  <c r="AL172" i="4"/>
  <c r="AK172" i="4"/>
  <c r="AM172" i="4"/>
  <c r="AK188" i="4"/>
  <c r="AM188" i="4"/>
  <c r="AL192" i="4"/>
  <c r="AM192" i="4"/>
  <c r="AK192" i="4"/>
  <c r="AL196" i="4"/>
  <c r="AM196" i="4"/>
  <c r="AK196" i="4"/>
  <c r="AL200" i="4"/>
  <c r="AM200" i="4"/>
  <c r="AK200" i="4"/>
  <c r="AL204" i="4"/>
  <c r="AK204" i="4"/>
  <c r="AM204" i="4"/>
  <c r="AL208" i="4"/>
  <c r="AM208" i="4"/>
  <c r="AK208" i="4"/>
  <c r="AL212" i="4"/>
  <c r="AM212" i="4"/>
  <c r="AK212" i="4"/>
  <c r="AL176" i="4"/>
  <c r="AM176" i="4"/>
  <c r="AK176" i="4"/>
  <c r="AL180" i="4"/>
  <c r="AM180" i="4"/>
  <c r="AK180" i="4"/>
  <c r="AL184" i="4"/>
  <c r="AM184" i="4"/>
  <c r="AK184" i="4"/>
  <c r="AL216" i="4"/>
  <c r="AM216" i="4"/>
  <c r="AK216" i="4"/>
  <c r="AL220" i="4"/>
  <c r="AK220" i="4"/>
  <c r="AM220" i="4"/>
  <c r="AL224" i="4"/>
  <c r="AM224" i="4"/>
  <c r="AK224" i="4"/>
  <c r="AL228" i="4"/>
  <c r="AM228" i="4"/>
  <c r="AK228" i="4"/>
  <c r="AL232" i="4"/>
  <c r="AM232" i="4"/>
  <c r="AK232" i="4"/>
  <c r="AL236" i="4"/>
  <c r="AK236" i="4"/>
  <c r="AM236" i="4"/>
  <c r="AL240" i="4"/>
  <c r="AM240" i="4"/>
  <c r="AK240" i="4"/>
  <c r="AM93" i="4"/>
  <c r="AK93" i="4"/>
  <c r="AM105" i="4"/>
  <c r="AK105" i="4"/>
  <c r="AL133" i="4"/>
  <c r="AM133" i="4"/>
  <c r="AK133" i="4"/>
  <c r="AL141" i="4"/>
  <c r="AM141" i="4"/>
  <c r="AK141" i="4"/>
  <c r="AL170" i="4"/>
  <c r="AM170" i="4"/>
  <c r="AK170" i="4"/>
  <c r="AL194" i="4"/>
  <c r="AM194" i="4"/>
  <c r="AK194" i="4"/>
  <c r="AL210" i="4"/>
  <c r="AM210" i="4"/>
  <c r="AK210" i="4"/>
  <c r="AL182" i="4"/>
  <c r="AM182" i="4"/>
  <c r="AK182" i="4"/>
  <c r="AM222" i="4"/>
  <c r="AK222" i="4"/>
  <c r="AL238" i="4"/>
  <c r="AM238" i="4"/>
  <c r="AK238" i="4"/>
  <c r="AL96" i="4"/>
  <c r="AK96" i="4"/>
  <c r="AM96" i="4"/>
  <c r="AL100" i="4"/>
  <c r="AM100" i="4"/>
  <c r="AK100" i="4"/>
  <c r="AL104" i="4"/>
  <c r="AK104" i="4"/>
  <c r="AM104" i="4"/>
  <c r="AK108" i="4"/>
  <c r="AM108" i="4"/>
  <c r="AL112" i="4"/>
  <c r="AM112" i="4"/>
  <c r="AK112" i="4"/>
  <c r="AL132" i="4"/>
  <c r="AM132" i="4"/>
  <c r="AK132" i="4"/>
  <c r="AL136" i="4"/>
  <c r="AK136" i="4"/>
  <c r="AM136" i="4"/>
  <c r="AL140" i="4"/>
  <c r="AK140" i="4"/>
  <c r="AM140" i="4"/>
  <c r="AL144" i="4"/>
  <c r="AK144" i="4"/>
  <c r="AM144" i="4"/>
  <c r="AL148" i="4"/>
  <c r="AM148" i="4"/>
  <c r="AK148" i="4"/>
  <c r="AL152" i="4"/>
  <c r="AM152" i="4"/>
  <c r="AK152" i="4"/>
  <c r="AL185" i="4"/>
  <c r="AM185" i="4"/>
  <c r="AK185" i="4"/>
  <c r="AL189" i="4"/>
  <c r="AM189" i="4"/>
  <c r="AK189" i="4"/>
  <c r="AL193" i="4"/>
  <c r="AK193" i="4"/>
  <c r="AM193" i="4"/>
  <c r="AL197" i="4"/>
  <c r="AM197" i="4"/>
  <c r="AK197" i="4"/>
  <c r="AL201" i="4"/>
  <c r="AM201" i="4"/>
  <c r="AK201" i="4"/>
  <c r="AL205" i="4"/>
  <c r="AM205" i="4"/>
  <c r="AK205" i="4"/>
  <c r="AL209" i="4"/>
  <c r="AK209" i="4"/>
  <c r="AM209" i="4"/>
  <c r="AL173" i="4"/>
  <c r="AM173" i="4"/>
  <c r="AK173" i="4"/>
  <c r="AK177" i="4"/>
  <c r="AM177" i="4"/>
  <c r="AL181" i="4"/>
  <c r="AK181" i="4"/>
  <c r="AM181" i="4"/>
  <c r="AL213" i="4"/>
  <c r="AM213" i="4"/>
  <c r="AK213" i="4"/>
  <c r="AM217" i="4"/>
  <c r="AK217" i="4"/>
  <c r="AL221" i="4"/>
  <c r="AM221" i="4"/>
  <c r="AK221" i="4"/>
  <c r="AL225" i="4"/>
  <c r="AK225" i="4"/>
  <c r="AM225" i="4"/>
  <c r="AM229" i="4"/>
  <c r="AK229" i="4"/>
  <c r="AL233" i="4"/>
  <c r="AM233" i="4"/>
  <c r="AK233" i="4"/>
  <c r="AL237" i="4"/>
  <c r="AM237" i="4"/>
  <c r="AK237" i="4"/>
  <c r="AM81" i="4"/>
  <c r="AK81" i="4"/>
  <c r="AK83" i="4"/>
  <c r="AM83" i="4"/>
  <c r="AM85" i="4"/>
  <c r="AK85" i="4"/>
  <c r="AM87" i="4"/>
  <c r="AK87" i="4"/>
  <c r="AM89" i="4"/>
  <c r="AK89" i="4"/>
  <c r="AM91" i="4"/>
  <c r="AK91" i="4"/>
  <c r="AK82" i="4"/>
  <c r="AM82" i="4"/>
  <c r="AM84" i="4"/>
  <c r="AK84" i="4"/>
  <c r="AM86" i="4"/>
  <c r="AK86" i="4"/>
  <c r="AM88" i="4"/>
  <c r="AK88" i="4"/>
  <c r="AK90" i="4"/>
  <c r="AM90" i="4"/>
  <c r="AM92" i="4"/>
  <c r="AK92" i="4"/>
  <c r="I35" i="49"/>
  <c r="D343" i="4"/>
  <c r="D342" i="4"/>
  <c r="D341" i="4"/>
  <c r="D340" i="4"/>
  <c r="D339" i="4"/>
  <c r="Z295" i="4"/>
  <c r="G295" i="4"/>
  <c r="AA295" i="4"/>
  <c r="AC295" i="4"/>
  <c r="Z294" i="4"/>
  <c r="G294" i="4"/>
  <c r="AA294" i="4"/>
  <c r="AC294" i="4"/>
  <c r="Z293" i="4"/>
  <c r="G293" i="4"/>
  <c r="AA293" i="4"/>
  <c r="AC293" i="4"/>
  <c r="Z292" i="4"/>
  <c r="G292" i="4"/>
  <c r="AA292" i="4"/>
  <c r="AC292" i="4"/>
  <c r="Z291" i="4"/>
  <c r="G291" i="4"/>
  <c r="AA291" i="4"/>
  <c r="AC291" i="4"/>
  <c r="Z290" i="4"/>
  <c r="G290" i="4"/>
  <c r="AA290" i="4"/>
  <c r="AC290" i="4"/>
  <c r="Z289" i="4"/>
  <c r="G289" i="4"/>
  <c r="AA289" i="4"/>
  <c r="AC289" i="4"/>
  <c r="Z288" i="4"/>
  <c r="G288" i="4"/>
  <c r="AA288" i="4"/>
  <c r="AC288" i="4"/>
  <c r="Z287" i="4"/>
  <c r="G287" i="4"/>
  <c r="AA287" i="4"/>
  <c r="AC287" i="4"/>
  <c r="Z286" i="4"/>
  <c r="G286" i="4"/>
  <c r="AA286" i="4"/>
  <c r="AC286" i="4"/>
  <c r="Z285" i="4"/>
  <c r="G285" i="4"/>
  <c r="AA285" i="4"/>
  <c r="AC285" i="4"/>
  <c r="Z284" i="4"/>
  <c r="G284" i="4"/>
  <c r="AA284" i="4"/>
  <c r="AC284" i="4"/>
  <c r="Z283" i="4"/>
  <c r="G283" i="4"/>
  <c r="AA283" i="4"/>
  <c r="AC283" i="4"/>
  <c r="Z282" i="4"/>
  <c r="G282" i="4"/>
  <c r="AA282" i="4"/>
  <c r="AC282" i="4"/>
  <c r="B19" i="4"/>
  <c r="G63" i="4"/>
  <c r="AL63" i="4"/>
  <c r="G62" i="4"/>
  <c r="AL62" i="4"/>
  <c r="G61" i="4"/>
  <c r="AL61" i="4"/>
  <c r="G60" i="4"/>
  <c r="AL60" i="4"/>
  <c r="G59" i="4"/>
  <c r="AL59" i="4"/>
  <c r="G58" i="4"/>
  <c r="G57" i="4"/>
  <c r="AL57" i="4"/>
  <c r="G56" i="4"/>
  <c r="AL56" i="4"/>
  <c r="G55" i="4"/>
  <c r="G54" i="4"/>
  <c r="AL54" i="4"/>
  <c r="G53" i="4"/>
  <c r="AL53" i="4"/>
  <c r="G52" i="4"/>
  <c r="AL52" i="4"/>
  <c r="G51" i="4"/>
  <c r="AL51" i="4"/>
  <c r="G50" i="4"/>
  <c r="AL50" i="4"/>
  <c r="G49" i="4"/>
  <c r="AL49" i="4"/>
  <c r="G48" i="4"/>
  <c r="G47" i="4"/>
  <c r="AL47" i="4"/>
  <c r="G46" i="4"/>
  <c r="AL46" i="4"/>
  <c r="G45" i="4"/>
  <c r="AL45" i="4"/>
  <c r="G44" i="4"/>
  <c r="AL44" i="4"/>
  <c r="G43" i="4"/>
  <c r="AL43" i="4"/>
  <c r="G42" i="4"/>
  <c r="AL42" i="4"/>
  <c r="G41" i="4"/>
  <c r="AL41" i="4"/>
  <c r="G40" i="4"/>
  <c r="AL40" i="4"/>
  <c r="G39" i="4"/>
  <c r="AL39" i="4"/>
  <c r="G38" i="4"/>
  <c r="AL38" i="4"/>
  <c r="G37" i="4"/>
  <c r="AL37" i="4"/>
  <c r="G36" i="4"/>
  <c r="G35" i="4"/>
  <c r="AL35" i="4"/>
  <c r="G34" i="4"/>
  <c r="AL34" i="4"/>
  <c r="G33" i="4"/>
  <c r="AL33" i="4"/>
  <c r="G32" i="4"/>
  <c r="AL32" i="4"/>
  <c r="G31" i="4"/>
  <c r="AL31" i="4"/>
  <c r="G30" i="4"/>
  <c r="AL30" i="4"/>
  <c r="G29" i="4"/>
  <c r="AL29" i="4"/>
  <c r="G28" i="4"/>
  <c r="AL28" i="4"/>
  <c r="G27" i="4"/>
  <c r="AL27" i="4"/>
  <c r="G26" i="4"/>
  <c r="AL26" i="4"/>
  <c r="G25" i="4"/>
  <c r="AL25" i="4"/>
  <c r="G125" i="4"/>
  <c r="G124" i="4"/>
  <c r="G123" i="4"/>
  <c r="G122" i="4"/>
  <c r="G121" i="4"/>
  <c r="G120" i="4"/>
  <c r="G119" i="4"/>
  <c r="G118" i="4"/>
  <c r="G117" i="4"/>
  <c r="G116" i="4"/>
  <c r="G115" i="4"/>
  <c r="G80" i="4"/>
  <c r="AL80" i="4"/>
  <c r="G79" i="4"/>
  <c r="AL79" i="4"/>
  <c r="G78" i="4"/>
  <c r="AL78" i="4"/>
  <c r="G77" i="4"/>
  <c r="AL77" i="4"/>
  <c r="G76" i="4"/>
  <c r="AL76" i="4"/>
  <c r="G75" i="4"/>
  <c r="AL75" i="4"/>
  <c r="G74" i="4"/>
  <c r="AL74" i="4"/>
  <c r="G73" i="4"/>
  <c r="AL73" i="4"/>
  <c r="G72" i="4"/>
  <c r="AL72" i="4"/>
  <c r="G71" i="4"/>
  <c r="AL71" i="4"/>
  <c r="G70" i="4"/>
  <c r="AL70" i="4"/>
  <c r="G69" i="4"/>
  <c r="AL69" i="4"/>
  <c r="G68" i="4"/>
  <c r="G67" i="4"/>
  <c r="AL67" i="4"/>
  <c r="G66" i="4"/>
  <c r="AL66" i="4"/>
  <c r="G65" i="4"/>
  <c r="AL65" i="4"/>
  <c r="G64" i="4"/>
  <c r="AL64" i="4"/>
  <c r="AL295" i="4"/>
  <c r="AM295" i="4"/>
  <c r="AK295" i="4"/>
  <c r="AL294" i="4"/>
  <c r="AM294" i="4"/>
  <c r="AK294" i="4"/>
  <c r="AL291" i="4"/>
  <c r="AK291" i="4"/>
  <c r="AM291" i="4"/>
  <c r="AL292" i="4"/>
  <c r="AK292" i="4"/>
  <c r="AM292" i="4"/>
  <c r="AL290" i="4"/>
  <c r="AM290" i="4"/>
  <c r="AK290" i="4"/>
  <c r="AL289" i="4"/>
  <c r="AM289" i="4"/>
  <c r="AK289" i="4"/>
  <c r="AL288" i="4"/>
  <c r="AK288" i="4"/>
  <c r="AM288" i="4"/>
  <c r="AL287" i="4"/>
  <c r="AM287" i="4"/>
  <c r="AK287" i="4"/>
  <c r="AL285" i="4"/>
  <c r="AM285" i="4"/>
  <c r="AK285" i="4"/>
  <c r="AL284" i="4"/>
  <c r="AK284" i="4"/>
  <c r="AM284" i="4"/>
  <c r="AK117" i="4"/>
  <c r="AM117" i="4"/>
  <c r="AL125" i="4"/>
  <c r="AM125" i="4"/>
  <c r="AK125" i="4"/>
  <c r="AL118" i="4"/>
  <c r="AM118" i="4"/>
  <c r="AK118" i="4"/>
  <c r="AM122" i="4"/>
  <c r="AK122" i="4"/>
  <c r="AL121" i="4"/>
  <c r="AM121" i="4"/>
  <c r="AK121" i="4"/>
  <c r="AL115" i="4"/>
  <c r="AM115" i="4"/>
  <c r="AK115" i="4"/>
  <c r="AL119" i="4"/>
  <c r="AM119" i="4"/>
  <c r="AK119" i="4"/>
  <c r="AL123" i="4"/>
  <c r="AM123" i="4"/>
  <c r="AK123" i="4"/>
  <c r="AL116" i="4"/>
  <c r="AM116" i="4"/>
  <c r="AK116" i="4"/>
  <c r="AL120" i="4"/>
  <c r="AK120" i="4"/>
  <c r="AM120" i="4"/>
  <c r="AK124" i="4"/>
  <c r="AM124" i="4"/>
  <c r="AM65" i="4"/>
  <c r="AK65" i="4"/>
  <c r="AK67" i="4"/>
  <c r="AM67" i="4"/>
  <c r="AM69" i="4"/>
  <c r="AK69" i="4"/>
  <c r="AK71" i="4"/>
  <c r="AM71" i="4"/>
  <c r="AM73" i="4"/>
  <c r="AK73" i="4"/>
  <c r="AK75" i="4"/>
  <c r="AM75" i="4"/>
  <c r="AM77" i="4"/>
  <c r="AK77" i="4"/>
  <c r="AK79" i="4"/>
  <c r="AM79" i="4"/>
  <c r="AM26" i="4"/>
  <c r="AK26" i="4"/>
  <c r="AK28" i="4"/>
  <c r="AM28" i="4"/>
  <c r="AM30" i="4"/>
  <c r="AK30" i="4"/>
  <c r="AM32" i="4"/>
  <c r="AK32" i="4"/>
  <c r="AM34" i="4"/>
  <c r="AK34" i="4"/>
  <c r="AM36" i="4"/>
  <c r="AK36" i="4"/>
  <c r="AM38" i="4"/>
  <c r="AK38" i="4"/>
  <c r="AM40" i="4"/>
  <c r="AK40" i="4"/>
  <c r="AM42" i="4"/>
  <c r="AK42" i="4"/>
  <c r="AM44" i="4"/>
  <c r="AK44" i="4"/>
  <c r="AM46" i="4"/>
  <c r="AK46" i="4"/>
  <c r="AM48" i="4"/>
  <c r="AK48" i="4"/>
  <c r="AM50" i="4"/>
  <c r="AK50" i="4"/>
  <c r="AM52" i="4"/>
  <c r="AK52" i="4"/>
  <c r="AM54" i="4"/>
  <c r="AK54" i="4"/>
  <c r="AM56" i="4"/>
  <c r="AK56" i="4"/>
  <c r="AM58" i="4"/>
  <c r="AK58" i="4"/>
  <c r="AM60" i="4"/>
  <c r="AK60" i="4"/>
  <c r="AM62" i="4"/>
  <c r="AK62" i="4"/>
  <c r="AM64" i="4"/>
  <c r="AK64" i="4"/>
  <c r="AM66" i="4"/>
  <c r="AK66" i="4"/>
  <c r="AM68" i="4"/>
  <c r="AK68" i="4"/>
  <c r="AM70" i="4"/>
  <c r="AK70" i="4"/>
  <c r="AM72" i="4"/>
  <c r="AK72" i="4"/>
  <c r="AK74" i="4"/>
  <c r="AM74" i="4"/>
  <c r="AM76" i="4"/>
  <c r="AK76" i="4"/>
  <c r="AK78" i="4"/>
  <c r="AM78" i="4"/>
  <c r="AM80" i="4"/>
  <c r="AK80" i="4"/>
  <c r="AK27" i="4"/>
  <c r="AM27" i="4"/>
  <c r="AK29" i="4"/>
  <c r="AM29" i="4"/>
  <c r="AM31" i="4"/>
  <c r="AK31" i="4"/>
  <c r="AM33" i="4"/>
  <c r="AK33" i="4"/>
  <c r="AM35" i="4"/>
  <c r="AK35" i="4"/>
  <c r="AM37" i="4"/>
  <c r="AK37" i="4"/>
  <c r="AM39" i="4"/>
  <c r="AK39" i="4"/>
  <c r="AM41" i="4"/>
  <c r="AK41" i="4"/>
  <c r="AM43" i="4"/>
  <c r="AK43" i="4"/>
  <c r="AM45" i="4"/>
  <c r="AK45" i="4"/>
  <c r="AM47" i="4"/>
  <c r="AK47" i="4"/>
  <c r="AM49" i="4"/>
  <c r="AK49" i="4"/>
  <c r="AM51" i="4"/>
  <c r="AK51" i="4"/>
  <c r="AM53" i="4"/>
  <c r="AK53" i="4"/>
  <c r="AK55" i="4"/>
  <c r="AM55" i="4"/>
  <c r="AM57" i="4"/>
  <c r="AK57" i="4"/>
  <c r="AK59" i="4"/>
  <c r="AM59" i="4"/>
  <c r="AM61" i="4"/>
  <c r="AK61" i="4"/>
  <c r="AK63" i="4"/>
  <c r="AM63" i="4"/>
  <c r="AM25" i="4"/>
  <c r="AK25" i="4"/>
  <c r="X282" i="4"/>
  <c r="Y282" i="4"/>
  <c r="X283" i="4"/>
  <c r="Y283" i="4"/>
  <c r="X284" i="4"/>
  <c r="Y284" i="4"/>
  <c r="X285" i="4"/>
  <c r="Y285" i="4"/>
  <c r="X286" i="4"/>
  <c r="Y286" i="4"/>
  <c r="X287" i="4"/>
  <c r="Y287" i="4"/>
  <c r="X288" i="4"/>
  <c r="Y288" i="4"/>
  <c r="X289" i="4"/>
  <c r="Y289" i="4"/>
  <c r="X290" i="4"/>
  <c r="Y290" i="4"/>
  <c r="X291" i="4"/>
  <c r="Y291" i="4"/>
  <c r="X292" i="4"/>
  <c r="Y292" i="4"/>
  <c r="X293" i="4"/>
  <c r="Y293" i="4"/>
  <c r="X295" i="4"/>
  <c r="Y295" i="4"/>
  <c r="X294" i="4"/>
  <c r="Y294" i="4"/>
  <c r="H155" i="49"/>
  <c r="I278" i="4"/>
  <c r="I333" i="4"/>
  <c r="I334" i="4"/>
  <c r="I371" i="4"/>
  <c r="I64" i="63"/>
  <c r="I63" i="63"/>
  <c r="I62" i="63"/>
  <c r="C4" i="63"/>
  <c r="A3" i="38"/>
  <c r="Q35" i="37"/>
  <c r="P35" i="37"/>
  <c r="O35" i="37"/>
  <c r="N35" i="37"/>
  <c r="M35" i="37"/>
  <c r="L35" i="37"/>
  <c r="K35" i="37"/>
  <c r="J35" i="37"/>
  <c r="I35" i="37"/>
  <c r="H35" i="37"/>
  <c r="G35" i="37"/>
  <c r="F35" i="37"/>
  <c r="E35" i="37"/>
  <c r="A3" i="37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A3" i="36"/>
  <c r="Q37" i="35"/>
  <c r="P37" i="35"/>
  <c r="O37" i="35"/>
  <c r="N37" i="35"/>
  <c r="M37" i="35"/>
  <c r="L37" i="35"/>
  <c r="K37" i="35"/>
  <c r="J37" i="35"/>
  <c r="I37" i="35"/>
  <c r="H37" i="35"/>
  <c r="G37" i="35"/>
  <c r="F37" i="35"/>
  <c r="E37" i="35"/>
  <c r="A3" i="35"/>
  <c r="P27" i="58"/>
  <c r="O27" i="58"/>
  <c r="N27" i="58"/>
  <c r="M27" i="58"/>
  <c r="L27" i="58"/>
  <c r="K27" i="58"/>
  <c r="J27" i="58"/>
  <c r="I27" i="58"/>
  <c r="H27" i="58"/>
  <c r="G27" i="58"/>
  <c r="F27" i="58"/>
  <c r="E27" i="58"/>
  <c r="D27" i="58"/>
  <c r="A3" i="58"/>
  <c r="P34" i="30"/>
  <c r="O34" i="30"/>
  <c r="N34" i="30"/>
  <c r="M34" i="30"/>
  <c r="L34" i="30"/>
  <c r="K34" i="30"/>
  <c r="J34" i="30"/>
  <c r="I34" i="30"/>
  <c r="H34" i="30"/>
  <c r="G34" i="30"/>
  <c r="F34" i="30"/>
  <c r="E34" i="30"/>
  <c r="A3" i="30"/>
  <c r="A3" i="31"/>
  <c r="A3" i="25"/>
  <c r="D19" i="61"/>
  <c r="C19" i="61"/>
  <c r="AE18" i="61"/>
  <c r="G143" i="49"/>
  <c r="AE16" i="61"/>
  <c r="AE15" i="61"/>
  <c r="AE14" i="61"/>
  <c r="A3" i="61"/>
  <c r="M21" i="57"/>
  <c r="L21" i="57"/>
  <c r="K21" i="57"/>
  <c r="J21" i="57"/>
  <c r="E21" i="57"/>
  <c r="D21" i="57"/>
  <c r="C21" i="57"/>
  <c r="N20" i="57"/>
  <c r="N19" i="57"/>
  <c r="N18" i="57"/>
  <c r="N17" i="57"/>
  <c r="N16" i="57"/>
  <c r="N14" i="57"/>
  <c r="N10" i="57"/>
  <c r="N9" i="57"/>
  <c r="A3" i="57"/>
  <c r="M21" i="56"/>
  <c r="L21" i="56"/>
  <c r="K21" i="56"/>
  <c r="J21" i="56"/>
  <c r="E21" i="56"/>
  <c r="D21" i="56"/>
  <c r="C21" i="56"/>
  <c r="N20" i="56"/>
  <c r="N19" i="56"/>
  <c r="N18" i="56"/>
  <c r="N17" i="56"/>
  <c r="N16" i="56"/>
  <c r="N14" i="56"/>
  <c r="A3" i="56"/>
  <c r="M26" i="55"/>
  <c r="L26" i="55"/>
  <c r="K26" i="55"/>
  <c r="J26" i="55"/>
  <c r="E26" i="55"/>
  <c r="D26" i="55"/>
  <c r="C26" i="55"/>
  <c r="N25" i="55"/>
  <c r="N24" i="55"/>
  <c r="N23" i="55"/>
  <c r="N22" i="55"/>
  <c r="N21" i="55"/>
  <c r="N20" i="55"/>
  <c r="N19" i="55"/>
  <c r="N18" i="55"/>
  <c r="N17" i="55"/>
  <c r="N16" i="55"/>
  <c r="N15" i="55"/>
  <c r="N14" i="55"/>
  <c r="N13" i="55"/>
  <c r="N12" i="55"/>
  <c r="N8" i="55"/>
  <c r="A3" i="55"/>
  <c r="M26" i="54"/>
  <c r="L26" i="54"/>
  <c r="K26" i="54"/>
  <c r="J26" i="54"/>
  <c r="J28" i="54"/>
  <c r="E26" i="54"/>
  <c r="D26" i="54"/>
  <c r="C26" i="54"/>
  <c r="N25" i="54"/>
  <c r="N24" i="54"/>
  <c r="N23" i="54"/>
  <c r="N22" i="54"/>
  <c r="N21" i="54"/>
  <c r="N20" i="54"/>
  <c r="N19" i="54"/>
  <c r="N18" i="54"/>
  <c r="N17" i="54"/>
  <c r="N16" i="54"/>
  <c r="N15" i="54"/>
  <c r="N14" i="54"/>
  <c r="N13" i="54"/>
  <c r="N12" i="54"/>
  <c r="N8" i="54"/>
  <c r="A3" i="54"/>
  <c r="C26" i="53"/>
  <c r="N24" i="53"/>
  <c r="N23" i="53"/>
  <c r="N22" i="53"/>
  <c r="N21" i="53"/>
  <c r="N20" i="53"/>
  <c r="N19" i="53"/>
  <c r="N18" i="53"/>
  <c r="N17" i="53"/>
  <c r="N16" i="53"/>
  <c r="N15" i="53"/>
  <c r="N14" i="53"/>
  <c r="N13" i="53"/>
  <c r="N12" i="53"/>
  <c r="M25" i="53"/>
  <c r="M26" i="53"/>
  <c r="L25" i="53"/>
  <c r="L26" i="53"/>
  <c r="K25" i="53"/>
  <c r="K26" i="53"/>
  <c r="J25" i="53"/>
  <c r="J26" i="53"/>
  <c r="E25" i="53"/>
  <c r="E26" i="53"/>
  <c r="D25" i="53"/>
  <c r="N8" i="53"/>
  <c r="A3" i="53"/>
  <c r="V26" i="52"/>
  <c r="V25" i="52"/>
  <c r="D169" i="69"/>
  <c r="V24" i="52"/>
  <c r="D156" i="69"/>
  <c r="V23" i="52"/>
  <c r="D152" i="69"/>
  <c r="V22" i="52"/>
  <c r="D150" i="69"/>
  <c r="V21" i="52"/>
  <c r="D148" i="69"/>
  <c r="V20" i="52"/>
  <c r="D140" i="69"/>
  <c r="V19" i="52"/>
  <c r="D139" i="69"/>
  <c r="V18" i="52"/>
  <c r="D111" i="69"/>
  <c r="V17" i="52"/>
  <c r="D110" i="69"/>
  <c r="V16" i="52"/>
  <c r="D103" i="69"/>
  <c r="V15" i="52"/>
  <c r="D91" i="69"/>
  <c r="V14" i="52"/>
  <c r="D87" i="69"/>
  <c r="V13" i="52"/>
  <c r="C28" i="52"/>
  <c r="V8" i="52"/>
  <c r="D8" i="69"/>
  <c r="A3" i="52"/>
  <c r="G428" i="45"/>
  <c r="G462" i="45"/>
  <c r="D61" i="45"/>
  <c r="A23" i="45"/>
  <c r="G164" i="7"/>
  <c r="G163" i="7"/>
  <c r="G162" i="7"/>
  <c r="G161" i="7"/>
  <c r="G160" i="7"/>
  <c r="G159" i="7"/>
  <c r="G158" i="7"/>
  <c r="G157" i="7"/>
  <c r="G156" i="7"/>
  <c r="G153" i="7"/>
  <c r="G152" i="7"/>
  <c r="G151" i="7"/>
  <c r="G150" i="7"/>
  <c r="G149" i="7"/>
  <c r="G148" i="7"/>
  <c r="G147" i="7"/>
  <c r="G146" i="7"/>
  <c r="G145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75" i="7"/>
  <c r="E73" i="7"/>
  <c r="G72" i="7"/>
  <c r="C23" i="7"/>
  <c r="C27" i="65"/>
  <c r="C26" i="65"/>
  <c r="C25" i="65"/>
  <c r="C24" i="65"/>
  <c r="C13" i="65"/>
  <c r="C12" i="65"/>
  <c r="C11" i="65"/>
  <c r="C10" i="65"/>
  <c r="C9" i="65"/>
  <c r="C8" i="65"/>
  <c r="AF350" i="4"/>
  <c r="Y349" i="4"/>
  <c r="H349" i="4"/>
  <c r="Z349" i="4"/>
  <c r="D349" i="4"/>
  <c r="AA349" i="4"/>
  <c r="AC349" i="4"/>
  <c r="Y348" i="4"/>
  <c r="H348" i="4"/>
  <c r="Z348" i="4"/>
  <c r="D348" i="4"/>
  <c r="AA348" i="4"/>
  <c r="AC348" i="4"/>
  <c r="Y347" i="4"/>
  <c r="H347" i="4"/>
  <c r="Z347" i="4"/>
  <c r="D347" i="4"/>
  <c r="Y346" i="4"/>
  <c r="H346" i="4"/>
  <c r="D346" i="4"/>
  <c r="AA346" i="4"/>
  <c r="AC346" i="4"/>
  <c r="Y345" i="4"/>
  <c r="D345" i="4"/>
  <c r="D344" i="4"/>
  <c r="D338" i="4"/>
  <c r="D337" i="4"/>
  <c r="Z336" i="4"/>
  <c r="Y336" i="4"/>
  <c r="D336" i="4"/>
  <c r="AF333" i="4"/>
  <c r="H332" i="4"/>
  <c r="Z332" i="4"/>
  <c r="G332" i="4"/>
  <c r="AA332" i="4"/>
  <c r="AC332" i="4"/>
  <c r="H331" i="4"/>
  <c r="Z331" i="4"/>
  <c r="G331" i="4"/>
  <c r="AA331" i="4"/>
  <c r="AC331" i="4"/>
  <c r="H330" i="4"/>
  <c r="G330" i="4"/>
  <c r="AA330" i="4"/>
  <c r="AC330" i="4"/>
  <c r="Z329" i="4"/>
  <c r="G329" i="4"/>
  <c r="AA329" i="4"/>
  <c r="AC329" i="4"/>
  <c r="Z328" i="4"/>
  <c r="G328" i="4"/>
  <c r="AA328" i="4"/>
  <c r="AC328" i="4"/>
  <c r="Z327" i="4"/>
  <c r="G327" i="4"/>
  <c r="AA327" i="4"/>
  <c r="AC327" i="4"/>
  <c r="Z326" i="4"/>
  <c r="G326" i="4"/>
  <c r="AA326" i="4"/>
  <c r="AC326" i="4"/>
  <c r="Z325" i="4"/>
  <c r="G325" i="4"/>
  <c r="AA325" i="4"/>
  <c r="AC325" i="4"/>
  <c r="Z324" i="4"/>
  <c r="G324" i="4"/>
  <c r="AA324" i="4"/>
  <c r="AC324" i="4"/>
  <c r="Z323" i="4"/>
  <c r="G323" i="4"/>
  <c r="AA323" i="4"/>
  <c r="AC323" i="4"/>
  <c r="Z322" i="4"/>
  <c r="G322" i="4"/>
  <c r="AA322" i="4"/>
  <c r="AC322" i="4"/>
  <c r="Z321" i="4"/>
  <c r="G321" i="4"/>
  <c r="AA321" i="4"/>
  <c r="AC321" i="4"/>
  <c r="Z320" i="4"/>
  <c r="G320" i="4"/>
  <c r="AA320" i="4"/>
  <c r="AC320" i="4"/>
  <c r="Z319" i="4"/>
  <c r="G319" i="4"/>
  <c r="AA319" i="4"/>
  <c r="AC319" i="4"/>
  <c r="Z318" i="4"/>
  <c r="G318" i="4"/>
  <c r="AA318" i="4"/>
  <c r="AC318" i="4"/>
  <c r="Z317" i="4"/>
  <c r="G317" i="4"/>
  <c r="AA317" i="4"/>
  <c r="AC317" i="4"/>
  <c r="Z316" i="4"/>
  <c r="G316" i="4"/>
  <c r="AA316" i="4"/>
  <c r="AC316" i="4"/>
  <c r="Z315" i="4"/>
  <c r="G315" i="4"/>
  <c r="AA315" i="4"/>
  <c r="AC315" i="4"/>
  <c r="Z314" i="4"/>
  <c r="G314" i="4"/>
  <c r="AA314" i="4"/>
  <c r="AC314" i="4"/>
  <c r="AF312" i="4"/>
  <c r="Z311" i="4"/>
  <c r="G311" i="4"/>
  <c r="AA311" i="4"/>
  <c r="AC311" i="4"/>
  <c r="Z310" i="4"/>
  <c r="G310" i="4"/>
  <c r="AA310" i="4"/>
  <c r="AC310" i="4"/>
  <c r="G309" i="4"/>
  <c r="AA309" i="4"/>
  <c r="AC309" i="4"/>
  <c r="Z308" i="4"/>
  <c r="G308" i="4"/>
  <c r="AA308" i="4"/>
  <c r="AC308" i="4"/>
  <c r="Z307" i="4"/>
  <c r="G307" i="4"/>
  <c r="AA307" i="4"/>
  <c r="AC307" i="4"/>
  <c r="Z306" i="4"/>
  <c r="G306" i="4"/>
  <c r="AA306" i="4"/>
  <c r="AC306" i="4"/>
  <c r="Z305" i="4"/>
  <c r="G305" i="4"/>
  <c r="AC305" i="4"/>
  <c r="Z304" i="4"/>
  <c r="G304" i="4"/>
  <c r="AA304" i="4"/>
  <c r="AC304" i="4"/>
  <c r="Z303" i="4"/>
  <c r="G303" i="4"/>
  <c r="AA303" i="4"/>
  <c r="AC303" i="4"/>
  <c r="Z302" i="4"/>
  <c r="G302" i="4"/>
  <c r="AA302" i="4"/>
  <c r="AC302" i="4"/>
  <c r="Z301" i="4"/>
  <c r="G301" i="4"/>
  <c r="AA301" i="4"/>
  <c r="AC301" i="4"/>
  <c r="Z300" i="4"/>
  <c r="G300" i="4"/>
  <c r="AA300" i="4"/>
  <c r="AC300" i="4"/>
  <c r="Z299" i="4"/>
  <c r="G299" i="4"/>
  <c r="AA299" i="4"/>
  <c r="AC299" i="4"/>
  <c r="Z298" i="4"/>
  <c r="G298" i="4"/>
  <c r="AC298" i="4"/>
  <c r="Z297" i="4"/>
  <c r="G297" i="4"/>
  <c r="AC297" i="4"/>
  <c r="Z296" i="4"/>
  <c r="G296" i="4"/>
  <c r="AA296" i="4"/>
  <c r="AC296" i="4"/>
  <c r="Z281" i="4"/>
  <c r="G281" i="4"/>
  <c r="AA281" i="4"/>
  <c r="AC281" i="4"/>
  <c r="Z280" i="4"/>
  <c r="G280" i="4"/>
  <c r="AA280" i="4"/>
  <c r="AC280" i="4"/>
  <c r="AF278" i="4"/>
  <c r="W278" i="4"/>
  <c r="U278" i="4"/>
  <c r="S278" i="4"/>
  <c r="Q278" i="4"/>
  <c r="P278" i="4"/>
  <c r="M278" i="4"/>
  <c r="L278" i="4"/>
  <c r="K278" i="4"/>
  <c r="J278" i="4"/>
  <c r="H278" i="4"/>
  <c r="G277" i="4"/>
  <c r="AD277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29" i="4"/>
  <c r="G128" i="4"/>
  <c r="G127" i="4"/>
  <c r="G126" i="4"/>
  <c r="G24" i="4"/>
  <c r="G23" i="4"/>
  <c r="D23" i="4"/>
  <c r="AA23" i="4"/>
  <c r="AC23" i="4"/>
  <c r="Z22" i="4"/>
  <c r="R22" i="4"/>
  <c r="D22" i="4"/>
  <c r="AA22" i="4"/>
  <c r="AC22" i="4"/>
  <c r="I52" i="3"/>
  <c r="I49" i="3"/>
  <c r="I48" i="3"/>
  <c r="I47" i="3"/>
  <c r="I45" i="3"/>
  <c r="I42" i="3"/>
  <c r="K36" i="3"/>
  <c r="I36" i="3"/>
  <c r="K52" i="3"/>
  <c r="E36" i="3"/>
  <c r="K35" i="3"/>
  <c r="I35" i="3"/>
  <c r="I51" i="3"/>
  <c r="E35" i="3"/>
  <c r="K34" i="3"/>
  <c r="I34" i="3"/>
  <c r="K50" i="3"/>
  <c r="E34" i="3"/>
  <c r="K33" i="3"/>
  <c r="I33" i="3"/>
  <c r="K49" i="3"/>
  <c r="E33" i="3"/>
  <c r="K32" i="3"/>
  <c r="I32" i="3"/>
  <c r="K48" i="3"/>
  <c r="E32" i="3"/>
  <c r="I31" i="3"/>
  <c r="K47" i="3"/>
  <c r="E31" i="3"/>
  <c r="I30" i="3"/>
  <c r="I46" i="3"/>
  <c r="E30" i="3"/>
  <c r="I29" i="3"/>
  <c r="K45" i="3"/>
  <c r="E29" i="3"/>
  <c r="K28" i="3"/>
  <c r="I28" i="3"/>
  <c r="K44" i="3"/>
  <c r="E28" i="3"/>
  <c r="K27" i="3"/>
  <c r="I27" i="3"/>
  <c r="I43" i="3"/>
  <c r="E27" i="3"/>
  <c r="I26" i="3"/>
  <c r="E26" i="3"/>
  <c r="B22" i="3"/>
  <c r="H4" i="3"/>
  <c r="H3" i="3"/>
  <c r="S24" i="2"/>
  <c r="R24" i="2"/>
  <c r="Q24" i="2"/>
  <c r="P24" i="2"/>
  <c r="O24" i="2"/>
  <c r="G24" i="2"/>
  <c r="F24" i="2"/>
  <c r="E24" i="2"/>
  <c r="D24" i="2"/>
  <c r="C24" i="2"/>
  <c r="R23" i="2"/>
  <c r="Q23" i="2"/>
  <c r="P23" i="2"/>
  <c r="O23" i="2"/>
  <c r="F23" i="2"/>
  <c r="E23" i="2"/>
  <c r="D23" i="2"/>
  <c r="C23" i="2"/>
  <c r="P16" i="2"/>
  <c r="O16" i="2"/>
  <c r="L16" i="2"/>
  <c r="K16" i="2"/>
  <c r="H16" i="2"/>
  <c r="G16" i="2"/>
  <c r="D16" i="2"/>
  <c r="C16" i="2"/>
  <c r="R2" i="2"/>
  <c r="N2" i="2"/>
  <c r="J2" i="2"/>
  <c r="F2" i="2"/>
  <c r="B2" i="2"/>
  <c r="H310" i="49"/>
  <c r="H305" i="49"/>
  <c r="H304" i="49"/>
  <c r="E297" i="49"/>
  <c r="H296" i="49"/>
  <c r="H295" i="49"/>
  <c r="H289" i="49"/>
  <c r="H278" i="49"/>
  <c r="G270" i="49"/>
  <c r="H267" i="49"/>
  <c r="H266" i="49"/>
  <c r="H265" i="49"/>
  <c r="H264" i="49"/>
  <c r="H262" i="49"/>
  <c r="H261" i="49"/>
  <c r="H254" i="49"/>
  <c r="H251" i="49"/>
  <c r="H248" i="49"/>
  <c r="H216" i="49"/>
  <c r="H208" i="49"/>
  <c r="H205" i="49"/>
  <c r="H199" i="49"/>
  <c r="H191" i="49"/>
  <c r="H188" i="49"/>
  <c r="H186" i="49"/>
  <c r="E176" i="49"/>
  <c r="H172" i="49"/>
  <c r="H169" i="49"/>
  <c r="H168" i="49"/>
  <c r="H167" i="49"/>
  <c r="H166" i="49"/>
  <c r="H163" i="49"/>
  <c r="H159" i="49"/>
  <c r="H142" i="49"/>
  <c r="H134" i="49"/>
  <c r="H133" i="49"/>
  <c r="H123" i="49"/>
  <c r="H122" i="49"/>
  <c r="H116" i="49"/>
  <c r="H112" i="49"/>
  <c r="H110" i="49"/>
  <c r="H109" i="49"/>
  <c r="H108" i="49"/>
  <c r="H103" i="49"/>
  <c r="H100" i="49"/>
  <c r="H98" i="49"/>
  <c r="H93" i="49"/>
  <c r="H86" i="49"/>
  <c r="H79" i="49"/>
  <c r="E76" i="49"/>
  <c r="E73" i="49"/>
  <c r="H70" i="49"/>
  <c r="H69" i="49"/>
  <c r="H68" i="49"/>
  <c r="H64" i="49"/>
  <c r="H63" i="49"/>
  <c r="H10" i="49"/>
  <c r="AL306" i="4"/>
  <c r="AM306" i="4"/>
  <c r="AK306" i="4"/>
  <c r="AE306" i="4"/>
  <c r="AD268" i="4"/>
  <c r="AD263" i="4"/>
  <c r="AD256" i="4"/>
  <c r="AD246" i="4"/>
  <c r="AD255" i="4"/>
  <c r="AD261" i="4"/>
  <c r="AD253" i="4"/>
  <c r="AD243" i="4"/>
  <c r="AD262" i="4"/>
  <c r="AD250" i="4"/>
  <c r="AD257" i="4"/>
  <c r="AD249" i="4"/>
  <c r="AD264" i="4"/>
  <c r="AD270" i="4"/>
  <c r="AD242" i="4"/>
  <c r="AD254" i="4"/>
  <c r="AD267" i="4"/>
  <c r="AD260" i="4"/>
  <c r="AD269" i="4"/>
  <c r="AD241" i="4"/>
  <c r="AD244" i="4"/>
  <c r="AD245" i="4"/>
  <c r="AD247" i="4"/>
  <c r="AD252" i="4"/>
  <c r="AD266" i="4"/>
  <c r="AD258" i="4"/>
  <c r="AD248" i="4"/>
  <c r="AD345" i="4"/>
  <c r="AL305" i="4"/>
  <c r="AK305" i="4"/>
  <c r="AM305" i="4"/>
  <c r="AL304" i="4"/>
  <c r="AM304" i="4"/>
  <c r="AK304" i="4"/>
  <c r="AL303" i="4"/>
  <c r="AK303" i="4"/>
  <c r="AM303" i="4"/>
  <c r="AL302" i="4"/>
  <c r="AM302" i="4"/>
  <c r="AK302" i="4"/>
  <c r="AL301" i="4"/>
  <c r="AK301" i="4"/>
  <c r="AM301" i="4"/>
  <c r="AL300" i="4"/>
  <c r="AK300" i="4"/>
  <c r="AM300" i="4"/>
  <c r="AL299" i="4"/>
  <c r="AM299" i="4"/>
  <c r="AK299" i="4"/>
  <c r="AL298" i="4"/>
  <c r="AM298" i="4"/>
  <c r="AK298" i="4"/>
  <c r="AL297" i="4"/>
  <c r="AK297" i="4"/>
  <c r="AM297" i="4"/>
  <c r="AL296" i="4"/>
  <c r="AK296" i="4"/>
  <c r="AM296" i="4"/>
  <c r="AL281" i="4"/>
  <c r="AM281" i="4"/>
  <c r="AK281" i="4"/>
  <c r="AF334" i="4"/>
  <c r="S371" i="4"/>
  <c r="S334" i="4"/>
  <c r="M371" i="4"/>
  <c r="M334" i="4"/>
  <c r="K371" i="4"/>
  <c r="K334" i="4"/>
  <c r="Q371" i="4"/>
  <c r="Q334" i="4"/>
  <c r="L371" i="4"/>
  <c r="L334" i="4"/>
  <c r="U371" i="4"/>
  <c r="U334" i="4"/>
  <c r="J371" i="4"/>
  <c r="J334" i="4"/>
  <c r="P371" i="4"/>
  <c r="P334" i="4"/>
  <c r="W371" i="4"/>
  <c r="W334" i="4"/>
  <c r="K42" i="3"/>
  <c r="AL23" i="4"/>
  <c r="AD153" i="4"/>
  <c r="AE153" i="4"/>
  <c r="AL153" i="4"/>
  <c r="AM153" i="4"/>
  <c r="AK153" i="4"/>
  <c r="AD165" i="4"/>
  <c r="AE165" i="4"/>
  <c r="AL165" i="4"/>
  <c r="AM165" i="4"/>
  <c r="AK165" i="4"/>
  <c r="AD127" i="4"/>
  <c r="AG127" i="4"/>
  <c r="AN127" i="4"/>
  <c r="AM127" i="4"/>
  <c r="AK127" i="4"/>
  <c r="AD154" i="4"/>
  <c r="AG154" i="4"/>
  <c r="AN154" i="4"/>
  <c r="AL154" i="4"/>
  <c r="AM154" i="4"/>
  <c r="AK154" i="4"/>
  <c r="AD158" i="4"/>
  <c r="AE158" i="4"/>
  <c r="AK158" i="4"/>
  <c r="AM158" i="4"/>
  <c r="AD162" i="4"/>
  <c r="AE162" i="4"/>
  <c r="AL162" i="4"/>
  <c r="AM162" i="4"/>
  <c r="AK162" i="4"/>
  <c r="AD166" i="4"/>
  <c r="AE166" i="4"/>
  <c r="AL166" i="4"/>
  <c r="AM166" i="4"/>
  <c r="AK166" i="4"/>
  <c r="AD157" i="4"/>
  <c r="AG157" i="4"/>
  <c r="AN157" i="4"/>
  <c r="AL157" i="4"/>
  <c r="AM157" i="4"/>
  <c r="AK157" i="4"/>
  <c r="AD169" i="4"/>
  <c r="AG169" i="4"/>
  <c r="AL169" i="4"/>
  <c r="AM169" i="4"/>
  <c r="AK169" i="4"/>
  <c r="AD128" i="4"/>
  <c r="AG128" i="4"/>
  <c r="AN128" i="4"/>
  <c r="AL128" i="4"/>
  <c r="AM128" i="4"/>
  <c r="AK128" i="4"/>
  <c r="AD155" i="4"/>
  <c r="AG155" i="4"/>
  <c r="AN155" i="4"/>
  <c r="AL155" i="4"/>
  <c r="AM155" i="4"/>
  <c r="AK155" i="4"/>
  <c r="AD159" i="4"/>
  <c r="AG159" i="4"/>
  <c r="AL159" i="4"/>
  <c r="AM159" i="4"/>
  <c r="AK159" i="4"/>
  <c r="AD163" i="4"/>
  <c r="AG163" i="4"/>
  <c r="AN163" i="4"/>
  <c r="AL163" i="4"/>
  <c r="AM163" i="4"/>
  <c r="AK163" i="4"/>
  <c r="AD167" i="4"/>
  <c r="AG167" i="4"/>
  <c r="AN167" i="4"/>
  <c r="AL167" i="4"/>
  <c r="AM167" i="4"/>
  <c r="AK167" i="4"/>
  <c r="AD126" i="4"/>
  <c r="AG126" i="4"/>
  <c r="AM126" i="4"/>
  <c r="AK126" i="4"/>
  <c r="AD161" i="4"/>
  <c r="AE161" i="4"/>
  <c r="AL161" i="4"/>
  <c r="AK161" i="4"/>
  <c r="AM161" i="4"/>
  <c r="AD24" i="4"/>
  <c r="AG24" i="4"/>
  <c r="AL24" i="4"/>
  <c r="AD129" i="4"/>
  <c r="AG129" i="4"/>
  <c r="AN129" i="4"/>
  <c r="AL129" i="4"/>
  <c r="AK129" i="4"/>
  <c r="AM129" i="4"/>
  <c r="AD156" i="4"/>
  <c r="AL156" i="4"/>
  <c r="AK156" i="4"/>
  <c r="AM156" i="4"/>
  <c r="AD160" i="4"/>
  <c r="AG160" i="4"/>
  <c r="AN160" i="4"/>
  <c r="AL160" i="4"/>
  <c r="AK160" i="4"/>
  <c r="AM160" i="4"/>
  <c r="AD164" i="4"/>
  <c r="AE164" i="4"/>
  <c r="AL164" i="4"/>
  <c r="AM164" i="4"/>
  <c r="AK164" i="4"/>
  <c r="AD168" i="4"/>
  <c r="AG168" i="4"/>
  <c r="AN168" i="4"/>
  <c r="AL168" i="4"/>
  <c r="AK168" i="4"/>
  <c r="AM168" i="4"/>
  <c r="AE163" i="4"/>
  <c r="AD114" i="4"/>
  <c r="AD98" i="4"/>
  <c r="AD138" i="4"/>
  <c r="AD171" i="4"/>
  <c r="AD199" i="4"/>
  <c r="AD175" i="4"/>
  <c r="AD219" i="4"/>
  <c r="AD235" i="4"/>
  <c r="AD90" i="4"/>
  <c r="AD95" i="4"/>
  <c r="AD111" i="4"/>
  <c r="AD143" i="4"/>
  <c r="AD188" i="4"/>
  <c r="AD204" i="4"/>
  <c r="AD180" i="4"/>
  <c r="AD224" i="4"/>
  <c r="AD240" i="4"/>
  <c r="AD94" i="4"/>
  <c r="AD88" i="4"/>
  <c r="AD104" i="4"/>
  <c r="AD136" i="4"/>
  <c r="AD152" i="4"/>
  <c r="AD197" i="4"/>
  <c r="AD173" i="4"/>
  <c r="AD217" i="4"/>
  <c r="AE217" i="4"/>
  <c r="AD233" i="4"/>
  <c r="AD89" i="4"/>
  <c r="AD105" i="4"/>
  <c r="AD137" i="4"/>
  <c r="AD170" i="4"/>
  <c r="AD198" i="4"/>
  <c r="AE198" i="4"/>
  <c r="AD174" i="4"/>
  <c r="AD218" i="4"/>
  <c r="AD234" i="4"/>
  <c r="AD139" i="4"/>
  <c r="AD86" i="4"/>
  <c r="AD193" i="4"/>
  <c r="AD229" i="4"/>
  <c r="AE229" i="4"/>
  <c r="AD85" i="4"/>
  <c r="AD149" i="4"/>
  <c r="AD214" i="4"/>
  <c r="AD110" i="4"/>
  <c r="AD142" i="4"/>
  <c r="AD187" i="4"/>
  <c r="AD203" i="4"/>
  <c r="AE203" i="4"/>
  <c r="AD179" i="4"/>
  <c r="AE179" i="4"/>
  <c r="AD223" i="4"/>
  <c r="AD239" i="4"/>
  <c r="AD102" i="4"/>
  <c r="AE102" i="4"/>
  <c r="AD99" i="4"/>
  <c r="AE99" i="4"/>
  <c r="AD131" i="4"/>
  <c r="AD147" i="4"/>
  <c r="AD192" i="4"/>
  <c r="AD208" i="4"/>
  <c r="AD184" i="4"/>
  <c r="AE184" i="4"/>
  <c r="AD228" i="4"/>
  <c r="AD106" i="4"/>
  <c r="AE106" i="4"/>
  <c r="AD92" i="4"/>
  <c r="AD108" i="4"/>
  <c r="AD140" i="4"/>
  <c r="AD185" i="4"/>
  <c r="AE185" i="4"/>
  <c r="AD201" i="4"/>
  <c r="AD177" i="4"/>
  <c r="AD221" i="4"/>
  <c r="AD237" i="4"/>
  <c r="AD82" i="4"/>
  <c r="AD93" i="4"/>
  <c r="AE93" i="4"/>
  <c r="AD109" i="4"/>
  <c r="AD141" i="4"/>
  <c r="AD186" i="4"/>
  <c r="AD202" i="4"/>
  <c r="AD178" i="4"/>
  <c r="AD222" i="4"/>
  <c r="AE222" i="4"/>
  <c r="AD238" i="4"/>
  <c r="AD91" i="4"/>
  <c r="AE91" i="4"/>
  <c r="AD200" i="4"/>
  <c r="AD220" i="4"/>
  <c r="AD84" i="4"/>
  <c r="AD148" i="4"/>
  <c r="AE148" i="4"/>
  <c r="AD213" i="4"/>
  <c r="AD101" i="4"/>
  <c r="AD194" i="4"/>
  <c r="AD230" i="4"/>
  <c r="AD130" i="4"/>
  <c r="AD146" i="4"/>
  <c r="AD191" i="4"/>
  <c r="AD207" i="4"/>
  <c r="AE207" i="4"/>
  <c r="AD183" i="4"/>
  <c r="AD227" i="4"/>
  <c r="AD83" i="4"/>
  <c r="AD103" i="4"/>
  <c r="AD135" i="4"/>
  <c r="AD151" i="4"/>
  <c r="AD196" i="4"/>
  <c r="AD212" i="4"/>
  <c r="AD216" i="4"/>
  <c r="AE216" i="4"/>
  <c r="AD232" i="4"/>
  <c r="AD87" i="4"/>
  <c r="AD96" i="4"/>
  <c r="AD112" i="4"/>
  <c r="AD144" i="4"/>
  <c r="AE144" i="4"/>
  <c r="AD189" i="4"/>
  <c r="AE189" i="4"/>
  <c r="AD205" i="4"/>
  <c r="AD181" i="4"/>
  <c r="AD225" i="4"/>
  <c r="AD81" i="4"/>
  <c r="AD97" i="4"/>
  <c r="AD113" i="4"/>
  <c r="AD145" i="4"/>
  <c r="AD190" i="4"/>
  <c r="AD206" i="4"/>
  <c r="AD182" i="4"/>
  <c r="AD226" i="4"/>
  <c r="AD134" i="4"/>
  <c r="AE134" i="4"/>
  <c r="AD150" i="4"/>
  <c r="AD195" i="4"/>
  <c r="AE195" i="4"/>
  <c r="AD211" i="4"/>
  <c r="AD215" i="4"/>
  <c r="AD231" i="4"/>
  <c r="AE231" i="4"/>
  <c r="AD107" i="4"/>
  <c r="AD172" i="4"/>
  <c r="AD176" i="4"/>
  <c r="AD236" i="4"/>
  <c r="AD100" i="4"/>
  <c r="AD132" i="4"/>
  <c r="AD209" i="4"/>
  <c r="AD133" i="4"/>
  <c r="AD210" i="4"/>
  <c r="AD75" i="4"/>
  <c r="AD56" i="4"/>
  <c r="AD76" i="4"/>
  <c r="AD25" i="4"/>
  <c r="AD41" i="4"/>
  <c r="AD57" i="4"/>
  <c r="AD125" i="4"/>
  <c r="AD65" i="4"/>
  <c r="AD123" i="4"/>
  <c r="AD38" i="4"/>
  <c r="AD54" i="4"/>
  <c r="AD117" i="4"/>
  <c r="AD69" i="4"/>
  <c r="AD74" i="4"/>
  <c r="AD124" i="4"/>
  <c r="AD39" i="4"/>
  <c r="AD55" i="4"/>
  <c r="AD119" i="4"/>
  <c r="AD120" i="4"/>
  <c r="AD121" i="4"/>
  <c r="AE121" i="4"/>
  <c r="AD64" i="4"/>
  <c r="AD80" i="4"/>
  <c r="AD29" i="4"/>
  <c r="AD45" i="4"/>
  <c r="AD61" i="4"/>
  <c r="AD36" i="4"/>
  <c r="AD73" i="4"/>
  <c r="AD26" i="4"/>
  <c r="AD42" i="4"/>
  <c r="AD58" i="4"/>
  <c r="AD28" i="4"/>
  <c r="AD77" i="4"/>
  <c r="AD78" i="4"/>
  <c r="AE78" i="4"/>
  <c r="AD27" i="4"/>
  <c r="AD43" i="4"/>
  <c r="AD59" i="4"/>
  <c r="AD72" i="4"/>
  <c r="AD122" i="4"/>
  <c r="AD53" i="4"/>
  <c r="AD60" i="4"/>
  <c r="AD50" i="4"/>
  <c r="AD52" i="4"/>
  <c r="AD35" i="4"/>
  <c r="AD32" i="4"/>
  <c r="AD68" i="4"/>
  <c r="AD118" i="4"/>
  <c r="AD33" i="4"/>
  <c r="AD49" i="4"/>
  <c r="AD67" i="4"/>
  <c r="AD48" i="4"/>
  <c r="AD115" i="4"/>
  <c r="AE115" i="4"/>
  <c r="AD30" i="4"/>
  <c r="AD46" i="4"/>
  <c r="AD62" i="4"/>
  <c r="AD40" i="4"/>
  <c r="AD66" i="4"/>
  <c r="AD116" i="4"/>
  <c r="AD31" i="4"/>
  <c r="AD47" i="4"/>
  <c r="AD63" i="4"/>
  <c r="AD44" i="4"/>
  <c r="AD37" i="4"/>
  <c r="AD79" i="4"/>
  <c r="AE79" i="4"/>
  <c r="AD34" i="4"/>
  <c r="AD71" i="4"/>
  <c r="AD70" i="4"/>
  <c r="AD51" i="4"/>
  <c r="AD23" i="4"/>
  <c r="AG23" i="4"/>
  <c r="AN23" i="4"/>
  <c r="C152" i="69"/>
  <c r="E152" i="69" s="1"/>
  <c r="D29" i="69"/>
  <c r="AD343" i="4"/>
  <c r="AD342" i="4"/>
  <c r="AD338" i="4"/>
  <c r="AD341" i="4"/>
  <c r="AD339" i="4"/>
  <c r="AD336" i="4"/>
  <c r="AD340" i="4"/>
  <c r="AD344" i="4"/>
  <c r="AD337" i="4"/>
  <c r="D68" i="69"/>
  <c r="D316" i="69"/>
  <c r="D318" i="69"/>
  <c r="D319" i="69"/>
  <c r="C142" i="69"/>
  <c r="E142" i="69" s="1"/>
  <c r="C267" i="69"/>
  <c r="E267" i="69" s="1"/>
  <c r="F47" i="68"/>
  <c r="D174" i="69"/>
  <c r="AD22" i="4"/>
  <c r="AM22" i="4"/>
  <c r="AL22" i="4"/>
  <c r="AK22" i="4"/>
  <c r="AM23" i="4"/>
  <c r="AK23" i="4"/>
  <c r="AM24" i="4"/>
  <c r="AK24" i="4"/>
  <c r="G154" i="7"/>
  <c r="G165" i="7"/>
  <c r="E43" i="3"/>
  <c r="E48" i="3"/>
  <c r="O32" i="3"/>
  <c r="K46" i="3"/>
  <c r="E52" i="3"/>
  <c r="O36" i="3"/>
  <c r="K51" i="3"/>
  <c r="E47" i="3"/>
  <c r="O31" i="3"/>
  <c r="E51" i="3"/>
  <c r="O35" i="3"/>
  <c r="I50" i="3"/>
  <c r="P34" i="3"/>
  <c r="E50" i="3"/>
  <c r="O34" i="3"/>
  <c r="E49" i="3"/>
  <c r="O33" i="3"/>
  <c r="E46" i="3"/>
  <c r="O30" i="3"/>
  <c r="E45" i="3"/>
  <c r="O29" i="3"/>
  <c r="I44" i="3"/>
  <c r="P28" i="3"/>
  <c r="E44" i="3"/>
  <c r="O28" i="3"/>
  <c r="K43" i="3"/>
  <c r="E42" i="3"/>
  <c r="AE19" i="61"/>
  <c r="N25" i="53"/>
  <c r="N21" i="56"/>
  <c r="E28" i="54"/>
  <c r="M28" i="54"/>
  <c r="N21" i="57"/>
  <c r="Z346" i="4"/>
  <c r="H350" i="4"/>
  <c r="N26" i="54"/>
  <c r="M28" i="55"/>
  <c r="AD283" i="4"/>
  <c r="AD291" i="4"/>
  <c r="AD286" i="4"/>
  <c r="AD294" i="4"/>
  <c r="AD287" i="4"/>
  <c r="AD295" i="4"/>
  <c r="AD285" i="4"/>
  <c r="AD293" i="4"/>
  <c r="AD288" i="4"/>
  <c r="AD282" i="4"/>
  <c r="AD290" i="4"/>
  <c r="AD289" i="4"/>
  <c r="AD284" i="4"/>
  <c r="AD292" i="4"/>
  <c r="D103" i="45"/>
  <c r="K28" i="54"/>
  <c r="D28" i="54"/>
  <c r="L28" i="54"/>
  <c r="D26" i="53"/>
  <c r="D28" i="53"/>
  <c r="T28" i="52"/>
  <c r="T30" i="52"/>
  <c r="E28" i="52"/>
  <c r="E30" i="52"/>
  <c r="U28" i="52"/>
  <c r="U30" i="52"/>
  <c r="R28" i="52"/>
  <c r="R30" i="52"/>
  <c r="S28" i="52"/>
  <c r="S30" i="52"/>
  <c r="K28" i="55"/>
  <c r="D28" i="55"/>
  <c r="L28" i="55"/>
  <c r="N26" i="55"/>
  <c r="J28" i="55"/>
  <c r="N9" i="55"/>
  <c r="C28" i="54"/>
  <c r="G275" i="49"/>
  <c r="AD314" i="4"/>
  <c r="AD316" i="4"/>
  <c r="AD318" i="4"/>
  <c r="AD320" i="4"/>
  <c r="AD322" i="4"/>
  <c r="AD324" i="4"/>
  <c r="AD326" i="4"/>
  <c r="AD328" i="4"/>
  <c r="AD330" i="4"/>
  <c r="AD332" i="4"/>
  <c r="AD315" i="4"/>
  <c r="AD317" i="4"/>
  <c r="AD319" i="4"/>
  <c r="AD321" i="4"/>
  <c r="AD323" i="4"/>
  <c r="AD325" i="4"/>
  <c r="AD327" i="4"/>
  <c r="AD329" i="4"/>
  <c r="AD331" i="4"/>
  <c r="AD280" i="4"/>
  <c r="AD296" i="4"/>
  <c r="AD298" i="4"/>
  <c r="AD300" i="4"/>
  <c r="AD302" i="4"/>
  <c r="AD304" i="4"/>
  <c r="AD306" i="4"/>
  <c r="AD308" i="4"/>
  <c r="AD311" i="4"/>
  <c r="AD310" i="4"/>
  <c r="AD281" i="4"/>
  <c r="AE281" i="4"/>
  <c r="AD297" i="4"/>
  <c r="AD299" i="4"/>
  <c r="AD301" i="4"/>
  <c r="AE301" i="4"/>
  <c r="AD303" i="4"/>
  <c r="AE303" i="4"/>
  <c r="AD305" i="4"/>
  <c r="AD307" i="4"/>
  <c r="AD309" i="4"/>
  <c r="AI349" i="4"/>
  <c r="AJ349" i="4"/>
  <c r="AH348" i="4"/>
  <c r="AH346" i="4"/>
  <c r="AI346" i="4"/>
  <c r="AJ346" i="4"/>
  <c r="C28" i="53"/>
  <c r="K28" i="53"/>
  <c r="M28" i="53"/>
  <c r="L28" i="53"/>
  <c r="J28" i="53"/>
  <c r="G73" i="7"/>
  <c r="G138" i="7"/>
  <c r="H333" i="4"/>
  <c r="H334" i="4"/>
  <c r="P32" i="3"/>
  <c r="P36" i="3"/>
  <c r="O27" i="3"/>
  <c r="P27" i="3"/>
  <c r="P31" i="3"/>
  <c r="P35" i="3"/>
  <c r="E28" i="53"/>
  <c r="N9" i="54"/>
  <c r="C28" i="55"/>
  <c r="P30" i="3"/>
  <c r="N9" i="53"/>
  <c r="E28" i="55"/>
  <c r="P26" i="3"/>
  <c r="P29" i="3"/>
  <c r="P33" i="3"/>
  <c r="H143" i="49"/>
  <c r="I143" i="49"/>
  <c r="H270" i="49"/>
  <c r="I270" i="49"/>
  <c r="X331" i="4"/>
  <c r="Y331" i="4"/>
  <c r="V278" i="4"/>
  <c r="X22" i="4"/>
  <c r="Y22" i="4"/>
  <c r="X301" i="4"/>
  <c r="Y301" i="4"/>
  <c r="X302" i="4"/>
  <c r="Y302" i="4"/>
  <c r="X303" i="4"/>
  <c r="Y303" i="4"/>
  <c r="X304" i="4"/>
  <c r="Y304" i="4"/>
  <c r="X305" i="4"/>
  <c r="Y305" i="4"/>
  <c r="X306" i="4"/>
  <c r="Y306" i="4"/>
  <c r="X307" i="4"/>
  <c r="Y307" i="4"/>
  <c r="X308" i="4"/>
  <c r="Y308" i="4"/>
  <c r="X309" i="4"/>
  <c r="Y309" i="4"/>
  <c r="X311" i="4"/>
  <c r="Y311" i="4"/>
  <c r="AF371" i="4"/>
  <c r="O278" i="4"/>
  <c r="D5" i="65"/>
  <c r="X280" i="4"/>
  <c r="Y280" i="4"/>
  <c r="X281" i="4"/>
  <c r="Y281" i="4"/>
  <c r="X296" i="4"/>
  <c r="Y296" i="4"/>
  <c r="X297" i="4"/>
  <c r="Y297" i="4"/>
  <c r="X298" i="4"/>
  <c r="Y298" i="4"/>
  <c r="X299" i="4"/>
  <c r="Y299" i="4"/>
  <c r="R278" i="4"/>
  <c r="X310" i="4"/>
  <c r="Y310" i="4"/>
  <c r="X314" i="4"/>
  <c r="Y314" i="4"/>
  <c r="X315" i="4"/>
  <c r="Y315" i="4"/>
  <c r="X316" i="4"/>
  <c r="Y316" i="4"/>
  <c r="X317" i="4"/>
  <c r="Y317" i="4"/>
  <c r="X318" i="4"/>
  <c r="Y318" i="4"/>
  <c r="X319" i="4"/>
  <c r="Y319" i="4"/>
  <c r="X320" i="4"/>
  <c r="Y320" i="4"/>
  <c r="X321" i="4"/>
  <c r="Y321" i="4"/>
  <c r="X322" i="4"/>
  <c r="Y322" i="4"/>
  <c r="X323" i="4"/>
  <c r="Y323" i="4"/>
  <c r="X324" i="4"/>
  <c r="Y324" i="4"/>
  <c r="X325" i="4"/>
  <c r="Y325" i="4"/>
  <c r="X326" i="4"/>
  <c r="Y326" i="4"/>
  <c r="X327" i="4"/>
  <c r="Y327" i="4"/>
  <c r="X328" i="4"/>
  <c r="Y328" i="4"/>
  <c r="X329" i="4"/>
  <c r="Y329" i="4"/>
  <c r="X330" i="4"/>
  <c r="Y330" i="4"/>
  <c r="X332" i="4"/>
  <c r="Y332" i="4"/>
  <c r="X300" i="4"/>
  <c r="Z330" i="4"/>
  <c r="Z309" i="4"/>
  <c r="V10" i="52"/>
  <c r="AA347" i="4"/>
  <c r="AC347" i="4"/>
  <c r="AG306" i="4"/>
  <c r="AN306" i="4"/>
  <c r="AG336" i="4"/>
  <c r="AL336" i="4"/>
  <c r="AE248" i="4"/>
  <c r="AG248" i="4"/>
  <c r="AN248" i="4"/>
  <c r="AG247" i="4"/>
  <c r="AN247" i="4"/>
  <c r="AI247" i="4"/>
  <c r="AJ247" i="4"/>
  <c r="AG269" i="4"/>
  <c r="AI269" i="4"/>
  <c r="AJ269" i="4"/>
  <c r="AH269" i="4"/>
  <c r="AE242" i="4"/>
  <c r="AI242" i="4"/>
  <c r="AJ242" i="4"/>
  <c r="AG242" i="4"/>
  <c r="AN242" i="4"/>
  <c r="AH242" i="4"/>
  <c r="AE257" i="4"/>
  <c r="AH257" i="4"/>
  <c r="AG257" i="4"/>
  <c r="AN257" i="4"/>
  <c r="AG253" i="4"/>
  <c r="AE253" i="4"/>
  <c r="AI253" i="4"/>
  <c r="AJ253" i="4"/>
  <c r="AN253" i="4"/>
  <c r="AM337" i="4"/>
  <c r="AE258" i="4"/>
  <c r="AH258" i="4"/>
  <c r="AG258" i="4"/>
  <c r="AN258" i="4"/>
  <c r="AG245" i="4"/>
  <c r="AH245" i="4"/>
  <c r="AN245" i="4"/>
  <c r="AG260" i="4"/>
  <c r="AN260" i="4"/>
  <c r="AE260" i="4"/>
  <c r="AH260" i="4"/>
  <c r="AE270" i="4"/>
  <c r="AH270" i="4"/>
  <c r="AG270" i="4"/>
  <c r="AN270" i="4"/>
  <c r="AG250" i="4"/>
  <c r="AN250" i="4"/>
  <c r="AE250" i="4"/>
  <c r="AI250" i="4"/>
  <c r="AJ250" i="4"/>
  <c r="AE261" i="4"/>
  <c r="AH261" i="4"/>
  <c r="AG261" i="4"/>
  <c r="AN261" i="4"/>
  <c r="AI261" i="4"/>
  <c r="AJ261" i="4"/>
  <c r="AG256" i="4"/>
  <c r="AN256" i="4"/>
  <c r="AE256" i="4"/>
  <c r="AG266" i="4"/>
  <c r="AI266" i="4"/>
  <c r="AJ266" i="4"/>
  <c r="AG244" i="4"/>
  <c r="AN244" i="4"/>
  <c r="AE267" i="4"/>
  <c r="AI267" i="4"/>
  <c r="AJ267" i="4"/>
  <c r="AG267" i="4"/>
  <c r="AN267" i="4"/>
  <c r="AE264" i="4"/>
  <c r="AG264" i="4"/>
  <c r="AN264" i="4"/>
  <c r="AI264" i="4"/>
  <c r="AJ264" i="4"/>
  <c r="AE262" i="4"/>
  <c r="AH262" i="4"/>
  <c r="AG262" i="4"/>
  <c r="AN262" i="4"/>
  <c r="AG255" i="4"/>
  <c r="AN255" i="4"/>
  <c r="AE255" i="4"/>
  <c r="AI255" i="4"/>
  <c r="AJ255" i="4"/>
  <c r="AE263" i="4"/>
  <c r="AG263" i="4"/>
  <c r="AN263" i="4"/>
  <c r="AM345" i="4"/>
  <c r="AE345" i="4"/>
  <c r="AI345" i="4"/>
  <c r="AJ345" i="4"/>
  <c r="AG345" i="4"/>
  <c r="AN345" i="4"/>
  <c r="AG252" i="4"/>
  <c r="AN252" i="4"/>
  <c r="AG241" i="4"/>
  <c r="AN241" i="4"/>
  <c r="AE241" i="4"/>
  <c r="AH241" i="4"/>
  <c r="AE254" i="4"/>
  <c r="AG254" i="4"/>
  <c r="AN254" i="4"/>
  <c r="AH254" i="4"/>
  <c r="AG249" i="4"/>
  <c r="AN249" i="4"/>
  <c r="AE249" i="4"/>
  <c r="AE243" i="4"/>
  <c r="AG243" i="4"/>
  <c r="AN243" i="4"/>
  <c r="AG246" i="4"/>
  <c r="AN246" i="4"/>
  <c r="AE246" i="4"/>
  <c r="AG268" i="4"/>
  <c r="AN268" i="4"/>
  <c r="AE268" i="4"/>
  <c r="AH268" i="4"/>
  <c r="AG305" i="4"/>
  <c r="AN305" i="4"/>
  <c r="AG304" i="4"/>
  <c r="AN304" i="4"/>
  <c r="AG303" i="4"/>
  <c r="AN303" i="4"/>
  <c r="AG302" i="4"/>
  <c r="AN302" i="4"/>
  <c r="AE302" i="4"/>
  <c r="AG301" i="4"/>
  <c r="AN301" i="4"/>
  <c r="AG300" i="4"/>
  <c r="AN300" i="4"/>
  <c r="AE300" i="4"/>
  <c r="AG299" i="4"/>
  <c r="AN299" i="4"/>
  <c r="AE299" i="4"/>
  <c r="AG298" i="4"/>
  <c r="AN298" i="4"/>
  <c r="AE298" i="4"/>
  <c r="AG297" i="4"/>
  <c r="AE297" i="4"/>
  <c r="AN296" i="4"/>
  <c r="AG296" i="4"/>
  <c r="AE296" i="4"/>
  <c r="AG295" i="4"/>
  <c r="AE295" i="4"/>
  <c r="AG294" i="4"/>
  <c r="AN294" i="4"/>
  <c r="AE294" i="4"/>
  <c r="AI294" i="4"/>
  <c r="AJ294" i="4"/>
  <c r="AG291" i="4"/>
  <c r="AN291" i="4"/>
  <c r="AE291" i="4"/>
  <c r="AG292" i="4"/>
  <c r="AN292" i="4"/>
  <c r="AE292" i="4"/>
  <c r="AG290" i="4"/>
  <c r="AN290" i="4"/>
  <c r="AE290" i="4"/>
  <c r="AG289" i="4"/>
  <c r="AN289" i="4"/>
  <c r="AE289" i="4"/>
  <c r="AG288" i="4"/>
  <c r="AN288" i="4"/>
  <c r="AE288" i="4"/>
  <c r="AG287" i="4"/>
  <c r="AN287" i="4"/>
  <c r="AE287" i="4"/>
  <c r="AG285" i="4"/>
  <c r="AN285" i="4"/>
  <c r="AN284" i="4"/>
  <c r="AG284" i="4"/>
  <c r="AG281" i="4"/>
  <c r="AN281" i="4"/>
  <c r="F62" i="68"/>
  <c r="AE167" i="4"/>
  <c r="AH167" i="4"/>
  <c r="AG165" i="4"/>
  <c r="AN165" i="4"/>
  <c r="AG166" i="4"/>
  <c r="AN166" i="4"/>
  <c r="V371" i="4"/>
  <c r="V334" i="4"/>
  <c r="O371" i="4"/>
  <c r="O334" i="4"/>
  <c r="R371" i="4"/>
  <c r="R334" i="4"/>
  <c r="AE128" i="4"/>
  <c r="AI128" i="4"/>
  <c r="AJ128" i="4"/>
  <c r="AG158" i="4"/>
  <c r="AN158" i="4"/>
  <c r="AE126" i="4"/>
  <c r="AH126" i="4"/>
  <c r="AE155" i="4"/>
  <c r="AI155" i="4"/>
  <c r="AJ155" i="4"/>
  <c r="AG162" i="4"/>
  <c r="AN162" i="4"/>
  <c r="AG153" i="4"/>
  <c r="AN153" i="4"/>
  <c r="AE127" i="4"/>
  <c r="AH127" i="4"/>
  <c r="AE159" i="4"/>
  <c r="AH159" i="4"/>
  <c r="AG161" i="4"/>
  <c r="AN161" i="4"/>
  <c r="AI153" i="4"/>
  <c r="AJ153" i="4"/>
  <c r="AE169" i="4"/>
  <c r="AI169" i="4"/>
  <c r="AJ169" i="4"/>
  <c r="AI154" i="4"/>
  <c r="AJ154" i="4"/>
  <c r="O26" i="3"/>
  <c r="AM336" i="4"/>
  <c r="AE336" i="4"/>
  <c r="AH336" i="4"/>
  <c r="AG164" i="4"/>
  <c r="AN164" i="4"/>
  <c r="AE129" i="4"/>
  <c r="AH129" i="4"/>
  <c r="AG156" i="4"/>
  <c r="AN156" i="4"/>
  <c r="AE156" i="4"/>
  <c r="AE168" i="4"/>
  <c r="AH168" i="4"/>
  <c r="AE160" i="4"/>
  <c r="AH160" i="4"/>
  <c r="AI126" i="4"/>
  <c r="AJ126" i="4"/>
  <c r="AE157" i="4"/>
  <c r="AI157" i="4"/>
  <c r="AJ157" i="4"/>
  <c r="AH163" i="4"/>
  <c r="AL278" i="4"/>
  <c r="AN126" i="4"/>
  <c r="AG122" i="4"/>
  <c r="AN122" i="4"/>
  <c r="AE122" i="4"/>
  <c r="AG119" i="4"/>
  <c r="AE119" i="4"/>
  <c r="AG209" i="4"/>
  <c r="AE209" i="4"/>
  <c r="AG206" i="4"/>
  <c r="AN206" i="4"/>
  <c r="AE206" i="4"/>
  <c r="AG97" i="4"/>
  <c r="AN97" i="4"/>
  <c r="AG216" i="4"/>
  <c r="AG146" i="4"/>
  <c r="AE146" i="4"/>
  <c r="AG237" i="4"/>
  <c r="AN237" i="4"/>
  <c r="AE237" i="4"/>
  <c r="AG106" i="4"/>
  <c r="AG214" i="4"/>
  <c r="AN214" i="4"/>
  <c r="AE214" i="4"/>
  <c r="AG137" i="4"/>
  <c r="AE137" i="4"/>
  <c r="AG136" i="4"/>
  <c r="AN136" i="4"/>
  <c r="AE136" i="4"/>
  <c r="AG114" i="4"/>
  <c r="AN114" i="4"/>
  <c r="AG116" i="4"/>
  <c r="AN116" i="4"/>
  <c r="AE116" i="4"/>
  <c r="AG123" i="4"/>
  <c r="AN123" i="4"/>
  <c r="AE123" i="4"/>
  <c r="AG132" i="4"/>
  <c r="AN132" i="4"/>
  <c r="AE132" i="4"/>
  <c r="AG172" i="4"/>
  <c r="AN172" i="4"/>
  <c r="AE172" i="4"/>
  <c r="AE211" i="4"/>
  <c r="AG211" i="4"/>
  <c r="AN211" i="4"/>
  <c r="AG190" i="4"/>
  <c r="AN190" i="4"/>
  <c r="AE190" i="4"/>
  <c r="AE205" i="4"/>
  <c r="AG205" i="4"/>
  <c r="AN205" i="4"/>
  <c r="AG96" i="4"/>
  <c r="AE96" i="4"/>
  <c r="AG212" i="4"/>
  <c r="AN212" i="4"/>
  <c r="AE212" i="4"/>
  <c r="AG103" i="4"/>
  <c r="AE103" i="4"/>
  <c r="AG130" i="4"/>
  <c r="AN130" i="4"/>
  <c r="AE130" i="4"/>
  <c r="AE213" i="4"/>
  <c r="AG213" i="4"/>
  <c r="AN213" i="4"/>
  <c r="AG200" i="4"/>
  <c r="AE200" i="4"/>
  <c r="AE178" i="4"/>
  <c r="AG178" i="4"/>
  <c r="AN178" i="4"/>
  <c r="AG109" i="4"/>
  <c r="AN109" i="4"/>
  <c r="AE109" i="4"/>
  <c r="AG221" i="4"/>
  <c r="AN221" i="4"/>
  <c r="AE221" i="4"/>
  <c r="AG140" i="4"/>
  <c r="AE140" i="4"/>
  <c r="AG228" i="4"/>
  <c r="AN228" i="4"/>
  <c r="AE228" i="4"/>
  <c r="AG147" i="4"/>
  <c r="AN147" i="4"/>
  <c r="AE147" i="4"/>
  <c r="AE239" i="4"/>
  <c r="AG239" i="4"/>
  <c r="AN239" i="4"/>
  <c r="AE187" i="4"/>
  <c r="AG187" i="4"/>
  <c r="AN187" i="4"/>
  <c r="AG149" i="4"/>
  <c r="AN149" i="4"/>
  <c r="AE149" i="4"/>
  <c r="AG174" i="4"/>
  <c r="AE174" i="4"/>
  <c r="AG105" i="4"/>
  <c r="AN105" i="4"/>
  <c r="AE105" i="4"/>
  <c r="AG173" i="4"/>
  <c r="AN173" i="4"/>
  <c r="AE173" i="4"/>
  <c r="AG104" i="4"/>
  <c r="AN104" i="4"/>
  <c r="AE104" i="4"/>
  <c r="AG224" i="4"/>
  <c r="AN224" i="4"/>
  <c r="AE224" i="4"/>
  <c r="AG143" i="4"/>
  <c r="AN143" i="4"/>
  <c r="AE143" i="4"/>
  <c r="AE235" i="4"/>
  <c r="AG235" i="4"/>
  <c r="AN235" i="4"/>
  <c r="AG171" i="4"/>
  <c r="AN171" i="4"/>
  <c r="AE171" i="4"/>
  <c r="AN169" i="4"/>
  <c r="AN159" i="4"/>
  <c r="AG215" i="4"/>
  <c r="AE215" i="4"/>
  <c r="AG112" i="4"/>
  <c r="AN112" i="4"/>
  <c r="AE112" i="4"/>
  <c r="AE227" i="4"/>
  <c r="AG227" i="4"/>
  <c r="AN227" i="4"/>
  <c r="AG101" i="4"/>
  <c r="AN101" i="4"/>
  <c r="AE101" i="4"/>
  <c r="AG141" i="4"/>
  <c r="AE141" i="4"/>
  <c r="AG192" i="4"/>
  <c r="AN192" i="4"/>
  <c r="AE192" i="4"/>
  <c r="AG203" i="4"/>
  <c r="AH203" i="4"/>
  <c r="AG218" i="4"/>
  <c r="AN218" i="4"/>
  <c r="AE218" i="4"/>
  <c r="AG240" i="4"/>
  <c r="AN240" i="4"/>
  <c r="AE240" i="4"/>
  <c r="AG199" i="4"/>
  <c r="AN199" i="4"/>
  <c r="AE199" i="4"/>
  <c r="AG121" i="4"/>
  <c r="AI121" i="4"/>
  <c r="AJ121" i="4"/>
  <c r="AG117" i="4"/>
  <c r="AN117" i="4"/>
  <c r="AE117" i="4"/>
  <c r="AG210" i="4"/>
  <c r="AN210" i="4"/>
  <c r="AE210" i="4"/>
  <c r="AG100" i="4"/>
  <c r="AE100" i="4"/>
  <c r="AG107" i="4"/>
  <c r="AE107" i="4"/>
  <c r="AG195" i="4"/>
  <c r="AH195" i="4"/>
  <c r="AG226" i="4"/>
  <c r="AH226" i="4"/>
  <c r="AG145" i="4"/>
  <c r="AN145" i="4"/>
  <c r="AE145" i="4"/>
  <c r="AG189" i="4"/>
  <c r="AN189" i="4"/>
  <c r="AG196" i="4"/>
  <c r="AI196" i="4"/>
  <c r="AJ196" i="4"/>
  <c r="AG207" i="4"/>
  <c r="AN207" i="4"/>
  <c r="AG230" i="4"/>
  <c r="AN230" i="4"/>
  <c r="AE230" i="4"/>
  <c r="AG148" i="4"/>
  <c r="AN148" i="4"/>
  <c r="AG202" i="4"/>
  <c r="AN202" i="4"/>
  <c r="AE202" i="4"/>
  <c r="AG93" i="4"/>
  <c r="AN93" i="4"/>
  <c r="AG177" i="4"/>
  <c r="AN177" i="4"/>
  <c r="AG108" i="4"/>
  <c r="AN108" i="4"/>
  <c r="AE108" i="4"/>
  <c r="AG184" i="4"/>
  <c r="AI184" i="4"/>
  <c r="AJ184" i="4"/>
  <c r="AG131" i="4"/>
  <c r="AN131" i="4"/>
  <c r="AE131" i="4"/>
  <c r="AG223" i="4"/>
  <c r="AH223" i="4"/>
  <c r="AG142" i="4"/>
  <c r="AN142" i="4"/>
  <c r="AE142" i="4"/>
  <c r="AG139" i="4"/>
  <c r="AE139" i="4"/>
  <c r="AG198" i="4"/>
  <c r="AH198" i="4"/>
  <c r="AE197" i="4"/>
  <c r="AG197" i="4"/>
  <c r="AN197" i="4"/>
  <c r="AE180" i="4"/>
  <c r="AG180" i="4"/>
  <c r="AN180" i="4"/>
  <c r="AG111" i="4"/>
  <c r="AN111" i="4"/>
  <c r="AE111" i="4"/>
  <c r="AE219" i="4"/>
  <c r="AG219" i="4"/>
  <c r="AN219" i="4"/>
  <c r="AG138" i="4"/>
  <c r="AN138" i="4"/>
  <c r="AE138" i="4"/>
  <c r="AG118" i="4"/>
  <c r="AE118" i="4"/>
  <c r="AG176" i="4"/>
  <c r="AN176" i="4"/>
  <c r="AE176" i="4"/>
  <c r="AG134" i="4"/>
  <c r="AN134" i="4"/>
  <c r="AG181" i="4"/>
  <c r="AE181" i="4"/>
  <c r="AG135" i="4"/>
  <c r="AN135" i="4"/>
  <c r="AE135" i="4"/>
  <c r="AG220" i="4"/>
  <c r="AN220" i="4"/>
  <c r="AE220" i="4"/>
  <c r="AG222" i="4"/>
  <c r="AN222" i="4"/>
  <c r="AG185" i="4"/>
  <c r="AN185" i="4"/>
  <c r="AG102" i="4"/>
  <c r="AN102" i="4"/>
  <c r="AE193" i="4"/>
  <c r="AG193" i="4"/>
  <c r="AN193" i="4"/>
  <c r="AG217" i="4"/>
  <c r="AH217" i="4"/>
  <c r="AG188" i="4"/>
  <c r="AE188" i="4"/>
  <c r="AG115" i="4"/>
  <c r="AH115" i="4"/>
  <c r="AG120" i="4"/>
  <c r="AN120" i="4"/>
  <c r="AG124" i="4"/>
  <c r="AN124" i="4"/>
  <c r="AE124" i="4"/>
  <c r="AG125" i="4"/>
  <c r="AN125" i="4"/>
  <c r="AE125" i="4"/>
  <c r="AG133" i="4"/>
  <c r="AN133" i="4"/>
  <c r="AE133" i="4"/>
  <c r="AG236" i="4"/>
  <c r="AN236" i="4"/>
  <c r="AE236" i="4"/>
  <c r="AG231" i="4"/>
  <c r="AN231" i="4"/>
  <c r="AG150" i="4"/>
  <c r="AN150" i="4"/>
  <c r="AE150" i="4"/>
  <c r="AG182" i="4"/>
  <c r="AN182" i="4"/>
  <c r="AE182" i="4"/>
  <c r="AG113" i="4"/>
  <c r="AG225" i="4"/>
  <c r="AN225" i="4"/>
  <c r="AE225" i="4"/>
  <c r="AG144" i="4"/>
  <c r="AN144" i="4"/>
  <c r="AG232" i="4"/>
  <c r="AN232" i="4"/>
  <c r="AE232" i="4"/>
  <c r="AG151" i="4"/>
  <c r="AE151" i="4"/>
  <c r="AG191" i="4"/>
  <c r="AN191" i="4"/>
  <c r="AE191" i="4"/>
  <c r="AG194" i="4"/>
  <c r="AN194" i="4"/>
  <c r="AE194" i="4"/>
  <c r="AG238" i="4"/>
  <c r="AE238" i="4"/>
  <c r="AG186" i="4"/>
  <c r="AE186" i="4"/>
  <c r="AE201" i="4"/>
  <c r="AG201" i="4"/>
  <c r="AN201" i="4"/>
  <c r="AG208" i="4"/>
  <c r="AN208" i="4"/>
  <c r="AE208" i="4"/>
  <c r="AG99" i="4"/>
  <c r="AN99" i="4"/>
  <c r="AG179" i="4"/>
  <c r="AI179" i="4"/>
  <c r="AJ179" i="4"/>
  <c r="AG110" i="4"/>
  <c r="AE110" i="4"/>
  <c r="AG229" i="4"/>
  <c r="AI229" i="4"/>
  <c r="AJ229" i="4"/>
  <c r="AG234" i="4"/>
  <c r="AN234" i="4"/>
  <c r="AE234" i="4"/>
  <c r="AG170" i="4"/>
  <c r="AE170" i="4"/>
  <c r="AE233" i="4"/>
  <c r="AG233" i="4"/>
  <c r="AG152" i="4"/>
  <c r="AN152" i="4"/>
  <c r="AE152" i="4"/>
  <c r="AG94" i="4"/>
  <c r="AN94" i="4"/>
  <c r="AE94" i="4"/>
  <c r="AG204" i="4"/>
  <c r="AN204" i="4"/>
  <c r="AE204" i="4"/>
  <c r="AG95" i="4"/>
  <c r="AN95" i="4"/>
  <c r="AE95" i="4"/>
  <c r="AG175" i="4"/>
  <c r="AN175" i="4"/>
  <c r="AE175" i="4"/>
  <c r="AG98" i="4"/>
  <c r="AN98" i="4"/>
  <c r="D72" i="69"/>
  <c r="D334" i="69"/>
  <c r="D28" i="52"/>
  <c r="D30" i="52"/>
  <c r="G167" i="7"/>
  <c r="B20" i="43"/>
  <c r="D329" i="69"/>
  <c r="C139" i="69"/>
  <c r="E139" i="69" s="1"/>
  <c r="D337" i="69"/>
  <c r="D332" i="69"/>
  <c r="D333" i="69"/>
  <c r="AM341" i="4"/>
  <c r="AE341" i="4"/>
  <c r="AG341" i="4"/>
  <c r="AL341" i="4"/>
  <c r="AM338" i="4"/>
  <c r="AE338" i="4"/>
  <c r="AG338" i="4"/>
  <c r="AN338" i="4"/>
  <c r="AM344" i="4"/>
  <c r="AG344" i="4"/>
  <c r="AN344" i="4"/>
  <c r="AE344" i="4"/>
  <c r="AM342" i="4"/>
  <c r="AE342" i="4"/>
  <c r="AG342" i="4"/>
  <c r="AN342" i="4"/>
  <c r="C140" i="69"/>
  <c r="E140" i="69" s="1"/>
  <c r="AM340" i="4"/>
  <c r="AE340" i="4"/>
  <c r="AG340" i="4"/>
  <c r="AK340" i="4"/>
  <c r="AM339" i="4"/>
  <c r="AG339" i="4"/>
  <c r="AK339" i="4"/>
  <c r="AE339" i="4"/>
  <c r="AM343" i="4"/>
  <c r="AG343" i="4"/>
  <c r="AN343" i="4"/>
  <c r="AE343" i="4"/>
  <c r="AN336" i="4"/>
  <c r="AK336" i="4"/>
  <c r="AG58" i="4"/>
  <c r="AN58" i="4"/>
  <c r="AE58" i="4"/>
  <c r="AG42" i="4"/>
  <c r="AN42" i="4"/>
  <c r="AE42" i="4"/>
  <c r="AG45" i="4"/>
  <c r="AN45" i="4"/>
  <c r="AE45" i="4"/>
  <c r="AG47" i="4"/>
  <c r="AN47" i="4"/>
  <c r="AE47" i="4"/>
  <c r="AG70" i="4"/>
  <c r="AN70" i="4"/>
  <c r="AE70" i="4"/>
  <c r="AG62" i="4"/>
  <c r="AN62" i="4"/>
  <c r="AE62" i="4"/>
  <c r="AG46" i="4"/>
  <c r="AN46" i="4"/>
  <c r="AE46" i="4"/>
  <c r="AG65" i="4"/>
  <c r="AN65" i="4"/>
  <c r="AE65" i="4"/>
  <c r="AG55" i="4"/>
  <c r="AN55" i="4"/>
  <c r="AE55" i="4"/>
  <c r="AG53" i="4"/>
  <c r="AE53" i="4"/>
  <c r="AG66" i="4"/>
  <c r="AN66" i="4"/>
  <c r="AE66" i="4"/>
  <c r="AG56" i="4"/>
  <c r="AN56" i="4"/>
  <c r="AE56" i="4"/>
  <c r="AG40" i="4"/>
  <c r="AN40" i="4"/>
  <c r="AE40" i="4"/>
  <c r="AG41" i="4"/>
  <c r="AN41" i="4"/>
  <c r="AE41" i="4"/>
  <c r="AG43" i="4"/>
  <c r="AN43" i="4"/>
  <c r="AE43" i="4"/>
  <c r="AG60" i="4"/>
  <c r="AE60" i="4"/>
  <c r="AG44" i="4"/>
  <c r="AN44" i="4"/>
  <c r="AE44" i="4"/>
  <c r="AG49" i="4"/>
  <c r="AN49" i="4"/>
  <c r="AE49" i="4"/>
  <c r="AG51" i="4"/>
  <c r="AN51" i="4"/>
  <c r="AE51" i="4"/>
  <c r="AG64" i="4"/>
  <c r="AN64" i="4"/>
  <c r="AE64" i="4"/>
  <c r="AG84" i="4"/>
  <c r="AN84" i="4"/>
  <c r="AE84" i="4"/>
  <c r="AG81" i="4"/>
  <c r="AN81" i="4"/>
  <c r="AE81" i="4"/>
  <c r="AG90" i="4"/>
  <c r="AN90" i="4"/>
  <c r="AE90" i="4"/>
  <c r="AG89" i="4"/>
  <c r="AN89" i="4"/>
  <c r="AE89" i="4"/>
  <c r="AG83" i="4"/>
  <c r="AN83" i="4"/>
  <c r="AE83" i="4"/>
  <c r="AG92" i="4"/>
  <c r="AE92" i="4"/>
  <c r="AG71" i="4"/>
  <c r="AN71" i="4"/>
  <c r="AE71" i="4"/>
  <c r="AG50" i="4"/>
  <c r="AN50" i="4"/>
  <c r="AE50" i="4"/>
  <c r="AG73" i="4"/>
  <c r="AN73" i="4"/>
  <c r="AE73" i="4"/>
  <c r="AG63" i="4"/>
  <c r="AN63" i="4"/>
  <c r="AE63" i="4"/>
  <c r="AG68" i="4"/>
  <c r="AN68" i="4"/>
  <c r="AE68" i="4"/>
  <c r="AG59" i="4"/>
  <c r="AE59" i="4"/>
  <c r="AG35" i="4"/>
  <c r="AN35" i="4"/>
  <c r="AE35" i="4"/>
  <c r="AG72" i="4"/>
  <c r="AN72" i="4"/>
  <c r="AE72" i="4"/>
  <c r="AG79" i="4"/>
  <c r="AN79" i="4"/>
  <c r="AG54" i="4"/>
  <c r="AN54" i="4"/>
  <c r="AE54" i="4"/>
  <c r="AG38" i="4"/>
  <c r="AN38" i="4"/>
  <c r="AE38" i="4"/>
  <c r="AG39" i="4"/>
  <c r="AN39" i="4"/>
  <c r="AE39" i="4"/>
  <c r="AG78" i="4"/>
  <c r="AN78" i="4"/>
  <c r="AG69" i="4"/>
  <c r="AN69" i="4"/>
  <c r="AE69" i="4"/>
  <c r="AG48" i="4"/>
  <c r="AN48" i="4"/>
  <c r="AE48" i="4"/>
  <c r="AG67" i="4"/>
  <c r="AN67" i="4"/>
  <c r="AE67" i="4"/>
  <c r="AG61" i="4"/>
  <c r="AN61" i="4"/>
  <c r="AE61" i="4"/>
  <c r="AG57" i="4"/>
  <c r="AN57" i="4"/>
  <c r="AE57" i="4"/>
  <c r="AG80" i="4"/>
  <c r="AN80" i="4"/>
  <c r="AE80" i="4"/>
  <c r="AG77" i="4"/>
  <c r="AN77" i="4"/>
  <c r="AE77" i="4"/>
  <c r="AG52" i="4"/>
  <c r="AN52" i="4"/>
  <c r="AE52" i="4"/>
  <c r="AG36" i="4"/>
  <c r="AN36" i="4"/>
  <c r="AE36" i="4"/>
  <c r="AG75" i="4"/>
  <c r="AN75" i="4"/>
  <c r="AE75" i="4"/>
  <c r="AG76" i="4"/>
  <c r="AN76" i="4"/>
  <c r="AE76" i="4"/>
  <c r="AG37" i="4"/>
  <c r="AN37" i="4"/>
  <c r="AE37" i="4"/>
  <c r="AG74" i="4"/>
  <c r="AN74" i="4"/>
  <c r="AE74" i="4"/>
  <c r="AG86" i="4"/>
  <c r="AN86" i="4"/>
  <c r="AE86" i="4"/>
  <c r="AG85" i="4"/>
  <c r="AN85" i="4"/>
  <c r="AE85" i="4"/>
  <c r="AG91" i="4"/>
  <c r="AN91" i="4"/>
  <c r="AG82" i="4"/>
  <c r="AN82" i="4"/>
  <c r="AE82" i="4"/>
  <c r="AG88" i="4"/>
  <c r="AN88" i="4"/>
  <c r="AE88" i="4"/>
  <c r="AG87" i="4"/>
  <c r="AN87" i="4"/>
  <c r="AE87" i="4"/>
  <c r="C272" i="69"/>
  <c r="E272" i="69" s="1"/>
  <c r="C74" i="69"/>
  <c r="I275" i="49"/>
  <c r="E4" i="65"/>
  <c r="B353" i="4"/>
  <c r="E3" i="65"/>
  <c r="B352" i="4"/>
  <c r="B367" i="4"/>
  <c r="G140" i="7"/>
  <c r="B18" i="43"/>
  <c r="H371" i="4"/>
  <c r="N26" i="53"/>
  <c r="B365" i="4"/>
  <c r="B368" i="4"/>
  <c r="B364" i="4"/>
  <c r="B366" i="4"/>
  <c r="X278" i="4"/>
  <c r="X334" i="4"/>
  <c r="N28" i="54"/>
  <c r="H140" i="49"/>
  <c r="H156" i="49"/>
  <c r="B19" i="43"/>
  <c r="AG280" i="4"/>
  <c r="AN280" i="4"/>
  <c r="H275" i="49"/>
  <c r="AN24" i="4"/>
  <c r="AG337" i="4"/>
  <c r="AL337" i="4"/>
  <c r="AE337" i="4"/>
  <c r="AG34" i="4"/>
  <c r="AN34" i="4"/>
  <c r="AE34" i="4"/>
  <c r="AG33" i="4"/>
  <c r="AN33" i="4"/>
  <c r="AE33" i="4"/>
  <c r="AG32" i="4"/>
  <c r="AN32" i="4"/>
  <c r="AE32" i="4"/>
  <c r="AG31" i="4"/>
  <c r="AN31" i="4"/>
  <c r="AE31" i="4"/>
  <c r="AG30" i="4"/>
  <c r="AN30" i="4"/>
  <c r="AE30" i="4"/>
  <c r="AG29" i="4"/>
  <c r="AN29" i="4"/>
  <c r="AE29" i="4"/>
  <c r="AG28" i="4"/>
  <c r="AN28" i="4"/>
  <c r="AE28" i="4"/>
  <c r="AG27" i="4"/>
  <c r="AN27" i="4"/>
  <c r="AE27" i="4"/>
  <c r="AG26" i="4"/>
  <c r="AN26" i="4"/>
  <c r="AE26" i="4"/>
  <c r="AG25" i="4"/>
  <c r="AN25" i="4"/>
  <c r="AE25" i="4"/>
  <c r="AH349" i="4"/>
  <c r="AO349" i="4"/>
  <c r="AP349" i="4"/>
  <c r="AH154" i="4"/>
  <c r="AI163" i="4"/>
  <c r="AJ163" i="4"/>
  <c r="AI348" i="4"/>
  <c r="AJ348" i="4"/>
  <c r="AH347" i="4"/>
  <c r="AI347" i="4"/>
  <c r="AJ347" i="4"/>
  <c r="H146" i="49"/>
  <c r="N28" i="53"/>
  <c r="AE23" i="4"/>
  <c r="AE24" i="4"/>
  <c r="AH24" i="4"/>
  <c r="AE280" i="4"/>
  <c r="AI332" i="4"/>
  <c r="AJ332" i="4"/>
  <c r="AH332" i="4"/>
  <c r="AH328" i="4"/>
  <c r="AI328" i="4"/>
  <c r="AJ328" i="4"/>
  <c r="AH324" i="4"/>
  <c r="AI324" i="4"/>
  <c r="AJ324" i="4"/>
  <c r="AH320" i="4"/>
  <c r="AI320" i="4"/>
  <c r="AJ320" i="4"/>
  <c r="AH316" i="4"/>
  <c r="AI316" i="4"/>
  <c r="AJ316" i="4"/>
  <c r="AI330" i="4"/>
  <c r="AJ330" i="4"/>
  <c r="AH330" i="4"/>
  <c r="AI326" i="4"/>
  <c r="AJ326" i="4"/>
  <c r="AH326" i="4"/>
  <c r="AH322" i="4"/>
  <c r="AI322" i="4"/>
  <c r="AJ322" i="4"/>
  <c r="AI318" i="4"/>
  <c r="AJ318" i="4"/>
  <c r="AH318" i="4"/>
  <c r="AI329" i="4"/>
  <c r="AJ329" i="4"/>
  <c r="AH329" i="4"/>
  <c r="AI325" i="4"/>
  <c r="AJ325" i="4"/>
  <c r="AH325" i="4"/>
  <c r="AI321" i="4"/>
  <c r="AJ321" i="4"/>
  <c r="AH321" i="4"/>
  <c r="AI317" i="4"/>
  <c r="AJ317" i="4"/>
  <c r="AH317" i="4"/>
  <c r="AH327" i="4"/>
  <c r="AI327" i="4"/>
  <c r="AJ327" i="4"/>
  <c r="AH323" i="4"/>
  <c r="AI323" i="4"/>
  <c r="AJ323" i="4"/>
  <c r="AI319" i="4"/>
  <c r="AJ319" i="4"/>
  <c r="AH319" i="4"/>
  <c r="AH315" i="4"/>
  <c r="AI315" i="4"/>
  <c r="AJ315" i="4"/>
  <c r="AG331" i="4"/>
  <c r="AE331" i="4"/>
  <c r="AI286" i="4"/>
  <c r="AJ286" i="4"/>
  <c r="AH286" i="4"/>
  <c r="AH306" i="4"/>
  <c r="AI306" i="4"/>
  <c r="AJ306" i="4"/>
  <c r="AH308" i="4"/>
  <c r="AI308" i="4"/>
  <c r="AJ308" i="4"/>
  <c r="AI311" i="4"/>
  <c r="AJ311" i="4"/>
  <c r="AH311" i="4"/>
  <c r="AI307" i="4"/>
  <c r="AJ307" i="4"/>
  <c r="AH307" i="4"/>
  <c r="AI283" i="4"/>
  <c r="AJ283" i="4"/>
  <c r="AH283" i="4"/>
  <c r="AH282" i="4"/>
  <c r="AI282" i="4"/>
  <c r="AJ282" i="4"/>
  <c r="AH293" i="4"/>
  <c r="AI293" i="4"/>
  <c r="AJ293" i="4"/>
  <c r="AH284" i="4"/>
  <c r="AI284" i="4"/>
  <c r="AJ284" i="4"/>
  <c r="AH309" i="4"/>
  <c r="AI309" i="4"/>
  <c r="AJ309" i="4"/>
  <c r="AH305" i="4"/>
  <c r="AI305" i="4"/>
  <c r="AJ305" i="4"/>
  <c r="AG314" i="4"/>
  <c r="AN314" i="4"/>
  <c r="AE314" i="4"/>
  <c r="AG310" i="4"/>
  <c r="AE310" i="4"/>
  <c r="AG183" i="4"/>
  <c r="AN183" i="4"/>
  <c r="AE183" i="4"/>
  <c r="AG22" i="4"/>
  <c r="AN22" i="4"/>
  <c r="N28" i="55"/>
  <c r="AD312" i="4"/>
  <c r="AE22" i="4"/>
  <c r="Y300" i="4"/>
  <c r="AO346" i="4"/>
  <c r="AP346" i="4"/>
  <c r="AD333" i="4"/>
  <c r="AD278" i="4"/>
  <c r="D28" i="65"/>
  <c r="V27" i="52"/>
  <c r="B363" i="4"/>
  <c r="AH345" i="4"/>
  <c r="AK345" i="4"/>
  <c r="AI246" i="4"/>
  <c r="AJ246" i="4"/>
  <c r="AI243" i="4"/>
  <c r="AJ243" i="4"/>
  <c r="AH253" i="4"/>
  <c r="AH249" i="4"/>
  <c r="AI254" i="4"/>
  <c r="AJ254" i="4"/>
  <c r="AI252" i="4"/>
  <c r="AJ252" i="4"/>
  <c r="AH264" i="4"/>
  <c r="AI258" i="4"/>
  <c r="AJ258" i="4"/>
  <c r="AI257" i="4"/>
  <c r="AJ257" i="4"/>
  <c r="AN269" i="4"/>
  <c r="AI256" i="4"/>
  <c r="AJ256" i="4"/>
  <c r="AO261" i="4"/>
  <c r="AP261" i="4"/>
  <c r="AI245" i="4"/>
  <c r="AJ245" i="4"/>
  <c r="AH247" i="4"/>
  <c r="AO258" i="4"/>
  <c r="AP258" i="4"/>
  <c r="AO269" i="4"/>
  <c r="AP269" i="4"/>
  <c r="AO247" i="4"/>
  <c r="AP247" i="4"/>
  <c r="AO242" i="4"/>
  <c r="AP242" i="4"/>
  <c r="H75" i="49"/>
  <c r="AH246" i="4"/>
  <c r="AH243" i="4"/>
  <c r="AO243" i="4"/>
  <c r="AP243" i="4"/>
  <c r="AI241" i="4"/>
  <c r="AJ241" i="4"/>
  <c r="AH252" i="4"/>
  <c r="AO252" i="4"/>
  <c r="AP252" i="4"/>
  <c r="AL345" i="4"/>
  <c r="AI262" i="4"/>
  <c r="AJ262" i="4"/>
  <c r="AH250" i="4"/>
  <c r="AO250" i="4"/>
  <c r="AP250" i="4"/>
  <c r="AI270" i="4"/>
  <c r="AJ270" i="4"/>
  <c r="AO253" i="4"/>
  <c r="AP253" i="4"/>
  <c r="AI249" i="4"/>
  <c r="AJ249" i="4"/>
  <c r="AI263" i="4"/>
  <c r="AJ263" i="4"/>
  <c r="AH244" i="4"/>
  <c r="AN266" i="4"/>
  <c r="AH256" i="4"/>
  <c r="AO256" i="4"/>
  <c r="AP256" i="4"/>
  <c r="AI260" i="4"/>
  <c r="AJ260" i="4"/>
  <c r="AI248" i="4"/>
  <c r="AJ248" i="4"/>
  <c r="AI268" i="4"/>
  <c r="AJ268" i="4"/>
  <c r="AH263" i="4"/>
  <c r="AO263" i="4"/>
  <c r="AP263" i="4"/>
  <c r="AH255" i="4"/>
  <c r="AO255" i="4"/>
  <c r="AP255" i="4"/>
  <c r="AO264" i="4"/>
  <c r="AP264" i="4"/>
  <c r="AH267" i="4"/>
  <c r="AO267" i="4"/>
  <c r="AP267" i="4"/>
  <c r="AI244" i="4"/>
  <c r="AJ244" i="4"/>
  <c r="AH266" i="4"/>
  <c r="AO266" i="4"/>
  <c r="AP266" i="4"/>
  <c r="AH248" i="4"/>
  <c r="AO248" i="4"/>
  <c r="AP248" i="4"/>
  <c r="AI297" i="4"/>
  <c r="AJ297" i="4"/>
  <c r="AI301" i="4"/>
  <c r="AJ301" i="4"/>
  <c r="AI285" i="4"/>
  <c r="AJ285" i="4"/>
  <c r="AI300" i="4"/>
  <c r="AJ300" i="4"/>
  <c r="AI303" i="4"/>
  <c r="AJ303" i="4"/>
  <c r="AH304" i="4"/>
  <c r="AH296" i="4"/>
  <c r="AH302" i="4"/>
  <c r="AH281" i="4"/>
  <c r="AH285" i="4"/>
  <c r="AH288" i="4"/>
  <c r="AH292" i="4"/>
  <c r="AH294" i="4"/>
  <c r="AO294" i="4"/>
  <c r="AP294" i="4"/>
  <c r="AI295" i="4"/>
  <c r="AJ295" i="4"/>
  <c r="AH299" i="4"/>
  <c r="AH290" i="4"/>
  <c r="AI290" i="4"/>
  <c r="AJ290" i="4"/>
  <c r="AI291" i="4"/>
  <c r="AJ291" i="4"/>
  <c r="AI296" i="4"/>
  <c r="AJ296" i="4"/>
  <c r="AN295" i="4"/>
  <c r="AI299" i="4"/>
  <c r="AJ299" i="4"/>
  <c r="AH303" i="4"/>
  <c r="AH289" i="4"/>
  <c r="AH295" i="4"/>
  <c r="AI302" i="4"/>
  <c r="AJ302" i="4"/>
  <c r="AI287" i="4"/>
  <c r="AJ287" i="4"/>
  <c r="AH291" i="4"/>
  <c r="AN297" i="4"/>
  <c r="AN312" i="4"/>
  <c r="AH297" i="4"/>
  <c r="AI304" i="4"/>
  <c r="AJ304" i="4"/>
  <c r="AH301" i="4"/>
  <c r="AH300" i="4"/>
  <c r="AO300" i="4"/>
  <c r="AP300" i="4"/>
  <c r="AI298" i="4"/>
  <c r="AJ298" i="4"/>
  <c r="AH298" i="4"/>
  <c r="AI292" i="4"/>
  <c r="AJ292" i="4"/>
  <c r="AI289" i="4"/>
  <c r="AJ289" i="4"/>
  <c r="AI288" i="4"/>
  <c r="AJ288" i="4"/>
  <c r="AH287" i="4"/>
  <c r="AI281" i="4"/>
  <c r="AJ281" i="4"/>
  <c r="AI167" i="4"/>
  <c r="AJ167" i="4"/>
  <c r="AD334" i="4"/>
  <c r="AI158" i="4"/>
  <c r="AJ158" i="4"/>
  <c r="AH165" i="4"/>
  <c r="AH158" i="4"/>
  <c r="AH128" i="4"/>
  <c r="AO128" i="4"/>
  <c r="AP128" i="4"/>
  <c r="AH155" i="4"/>
  <c r="AH103" i="4"/>
  <c r="AH177" i="4"/>
  <c r="AH166" i="4"/>
  <c r="AI165" i="4"/>
  <c r="AJ165" i="4"/>
  <c r="AI127" i="4"/>
  <c r="AJ127" i="4"/>
  <c r="AI166" i="4"/>
  <c r="AJ166" i="4"/>
  <c r="X371" i="4"/>
  <c r="AI162" i="4"/>
  <c r="AJ162" i="4"/>
  <c r="AI159" i="4"/>
  <c r="AJ159" i="4"/>
  <c r="AI161" i="4"/>
  <c r="AJ161" i="4"/>
  <c r="AI217" i="4"/>
  <c r="AJ217" i="4"/>
  <c r="AH162" i="4"/>
  <c r="AH156" i="4"/>
  <c r="AI168" i="4"/>
  <c r="AJ168" i="4"/>
  <c r="AH153" i="4"/>
  <c r="AI160" i="4"/>
  <c r="AJ160" i="4"/>
  <c r="AI232" i="4"/>
  <c r="AJ232" i="4"/>
  <c r="AI150" i="4"/>
  <c r="AJ150" i="4"/>
  <c r="AI138" i="4"/>
  <c r="AJ138" i="4"/>
  <c r="AH205" i="4"/>
  <c r="AI129" i="4"/>
  <c r="AJ129" i="4"/>
  <c r="AI204" i="4"/>
  <c r="AJ204" i="4"/>
  <c r="AH171" i="4"/>
  <c r="AI143" i="4"/>
  <c r="AJ143" i="4"/>
  <c r="AI104" i="4"/>
  <c r="AJ104" i="4"/>
  <c r="AI105" i="4"/>
  <c r="AJ105" i="4"/>
  <c r="AI149" i="4"/>
  <c r="AJ149" i="4"/>
  <c r="AI228" i="4"/>
  <c r="AJ228" i="4"/>
  <c r="AH221" i="4"/>
  <c r="AH190" i="4"/>
  <c r="AI172" i="4"/>
  <c r="AJ172" i="4"/>
  <c r="AH237" i="4"/>
  <c r="AH122" i="4"/>
  <c r="AH161" i="4"/>
  <c r="AH169" i="4"/>
  <c r="AH144" i="4"/>
  <c r="AH102" i="4"/>
  <c r="AI156" i="4"/>
  <c r="AJ156" i="4"/>
  <c r="AN340" i="4"/>
  <c r="AH234" i="4"/>
  <c r="AI151" i="4"/>
  <c r="AJ151" i="4"/>
  <c r="AH146" i="4"/>
  <c r="AI99" i="4"/>
  <c r="AJ99" i="4"/>
  <c r="AI336" i="4"/>
  <c r="AJ336" i="4"/>
  <c r="AH164" i="4"/>
  <c r="AH207" i="4"/>
  <c r="AI164" i="4"/>
  <c r="AJ164" i="4"/>
  <c r="AI177" i="4"/>
  <c r="AJ177" i="4"/>
  <c r="AI180" i="4"/>
  <c r="AJ180" i="4"/>
  <c r="AN184" i="4"/>
  <c r="AI237" i="4"/>
  <c r="AJ237" i="4"/>
  <c r="AI134" i="4"/>
  <c r="AJ134" i="4"/>
  <c r="AH184" i="4"/>
  <c r="AI122" i="4"/>
  <c r="AJ122" i="4"/>
  <c r="AH134" i="4"/>
  <c r="AI219" i="4"/>
  <c r="AJ219" i="4"/>
  <c r="AI101" i="4"/>
  <c r="AJ101" i="4"/>
  <c r="AI207" i="4"/>
  <c r="AJ207" i="4"/>
  <c r="AI221" i="4"/>
  <c r="AJ221" i="4"/>
  <c r="AH208" i="4"/>
  <c r="AH197" i="4"/>
  <c r="AH142" i="4"/>
  <c r="AH202" i="4"/>
  <c r="AI107" i="4"/>
  <c r="AJ107" i="4"/>
  <c r="AH210" i="4"/>
  <c r="AI192" i="4"/>
  <c r="AJ192" i="4"/>
  <c r="AH101" i="4"/>
  <c r="AI147" i="4"/>
  <c r="AJ147" i="4"/>
  <c r="AI202" i="4"/>
  <c r="AJ202" i="4"/>
  <c r="AH136" i="4"/>
  <c r="AI102" i="4"/>
  <c r="AJ102" i="4"/>
  <c r="AI142" i="4"/>
  <c r="AJ142" i="4"/>
  <c r="AH121" i="4"/>
  <c r="AI210" i="4"/>
  <c r="AJ210" i="4"/>
  <c r="AI144" i="4"/>
  <c r="AJ144" i="4"/>
  <c r="AH108" i="4"/>
  <c r="AH204" i="4"/>
  <c r="AI230" i="4"/>
  <c r="AJ230" i="4"/>
  <c r="AI136" i="4"/>
  <c r="AJ136" i="4"/>
  <c r="AH214" i="4"/>
  <c r="AH228" i="4"/>
  <c r="AI214" i="4"/>
  <c r="AJ214" i="4"/>
  <c r="AH189" i="4"/>
  <c r="AH97" i="4"/>
  <c r="AH114" i="4"/>
  <c r="AI97" i="4"/>
  <c r="AJ97" i="4"/>
  <c r="AI205" i="4"/>
  <c r="AJ205" i="4"/>
  <c r="AI137" i="4"/>
  <c r="AJ137" i="4"/>
  <c r="AI146" i="4"/>
  <c r="AJ146" i="4"/>
  <c r="AH239" i="4"/>
  <c r="AH157" i="4"/>
  <c r="AH180" i="4"/>
  <c r="AI238" i="4"/>
  <c r="AJ238" i="4"/>
  <c r="AH193" i="4"/>
  <c r="AI227" i="4"/>
  <c r="AJ227" i="4"/>
  <c r="AH218" i="4"/>
  <c r="AI222" i="4"/>
  <c r="AJ222" i="4"/>
  <c r="AH98" i="4"/>
  <c r="AI188" i="4"/>
  <c r="AJ188" i="4"/>
  <c r="AH178" i="4"/>
  <c r="AI213" i="4"/>
  <c r="AJ213" i="4"/>
  <c r="AI103" i="4"/>
  <c r="AJ103" i="4"/>
  <c r="AH227" i="4"/>
  <c r="AH150" i="4"/>
  <c r="AI98" i="4"/>
  <c r="AJ98" i="4"/>
  <c r="AH148" i="4"/>
  <c r="AH200" i="4"/>
  <c r="AH130" i="4"/>
  <c r="AH99" i="4"/>
  <c r="AI171" i="4"/>
  <c r="AJ171" i="4"/>
  <c r="AI173" i="4"/>
  <c r="AJ173" i="4"/>
  <c r="AI174" i="4"/>
  <c r="AJ174" i="4"/>
  <c r="AH137" i="4"/>
  <c r="AN146" i="4"/>
  <c r="AI119" i="4"/>
  <c r="AJ119" i="4"/>
  <c r="AH143" i="4"/>
  <c r="AH105" i="4"/>
  <c r="AH225" i="4"/>
  <c r="AI117" i="4"/>
  <c r="AJ117" i="4"/>
  <c r="AI226" i="4"/>
  <c r="AJ226" i="4"/>
  <c r="AI189" i="4"/>
  <c r="AJ189" i="4"/>
  <c r="AH120" i="4"/>
  <c r="AH172" i="4"/>
  <c r="AI197" i="4"/>
  <c r="AJ197" i="4"/>
  <c r="AI130" i="4"/>
  <c r="AJ130" i="4"/>
  <c r="AI190" i="4"/>
  <c r="AJ190" i="4"/>
  <c r="AH224" i="4"/>
  <c r="AH173" i="4"/>
  <c r="AI116" i="4"/>
  <c r="AJ116" i="4"/>
  <c r="AI110" i="4"/>
  <c r="AJ110" i="4"/>
  <c r="AN217" i="4"/>
  <c r="AN226" i="4"/>
  <c r="AN121" i="4"/>
  <c r="AO121" i="4"/>
  <c r="AP121" i="4"/>
  <c r="AI218" i="4"/>
  <c r="AJ218" i="4"/>
  <c r="AH117" i="4"/>
  <c r="AO117" i="4"/>
  <c r="AP117" i="4"/>
  <c r="AH229" i="4"/>
  <c r="AI224" i="4"/>
  <c r="AJ224" i="4"/>
  <c r="AH116" i="4"/>
  <c r="AH170" i="4"/>
  <c r="AN103" i="4"/>
  <c r="AI178" i="4"/>
  <c r="AJ178" i="4"/>
  <c r="AH222" i="4"/>
  <c r="AI208" i="4"/>
  <c r="AJ208" i="4"/>
  <c r="AI148" i="4"/>
  <c r="AJ148" i="4"/>
  <c r="AI175" i="4"/>
  <c r="AJ175" i="4"/>
  <c r="AH151" i="4"/>
  <c r="AI239" i="4"/>
  <c r="AJ239" i="4"/>
  <c r="AH138" i="4"/>
  <c r="AH235" i="4"/>
  <c r="AI140" i="4"/>
  <c r="AJ140" i="4"/>
  <c r="AI109" i="4"/>
  <c r="AJ109" i="4"/>
  <c r="AI211" i="4"/>
  <c r="AJ211" i="4"/>
  <c r="AH94" i="4"/>
  <c r="AH233" i="4"/>
  <c r="AI234" i="4"/>
  <c r="AJ234" i="4"/>
  <c r="AI201" i="4"/>
  <c r="AJ201" i="4"/>
  <c r="AH238" i="4"/>
  <c r="AH133" i="4"/>
  <c r="AH131" i="4"/>
  <c r="AI108" i="4"/>
  <c r="AJ108" i="4"/>
  <c r="AI145" i="4"/>
  <c r="AJ145" i="4"/>
  <c r="AH100" i="4"/>
  <c r="AI199" i="4"/>
  <c r="AJ199" i="4"/>
  <c r="AI225" i="4"/>
  <c r="AJ225" i="4"/>
  <c r="AH213" i="4"/>
  <c r="AI203" i="4"/>
  <c r="AJ203" i="4"/>
  <c r="AH110" i="4"/>
  <c r="AI170" i="4"/>
  <c r="AJ170" i="4"/>
  <c r="AI231" i="4"/>
  <c r="AJ231" i="4"/>
  <c r="AH188" i="4"/>
  <c r="AI120" i="4"/>
  <c r="AJ120" i="4"/>
  <c r="AI133" i="4"/>
  <c r="AJ133" i="4"/>
  <c r="AI94" i="4"/>
  <c r="AJ94" i="4"/>
  <c r="AH211" i="4"/>
  <c r="AI123" i="4"/>
  <c r="AJ123" i="4"/>
  <c r="AI114" i="4"/>
  <c r="AJ114" i="4"/>
  <c r="AI233" i="4"/>
  <c r="AJ233" i="4"/>
  <c r="AN170" i="4"/>
  <c r="AN110" i="4"/>
  <c r="AN238" i="4"/>
  <c r="AN151" i="4"/>
  <c r="AN188" i="4"/>
  <c r="AI193" i="4"/>
  <c r="AJ193" i="4"/>
  <c r="AN100" i="4"/>
  <c r="AN203" i="4"/>
  <c r="AN174" i="4"/>
  <c r="AN137" i="4"/>
  <c r="AN119" i="4"/>
  <c r="AI131" i="4"/>
  <c r="AJ131" i="4"/>
  <c r="AH219" i="4"/>
  <c r="AI185" i="4"/>
  <c r="AJ185" i="4"/>
  <c r="AH182" i="4"/>
  <c r="AH174" i="4"/>
  <c r="AH231" i="4"/>
  <c r="AH119" i="4"/>
  <c r="AI100" i="4"/>
  <c r="AJ100" i="4"/>
  <c r="AH93" i="4"/>
  <c r="AH123" i="4"/>
  <c r="AN233" i="4"/>
  <c r="AN229" i="4"/>
  <c r="AH232" i="4"/>
  <c r="AH192" i="4"/>
  <c r="AH149" i="4"/>
  <c r="AH147" i="4"/>
  <c r="AH185" i="4"/>
  <c r="AI235" i="4"/>
  <c r="AJ235" i="4"/>
  <c r="AI112" i="4"/>
  <c r="AJ112" i="4"/>
  <c r="AH220" i="4"/>
  <c r="AH112" i="4"/>
  <c r="AI182" i="4"/>
  <c r="AJ182" i="4"/>
  <c r="AH145" i="4"/>
  <c r="AH104" i="4"/>
  <c r="AI152" i="4"/>
  <c r="AJ152" i="4"/>
  <c r="AH152" i="4"/>
  <c r="AN179" i="4"/>
  <c r="AH179" i="4"/>
  <c r="AH186" i="4"/>
  <c r="AI186" i="4"/>
  <c r="AJ186" i="4"/>
  <c r="AI191" i="4"/>
  <c r="AJ191" i="4"/>
  <c r="AH191" i="4"/>
  <c r="AH113" i="4"/>
  <c r="AN113" i="4"/>
  <c r="AI113" i="4"/>
  <c r="AJ113" i="4"/>
  <c r="AH181" i="4"/>
  <c r="AI181" i="4"/>
  <c r="AJ181" i="4"/>
  <c r="AN181" i="4"/>
  <c r="AI111" i="4"/>
  <c r="AJ111" i="4"/>
  <c r="AH111" i="4"/>
  <c r="AH107" i="4"/>
  <c r="AN107" i="4"/>
  <c r="AI215" i="4"/>
  <c r="AJ215" i="4"/>
  <c r="AH215" i="4"/>
  <c r="AN215" i="4"/>
  <c r="AI200" i="4"/>
  <c r="AJ200" i="4"/>
  <c r="AN200" i="4"/>
  <c r="AI132" i="4"/>
  <c r="AJ132" i="4"/>
  <c r="AH132" i="4"/>
  <c r="AI106" i="4"/>
  <c r="AJ106" i="4"/>
  <c r="AH106" i="4"/>
  <c r="AN106" i="4"/>
  <c r="AH175" i="4"/>
  <c r="AO175" i="4"/>
  <c r="AP175" i="4"/>
  <c r="AH201" i="4"/>
  <c r="AI220" i="4"/>
  <c r="AJ220" i="4"/>
  <c r="AH230" i="4"/>
  <c r="AH135" i="4"/>
  <c r="AH95" i="4"/>
  <c r="AI95" i="4"/>
  <c r="AJ95" i="4"/>
  <c r="AN186" i="4"/>
  <c r="AI194" i="4"/>
  <c r="AJ194" i="4"/>
  <c r="AH194" i="4"/>
  <c r="AI236" i="4"/>
  <c r="AJ236" i="4"/>
  <c r="AH236" i="4"/>
  <c r="AH124" i="4"/>
  <c r="AI115" i="4"/>
  <c r="AJ115" i="4"/>
  <c r="AN115" i="4"/>
  <c r="AI135" i="4"/>
  <c r="AJ135" i="4"/>
  <c r="AH209" i="4"/>
  <c r="AI209" i="4"/>
  <c r="AJ209" i="4"/>
  <c r="AN209" i="4"/>
  <c r="AI125" i="4"/>
  <c r="AJ125" i="4"/>
  <c r="AH125" i="4"/>
  <c r="AI118" i="4"/>
  <c r="AJ118" i="4"/>
  <c r="AH118" i="4"/>
  <c r="AN118" i="4"/>
  <c r="AH139" i="4"/>
  <c r="AI139" i="4"/>
  <c r="AJ139" i="4"/>
  <c r="AN139" i="4"/>
  <c r="AN195" i="4"/>
  <c r="AI195" i="4"/>
  <c r="AJ195" i="4"/>
  <c r="AH240" i="4"/>
  <c r="AI240" i="4"/>
  <c r="AJ240" i="4"/>
  <c r="AH140" i="4"/>
  <c r="AN140" i="4"/>
  <c r="AH96" i="4"/>
  <c r="AI96" i="4"/>
  <c r="AJ96" i="4"/>
  <c r="AN96" i="4"/>
  <c r="AI206" i="4"/>
  <c r="AJ206" i="4"/>
  <c r="AH206" i="4"/>
  <c r="AI124" i="4"/>
  <c r="AJ124" i="4"/>
  <c r="AH176" i="4"/>
  <c r="AI176" i="4"/>
  <c r="AJ176" i="4"/>
  <c r="AI141" i="4"/>
  <c r="AJ141" i="4"/>
  <c r="AH141" i="4"/>
  <c r="AN141" i="4"/>
  <c r="AH187" i="4"/>
  <c r="AI187" i="4"/>
  <c r="AJ187" i="4"/>
  <c r="AH212" i="4"/>
  <c r="AI212" i="4"/>
  <c r="AJ212" i="4"/>
  <c r="AH216" i="4"/>
  <c r="AI216" i="4"/>
  <c r="AJ216" i="4"/>
  <c r="AN216" i="4"/>
  <c r="AH199" i="4"/>
  <c r="AI198" i="4"/>
  <c r="AJ198" i="4"/>
  <c r="AI93" i="4"/>
  <c r="AJ93" i="4"/>
  <c r="AI223" i="4"/>
  <c r="AJ223" i="4"/>
  <c r="AH109" i="4"/>
  <c r="AH196" i="4"/>
  <c r="AN198" i="4"/>
  <c r="AN223" i="4"/>
  <c r="AN196" i="4"/>
  <c r="I75" i="49"/>
  <c r="D175" i="69"/>
  <c r="D240" i="69"/>
  <c r="D331" i="69"/>
  <c r="AI344" i="4"/>
  <c r="AJ344" i="4"/>
  <c r="C75" i="69"/>
  <c r="E75" i="69"/>
  <c r="E74" i="69"/>
  <c r="AK343" i="4"/>
  <c r="AN339" i="4"/>
  <c r="AL340" i="4"/>
  <c r="AI341" i="4"/>
  <c r="AJ341" i="4"/>
  <c r="AI339" i="4"/>
  <c r="AJ339" i="4"/>
  <c r="AI36" i="4"/>
  <c r="AJ36" i="4"/>
  <c r="AI77" i="4"/>
  <c r="AJ77" i="4"/>
  <c r="AH67" i="4"/>
  <c r="AH69" i="4"/>
  <c r="AH35" i="4"/>
  <c r="AH68" i="4"/>
  <c r="AH92" i="4"/>
  <c r="AH87" i="4"/>
  <c r="AI90" i="4"/>
  <c r="AJ90" i="4"/>
  <c r="AI44" i="4"/>
  <c r="AJ44" i="4"/>
  <c r="AH40" i="4"/>
  <c r="AI66" i="4"/>
  <c r="AJ66" i="4"/>
  <c r="AI55" i="4"/>
  <c r="AJ55" i="4"/>
  <c r="AI46" i="4"/>
  <c r="AJ46" i="4"/>
  <c r="AI58" i="4"/>
  <c r="AJ58" i="4"/>
  <c r="AH86" i="4"/>
  <c r="AI37" i="4"/>
  <c r="AJ37" i="4"/>
  <c r="AI52" i="4"/>
  <c r="AJ52" i="4"/>
  <c r="AI72" i="4"/>
  <c r="AJ72" i="4"/>
  <c r="AI63" i="4"/>
  <c r="AJ63" i="4"/>
  <c r="AH42" i="4"/>
  <c r="AH77" i="4"/>
  <c r="AH88" i="4"/>
  <c r="AI62" i="4"/>
  <c r="AJ62" i="4"/>
  <c r="AI47" i="4"/>
  <c r="AJ47" i="4"/>
  <c r="AI42" i="4"/>
  <c r="AJ42" i="4"/>
  <c r="AH338" i="4"/>
  <c r="AN341" i="4"/>
  <c r="AH41" i="4"/>
  <c r="AI342" i="4"/>
  <c r="AJ342" i="4"/>
  <c r="AI338" i="4"/>
  <c r="AJ338" i="4"/>
  <c r="AI85" i="4"/>
  <c r="AJ85" i="4"/>
  <c r="AH72" i="4"/>
  <c r="AH83" i="4"/>
  <c r="AI43" i="4"/>
  <c r="AJ43" i="4"/>
  <c r="AI53" i="4"/>
  <c r="AJ53" i="4"/>
  <c r="AL342" i="4"/>
  <c r="AH71" i="4"/>
  <c r="AH341" i="4"/>
  <c r="AH85" i="4"/>
  <c r="AH39" i="4"/>
  <c r="AI89" i="4"/>
  <c r="AJ89" i="4"/>
  <c r="AI81" i="4"/>
  <c r="AJ81" i="4"/>
  <c r="AI64" i="4"/>
  <c r="AJ64" i="4"/>
  <c r="AH49" i="4"/>
  <c r="AI41" i="4"/>
  <c r="AJ41" i="4"/>
  <c r="AH343" i="4"/>
  <c r="AH339" i="4"/>
  <c r="AL344" i="4"/>
  <c r="AK341" i="4"/>
  <c r="D338" i="69"/>
  <c r="AH62" i="4"/>
  <c r="AN92" i="4"/>
  <c r="AN53" i="4"/>
  <c r="AH91" i="4"/>
  <c r="AI50" i="4"/>
  <c r="AJ50" i="4"/>
  <c r="AH344" i="4"/>
  <c r="AH61" i="4"/>
  <c r="AH56" i="4"/>
  <c r="AI340" i="4"/>
  <c r="AJ340" i="4"/>
  <c r="AK342" i="4"/>
  <c r="AK344" i="4"/>
  <c r="AH80" i="4"/>
  <c r="AH342" i="4"/>
  <c r="AI88" i="4"/>
  <c r="AJ88" i="4"/>
  <c r="AH78" i="4"/>
  <c r="AI79" i="4"/>
  <c r="AJ79" i="4"/>
  <c r="AI49" i="4"/>
  <c r="AJ49" i="4"/>
  <c r="AI76" i="4"/>
  <c r="AJ76" i="4"/>
  <c r="AI38" i="4"/>
  <c r="AJ38" i="4"/>
  <c r="AH59" i="4"/>
  <c r="AI92" i="4"/>
  <c r="AJ92" i="4"/>
  <c r="AH51" i="4"/>
  <c r="AI60" i="4"/>
  <c r="AJ60" i="4"/>
  <c r="AH53" i="4"/>
  <c r="AI45" i="4"/>
  <c r="AJ45" i="4"/>
  <c r="AH65" i="4"/>
  <c r="AH54" i="4"/>
  <c r="AI78" i="4"/>
  <c r="AJ78" i="4"/>
  <c r="AH74" i="4"/>
  <c r="AH57" i="4"/>
  <c r="AH48" i="4"/>
  <c r="AH340" i="4"/>
  <c r="AI84" i="4"/>
  <c r="AJ84" i="4"/>
  <c r="AI75" i="4"/>
  <c r="AJ75" i="4"/>
  <c r="AH36" i="4"/>
  <c r="AI69" i="4"/>
  <c r="AJ69" i="4"/>
  <c r="AN59" i="4"/>
  <c r="AH50" i="4"/>
  <c r="AH64" i="4"/>
  <c r="AN60" i="4"/>
  <c r="AI56" i="4"/>
  <c r="AJ56" i="4"/>
  <c r="AH47" i="4"/>
  <c r="AL343" i="4"/>
  <c r="AL339" i="4"/>
  <c r="AH81" i="4"/>
  <c r="AI73" i="4"/>
  <c r="AJ73" i="4"/>
  <c r="AH76" i="4"/>
  <c r="AH63" i="4"/>
  <c r="AI70" i="4"/>
  <c r="AJ70" i="4"/>
  <c r="AH38" i="4"/>
  <c r="AI343" i="4"/>
  <c r="AJ343" i="4"/>
  <c r="AI67" i="4"/>
  <c r="AJ67" i="4"/>
  <c r="AI82" i="4"/>
  <c r="AJ82" i="4"/>
  <c r="AI74" i="4"/>
  <c r="AJ74" i="4"/>
  <c r="AI57" i="4"/>
  <c r="AJ57" i="4"/>
  <c r="AI59" i="4"/>
  <c r="AJ59" i="4"/>
  <c r="AH89" i="4"/>
  <c r="AH60" i="4"/>
  <c r="AI65" i="4"/>
  <c r="AJ65" i="4"/>
  <c r="AK338" i="4"/>
  <c r="AN337" i="4"/>
  <c r="AK337" i="4"/>
  <c r="AI91" i="4"/>
  <c r="AJ91" i="4"/>
  <c r="AI86" i="4"/>
  <c r="AJ86" i="4"/>
  <c r="AH66" i="4"/>
  <c r="AI54" i="4"/>
  <c r="AJ54" i="4"/>
  <c r="AI39" i="4"/>
  <c r="AJ39" i="4"/>
  <c r="AH37" i="4"/>
  <c r="AI80" i="4"/>
  <c r="AJ80" i="4"/>
  <c r="AH46" i="4"/>
  <c r="AH73" i="4"/>
  <c r="AI40" i="4"/>
  <c r="AJ40" i="4"/>
  <c r="AH44" i="4"/>
  <c r="AI71" i="4"/>
  <c r="AJ71" i="4"/>
  <c r="AH55" i="4"/>
  <c r="AH58" i="4"/>
  <c r="AI61" i="4"/>
  <c r="AJ61" i="4"/>
  <c r="AH90" i="4"/>
  <c r="AI35" i="4"/>
  <c r="AJ35" i="4"/>
  <c r="AI48" i="4"/>
  <c r="AJ48" i="4"/>
  <c r="AH52" i="4"/>
  <c r="AH70" i="4"/>
  <c r="AI68" i="4"/>
  <c r="AJ68" i="4"/>
  <c r="AH79" i="4"/>
  <c r="AI83" i="4"/>
  <c r="AJ83" i="4"/>
  <c r="AH82" i="4"/>
  <c r="AH84" i="4"/>
  <c r="AI87" i="4"/>
  <c r="AJ87" i="4"/>
  <c r="AI51" i="4"/>
  <c r="AJ51" i="4"/>
  <c r="AH75" i="4"/>
  <c r="AH43" i="4"/>
  <c r="AH45" i="4"/>
  <c r="AO277" i="4"/>
  <c r="AP277" i="4"/>
  <c r="E9" i="65"/>
  <c r="F353" i="4"/>
  <c r="E24" i="65"/>
  <c r="B356" i="4"/>
  <c r="E26" i="65"/>
  <c r="B358" i="4"/>
  <c r="E13" i="65"/>
  <c r="F357" i="4"/>
  <c r="E27" i="65"/>
  <c r="B359" i="4"/>
  <c r="E11" i="65"/>
  <c r="F355" i="4"/>
  <c r="E8" i="65"/>
  <c r="F352" i="4"/>
  <c r="E10" i="65"/>
  <c r="F354" i="4"/>
  <c r="E25" i="65"/>
  <c r="B357" i="4"/>
  <c r="E12" i="65"/>
  <c r="F356" i="4"/>
  <c r="H113" i="49"/>
  <c r="AG350" i="4"/>
  <c r="AI337" i="4"/>
  <c r="AJ337" i="4"/>
  <c r="AI280" i="4"/>
  <c r="AJ280" i="4"/>
  <c r="AO348" i="4"/>
  <c r="AP348" i="4"/>
  <c r="H153" i="49"/>
  <c r="AI26" i="4"/>
  <c r="AJ26" i="4"/>
  <c r="AI28" i="4"/>
  <c r="AJ28" i="4"/>
  <c r="AH32" i="4"/>
  <c r="AH34" i="4"/>
  <c r="AI25" i="4"/>
  <c r="AJ25" i="4"/>
  <c r="AH27" i="4"/>
  <c r="AI29" i="4"/>
  <c r="AJ29" i="4"/>
  <c r="AH31" i="4"/>
  <c r="AH33" i="4"/>
  <c r="AH337" i="4"/>
  <c r="AH26" i="4"/>
  <c r="AH28" i="4"/>
  <c r="AH30" i="4"/>
  <c r="AI34" i="4"/>
  <c r="AJ34" i="4"/>
  <c r="AH29" i="4"/>
  <c r="AH25" i="4"/>
  <c r="AI32" i="4"/>
  <c r="AJ32" i="4"/>
  <c r="AI27" i="4"/>
  <c r="AJ27" i="4"/>
  <c r="AI33" i="4"/>
  <c r="AJ33" i="4"/>
  <c r="AI31" i="4"/>
  <c r="AJ31" i="4"/>
  <c r="AI30" i="4"/>
  <c r="AJ30" i="4"/>
  <c r="AH314" i="4"/>
  <c r="AO319" i="4"/>
  <c r="AP319" i="4"/>
  <c r="AO321" i="4"/>
  <c r="AP321" i="4"/>
  <c r="AO329" i="4"/>
  <c r="AP329" i="4"/>
  <c r="AO330" i="4"/>
  <c r="AP330" i="4"/>
  <c r="AH23" i="4"/>
  <c r="I146" i="49"/>
  <c r="I141" i="49"/>
  <c r="AI23" i="4"/>
  <c r="AJ23" i="4"/>
  <c r="AI24" i="4"/>
  <c r="AJ24" i="4"/>
  <c r="AO293" i="4"/>
  <c r="AP293" i="4"/>
  <c r="AO305" i="4"/>
  <c r="AP305" i="4"/>
  <c r="AI331" i="4"/>
  <c r="AJ331" i="4"/>
  <c r="AO308" i="4"/>
  <c r="AP308" i="4"/>
  <c r="AO323" i="4"/>
  <c r="AP323" i="4"/>
  <c r="AO316" i="4"/>
  <c r="AP316" i="4"/>
  <c r="AO324" i="4"/>
  <c r="AP324" i="4"/>
  <c r="AO286" i="4"/>
  <c r="AP286" i="4"/>
  <c r="AO311" i="4"/>
  <c r="AP311" i="4"/>
  <c r="AO309" i="4"/>
  <c r="AP309" i="4"/>
  <c r="AO283" i="4"/>
  <c r="AP283" i="4"/>
  <c r="AO306" i="4"/>
  <c r="AP306" i="4"/>
  <c r="AE312" i="4"/>
  <c r="AH280" i="4"/>
  <c r="AO325" i="4"/>
  <c r="AP325" i="4"/>
  <c r="AO317" i="4"/>
  <c r="AP317" i="4"/>
  <c r="AO320" i="4"/>
  <c r="AP320" i="4"/>
  <c r="AO328" i="4"/>
  <c r="AP328" i="4"/>
  <c r="AO332" i="4"/>
  <c r="AP332" i="4"/>
  <c r="AO327" i="4"/>
  <c r="AP327" i="4"/>
  <c r="AO318" i="4"/>
  <c r="AP318" i="4"/>
  <c r="AO326" i="4"/>
  <c r="AP326" i="4"/>
  <c r="AO322" i="4"/>
  <c r="AP322" i="4"/>
  <c r="AO315" i="4"/>
  <c r="AP315" i="4"/>
  <c r="AH331" i="4"/>
  <c r="AO307" i="4"/>
  <c r="AP307" i="4"/>
  <c r="AO284" i="4"/>
  <c r="AP284" i="4"/>
  <c r="AO282" i="4"/>
  <c r="AP282" i="4"/>
  <c r="AG333" i="4"/>
  <c r="AN333" i="4"/>
  <c r="AI314" i="4"/>
  <c r="AJ314" i="4"/>
  <c r="AG312" i="4"/>
  <c r="AI310" i="4"/>
  <c r="AJ310" i="4"/>
  <c r="AM312" i="4"/>
  <c r="AH310" i="4"/>
  <c r="AH183" i="4"/>
  <c r="AI183" i="4"/>
  <c r="AJ183" i="4"/>
  <c r="AH22" i="4"/>
  <c r="AG278" i="4"/>
  <c r="AI22" i="4"/>
  <c r="AJ22" i="4"/>
  <c r="AO126" i="4"/>
  <c r="AP126" i="4"/>
  <c r="AO154" i="4"/>
  <c r="AP154" i="4"/>
  <c r="I90" i="49"/>
  <c r="AE350" i="4"/>
  <c r="AE333" i="4"/>
  <c r="AE278" i="4"/>
  <c r="V28" i="52"/>
  <c r="C30" i="52"/>
  <c r="V30" i="52"/>
  <c r="AD350" i="4"/>
  <c r="AD371" i="4"/>
  <c r="H90" i="49"/>
  <c r="AO246" i="4"/>
  <c r="AP246" i="4"/>
  <c r="AO262" i="4"/>
  <c r="AP262" i="4"/>
  <c r="AO245" i="4"/>
  <c r="AP245" i="4"/>
  <c r="AO254" i="4"/>
  <c r="AP254" i="4"/>
  <c r="AO257" i="4"/>
  <c r="AP257" i="4"/>
  <c r="AO244" i="4"/>
  <c r="AP244" i="4"/>
  <c r="AO249" i="4"/>
  <c r="AP249" i="4"/>
  <c r="AO260" i="4"/>
  <c r="AP260" i="4"/>
  <c r="AO270" i="4"/>
  <c r="AP270" i="4"/>
  <c r="AO297" i="4"/>
  <c r="AP297" i="4"/>
  <c r="AO241" i="4"/>
  <c r="AP241" i="4"/>
  <c r="AO268" i="4"/>
  <c r="AP268" i="4"/>
  <c r="AO301" i="4"/>
  <c r="AP301" i="4"/>
  <c r="AO291" i="4"/>
  <c r="AP291" i="4"/>
  <c r="AO298" i="4"/>
  <c r="AP298" i="4"/>
  <c r="AO296" i="4"/>
  <c r="AP296" i="4"/>
  <c r="AO285" i="4"/>
  <c r="AP285" i="4"/>
  <c r="AO303" i="4"/>
  <c r="AP303" i="4"/>
  <c r="AO299" i="4"/>
  <c r="AP299" i="4"/>
  <c r="AO289" i="4"/>
  <c r="AP289" i="4"/>
  <c r="AO288" i="4"/>
  <c r="AP288" i="4"/>
  <c r="AO295" i="4"/>
  <c r="AP295" i="4"/>
  <c r="AO292" i="4"/>
  <c r="AP292" i="4"/>
  <c r="AO304" i="4"/>
  <c r="AP304" i="4"/>
  <c r="AO290" i="4"/>
  <c r="AP290" i="4"/>
  <c r="AO281" i="4"/>
  <c r="AP281" i="4"/>
  <c r="AO287" i="4"/>
  <c r="AP287" i="4"/>
  <c r="AO302" i="4"/>
  <c r="AP302" i="4"/>
  <c r="AE334" i="4"/>
  <c r="AO79" i="4"/>
  <c r="AP79" i="4"/>
  <c r="AO90" i="4"/>
  <c r="AP90" i="4"/>
  <c r="AG334" i="4"/>
  <c r="AO166" i="4"/>
  <c r="AP166" i="4"/>
  <c r="AO129" i="4"/>
  <c r="AP129" i="4"/>
  <c r="AO94" i="4"/>
  <c r="AP94" i="4"/>
  <c r="AO156" i="4"/>
  <c r="AP156" i="4"/>
  <c r="AO101" i="4"/>
  <c r="AP101" i="4"/>
  <c r="AO234" i="4"/>
  <c r="AP234" i="4"/>
  <c r="AO184" i="4"/>
  <c r="AP184" i="4"/>
  <c r="AO228" i="4"/>
  <c r="AP228" i="4"/>
  <c r="AO235" i="4"/>
  <c r="AP235" i="4"/>
  <c r="AO102" i="4"/>
  <c r="AP102" i="4"/>
  <c r="AO208" i="4"/>
  <c r="AP208" i="4"/>
  <c r="AO216" i="4"/>
  <c r="AP216" i="4"/>
  <c r="AO113" i="4"/>
  <c r="AP113" i="4"/>
  <c r="AO186" i="4"/>
  <c r="AP186" i="4"/>
  <c r="AO229" i="4"/>
  <c r="AP229" i="4"/>
  <c r="AO98" i="4"/>
  <c r="AP98" i="4"/>
  <c r="AO137" i="4"/>
  <c r="AP137" i="4"/>
  <c r="AO110" i="4"/>
  <c r="AP110" i="4"/>
  <c r="AO116" i="4"/>
  <c r="AP116" i="4"/>
  <c r="AO135" i="4"/>
  <c r="AP135" i="4"/>
  <c r="AO226" i="4"/>
  <c r="AP226" i="4"/>
  <c r="AO141" i="4"/>
  <c r="AP141" i="4"/>
  <c r="AO179" i="4"/>
  <c r="AP179" i="4"/>
  <c r="AO112" i="4"/>
  <c r="AP112" i="4"/>
  <c r="AO96" i="4"/>
  <c r="AP96" i="4"/>
  <c r="AO191" i="4"/>
  <c r="AP191" i="4"/>
  <c r="AO120" i="4"/>
  <c r="AP120" i="4"/>
  <c r="AO215" i="4"/>
  <c r="AP215" i="4"/>
  <c r="AO181" i="4"/>
  <c r="AP181" i="4"/>
  <c r="AO209" i="4"/>
  <c r="AP209" i="4"/>
  <c r="D241" i="69"/>
  <c r="D320" i="69"/>
  <c r="D339" i="69"/>
  <c r="AO85" i="4"/>
  <c r="AP85" i="4"/>
  <c r="AO89" i="4"/>
  <c r="AP89" i="4"/>
  <c r="AO339" i="4"/>
  <c r="AP339" i="4"/>
  <c r="AN350" i="4"/>
  <c r="AO342" i="4"/>
  <c r="AP342" i="4"/>
  <c r="AO341" i="4"/>
  <c r="AP341" i="4"/>
  <c r="AO340" i="4"/>
  <c r="AP340" i="4"/>
  <c r="AO343" i="4"/>
  <c r="AP343" i="4"/>
  <c r="AN278" i="4"/>
  <c r="AN334" i="4"/>
  <c r="AO22" i="4"/>
  <c r="AP22" i="4"/>
  <c r="I104" i="49"/>
  <c r="AK333" i="4"/>
  <c r="AL333" i="4"/>
  <c r="I153" i="49"/>
  <c r="G34" i="49"/>
  <c r="AM333" i="4"/>
  <c r="AO24" i="4"/>
  <c r="AP24" i="4"/>
  <c r="AO23" i="4"/>
  <c r="AP23" i="4"/>
  <c r="AI312" i="4"/>
  <c r="AK312" i="4"/>
  <c r="AL312" i="4"/>
  <c r="AH312" i="4"/>
  <c r="AO331" i="4"/>
  <c r="AP331" i="4"/>
  <c r="AG371" i="4"/>
  <c r="G42" i="49"/>
  <c r="AO310" i="4"/>
  <c r="AP310" i="4"/>
  <c r="AE371" i="4"/>
  <c r="AO44" i="4"/>
  <c r="AP44" i="4"/>
  <c r="AJ350" i="4"/>
  <c r="AO205" i="4"/>
  <c r="AP205" i="4"/>
  <c r="AO146" i="4"/>
  <c r="AP146" i="4"/>
  <c r="AO222" i="4"/>
  <c r="AP222" i="4"/>
  <c r="AO34" i="4"/>
  <c r="AP34" i="4"/>
  <c r="AO119" i="4"/>
  <c r="AP119" i="4"/>
  <c r="AO47" i="4"/>
  <c r="AP47" i="4"/>
  <c r="AO60" i="4"/>
  <c r="AP60" i="4"/>
  <c r="AO225" i="4"/>
  <c r="AP225" i="4"/>
  <c r="AO239" i="4"/>
  <c r="AP239" i="4"/>
  <c r="AO230" i="4"/>
  <c r="AP230" i="4"/>
  <c r="AO74" i="4"/>
  <c r="AP74" i="4"/>
  <c r="AO187" i="4"/>
  <c r="AP187" i="4"/>
  <c r="AO104" i="4"/>
  <c r="AP104" i="4"/>
  <c r="AO214" i="4"/>
  <c r="AP214" i="4"/>
  <c r="AO144" i="4"/>
  <c r="AP144" i="4"/>
  <c r="AO72" i="4"/>
  <c r="AP72" i="4"/>
  <c r="AO198" i="4"/>
  <c r="AP198" i="4"/>
  <c r="AO55" i="4"/>
  <c r="AP55" i="4"/>
  <c r="AO223" i="4"/>
  <c r="AP223" i="4"/>
  <c r="AO133" i="4"/>
  <c r="AP133" i="4"/>
  <c r="AO62" i="4"/>
  <c r="AP62" i="4"/>
  <c r="AO202" i="4"/>
  <c r="AP202" i="4"/>
  <c r="AO204" i="4"/>
  <c r="AP204" i="4"/>
  <c r="AO48" i="4"/>
  <c r="AP48" i="4"/>
  <c r="AO35" i="4"/>
  <c r="AP35" i="4"/>
  <c r="AO227" i="4"/>
  <c r="AP227" i="4"/>
  <c r="AO65" i="4"/>
  <c r="AP65" i="4"/>
  <c r="AO83" i="4"/>
  <c r="AP83" i="4"/>
  <c r="AO38" i="4"/>
  <c r="AP38" i="4"/>
  <c r="AO213" i="4"/>
  <c r="AP213" i="4"/>
  <c r="AO68" i="4"/>
  <c r="AP68" i="4"/>
  <c r="AO180" i="4"/>
  <c r="AP180" i="4"/>
  <c r="AO100" i="4"/>
  <c r="AP100" i="4"/>
  <c r="AO134" i="4"/>
  <c r="AP134" i="4"/>
  <c r="AO148" i="4"/>
  <c r="AP148" i="4"/>
  <c r="AO67" i="4"/>
  <c r="AP67" i="4"/>
  <c r="AO64" i="4"/>
  <c r="AP64" i="4"/>
  <c r="AO233" i="4"/>
  <c r="AP233" i="4"/>
  <c r="AO194" i="4"/>
  <c r="AP194" i="4"/>
  <c r="AO138" i="4"/>
  <c r="AP138" i="4"/>
  <c r="AO211" i="4"/>
  <c r="AP211" i="4"/>
  <c r="AO177" i="4"/>
  <c r="AP177" i="4"/>
  <c r="AO76" i="4"/>
  <c r="AP76" i="4"/>
  <c r="AO162" i="4"/>
  <c r="AP162" i="4"/>
  <c r="AO106" i="4"/>
  <c r="AP106" i="4"/>
  <c r="AO105" i="4"/>
  <c r="AP105" i="4"/>
  <c r="AO171" i="4"/>
  <c r="AP171" i="4"/>
  <c r="AO207" i="4"/>
  <c r="AP207" i="4"/>
  <c r="AO193" i="4"/>
  <c r="AP193" i="4"/>
  <c r="AO82" i="4"/>
  <c r="AP82" i="4"/>
  <c r="AO33" i="4"/>
  <c r="AP33" i="4"/>
  <c r="AO56" i="4"/>
  <c r="AP56" i="4"/>
  <c r="AO139" i="4"/>
  <c r="AP139" i="4"/>
  <c r="AO58" i="4"/>
  <c r="AP58" i="4"/>
  <c r="AO238" i="4"/>
  <c r="AP238" i="4"/>
  <c r="AO173" i="4"/>
  <c r="AP173" i="4"/>
  <c r="AO30" i="4"/>
  <c r="AP30" i="4"/>
  <c r="AO131" i="4"/>
  <c r="AP131" i="4"/>
  <c r="AO78" i="4"/>
  <c r="AP78" i="4"/>
  <c r="AO136" i="4"/>
  <c r="AP136" i="4"/>
  <c r="AO178" i="4"/>
  <c r="AP178" i="4"/>
  <c r="AO63" i="4"/>
  <c r="AP63" i="4"/>
  <c r="AO88" i="4"/>
  <c r="AP88" i="4"/>
  <c r="AO43" i="4"/>
  <c r="AP43" i="4"/>
  <c r="AO212" i="4"/>
  <c r="AP212" i="4"/>
  <c r="AO237" i="4"/>
  <c r="AP237" i="4"/>
  <c r="AO172" i="4"/>
  <c r="AP172" i="4"/>
  <c r="AO122" i="4"/>
  <c r="AP122" i="4"/>
  <c r="AO84" i="4"/>
  <c r="AP84" i="4"/>
  <c r="AK278" i="4"/>
  <c r="AO158" i="4"/>
  <c r="AP158" i="4"/>
  <c r="AO197" i="4"/>
  <c r="AP197" i="4"/>
  <c r="AO174" i="4"/>
  <c r="AP174" i="4"/>
  <c r="AO151" i="4"/>
  <c r="AP151" i="4"/>
  <c r="AO118" i="4"/>
  <c r="AP118" i="4"/>
  <c r="AO206" i="4"/>
  <c r="AP206" i="4"/>
  <c r="AO221" i="4"/>
  <c r="AP221" i="4"/>
  <c r="AO192" i="4"/>
  <c r="AP192" i="4"/>
  <c r="AO53" i="4"/>
  <c r="AP53" i="4"/>
  <c r="AO147" i="4"/>
  <c r="AP147" i="4"/>
  <c r="AO111" i="4"/>
  <c r="AP111" i="4"/>
  <c r="AO103" i="4"/>
  <c r="AP103" i="4"/>
  <c r="AO114" i="4"/>
  <c r="AP114" i="4"/>
  <c r="AO57" i="4"/>
  <c r="AP57" i="4"/>
  <c r="AO69" i="4"/>
  <c r="AP69" i="4"/>
  <c r="AO183" i="4"/>
  <c r="AP183" i="4"/>
  <c r="AO219" i="4"/>
  <c r="AP219" i="4"/>
  <c r="AO123" i="4"/>
  <c r="AP123" i="4"/>
  <c r="AO71" i="4"/>
  <c r="AP71" i="4"/>
  <c r="AO32" i="4"/>
  <c r="AP32" i="4"/>
  <c r="AI350" i="4"/>
  <c r="AO165" i="4"/>
  <c r="AP165" i="4"/>
  <c r="AO210" i="4"/>
  <c r="AP210" i="4"/>
  <c r="AO27" i="4"/>
  <c r="AP27" i="4"/>
  <c r="AO50" i="4"/>
  <c r="AP50" i="4"/>
  <c r="AO29" i="4"/>
  <c r="AP29" i="4"/>
  <c r="AO80" i="4"/>
  <c r="AP80" i="4"/>
  <c r="AO25" i="4"/>
  <c r="AP25" i="4"/>
  <c r="AO39" i="4"/>
  <c r="AP39" i="4"/>
  <c r="AO87" i="4"/>
  <c r="AP87" i="4"/>
  <c r="AO145" i="4"/>
  <c r="AP145" i="4"/>
  <c r="AO86" i="4"/>
  <c r="AP86" i="4"/>
  <c r="AO189" i="4"/>
  <c r="AP189" i="4"/>
  <c r="AO99" i="4"/>
  <c r="AP99" i="4"/>
  <c r="AO195" i="4"/>
  <c r="AP195" i="4"/>
  <c r="AO190" i="4"/>
  <c r="AP190" i="4"/>
  <c r="AO45" i="4"/>
  <c r="AP45" i="4"/>
  <c r="AO109" i="4"/>
  <c r="AP109" i="4"/>
  <c r="AO231" i="4"/>
  <c r="AP231" i="4"/>
  <c r="AO125" i="4"/>
  <c r="AP125" i="4"/>
  <c r="AO170" i="4"/>
  <c r="AP170" i="4"/>
  <c r="AO36" i="4"/>
  <c r="AP36" i="4"/>
  <c r="AO66" i="4"/>
  <c r="AP66" i="4"/>
  <c r="AO200" i="4"/>
  <c r="AP200" i="4"/>
  <c r="AO97" i="4"/>
  <c r="AP97" i="4"/>
  <c r="AO143" i="4"/>
  <c r="AP143" i="4"/>
  <c r="AO115" i="4"/>
  <c r="AP115" i="4"/>
  <c r="AO95" i="4"/>
  <c r="AP95" i="4"/>
  <c r="AO81" i="4"/>
  <c r="AP81" i="4"/>
  <c r="AO196" i="4"/>
  <c r="AP196" i="4"/>
  <c r="AO199" i="4"/>
  <c r="AP199" i="4"/>
  <c r="AO91" i="4"/>
  <c r="AP91" i="4"/>
  <c r="AO40" i="4"/>
  <c r="AP40" i="4"/>
  <c r="AO92" i="4"/>
  <c r="AP92" i="4"/>
  <c r="AO37" i="4"/>
  <c r="AP37" i="4"/>
  <c r="AO107" i="4"/>
  <c r="AP107" i="4"/>
  <c r="AO26" i="4"/>
  <c r="AP26" i="4"/>
  <c r="AO77" i="4"/>
  <c r="AP77" i="4"/>
  <c r="AO142" i="4"/>
  <c r="AP142" i="4"/>
  <c r="AO70" i="4"/>
  <c r="AP70" i="4"/>
  <c r="AO130" i="4"/>
  <c r="AP130" i="4"/>
  <c r="AO203" i="4"/>
  <c r="AP203" i="4"/>
  <c r="AO124" i="4"/>
  <c r="AP124" i="4"/>
  <c r="AO236" i="4"/>
  <c r="AP236" i="4"/>
  <c r="AO52" i="4"/>
  <c r="AP52" i="4"/>
  <c r="AO149" i="4"/>
  <c r="AP149" i="4"/>
  <c r="AO140" i="4"/>
  <c r="AP140" i="4"/>
  <c r="AO188" i="4"/>
  <c r="AP188" i="4"/>
  <c r="AO42" i="4"/>
  <c r="AP42" i="4"/>
  <c r="AO31" i="4"/>
  <c r="AP31" i="4"/>
  <c r="AO108" i="4"/>
  <c r="AP108" i="4"/>
  <c r="AO49" i="4"/>
  <c r="AP49" i="4"/>
  <c r="AO132" i="4"/>
  <c r="AP132" i="4"/>
  <c r="AO75" i="4"/>
  <c r="AP75" i="4"/>
  <c r="AO232" i="4"/>
  <c r="AP232" i="4"/>
  <c r="AO150" i="4"/>
  <c r="AP150" i="4"/>
  <c r="AO61" i="4"/>
  <c r="AP61" i="4"/>
  <c r="AO201" i="4"/>
  <c r="AP201" i="4"/>
  <c r="AO240" i="4"/>
  <c r="AP240" i="4"/>
  <c r="AO185" i="4"/>
  <c r="AP185" i="4"/>
  <c r="AO28" i="4"/>
  <c r="AP28" i="4"/>
  <c r="AO220" i="4"/>
  <c r="AP220" i="4"/>
  <c r="AO59" i="4"/>
  <c r="AP59" i="4"/>
  <c r="AO41" i="4"/>
  <c r="AP41" i="4"/>
  <c r="AO51" i="4"/>
  <c r="AP51" i="4"/>
  <c r="AO73" i="4"/>
  <c r="AP73" i="4"/>
  <c r="AO224" i="4"/>
  <c r="AP224" i="4"/>
  <c r="AO152" i="4"/>
  <c r="AP152" i="4"/>
  <c r="AO176" i="4"/>
  <c r="AP176" i="4"/>
  <c r="AO46" i="4"/>
  <c r="AP46" i="4"/>
  <c r="AO218" i="4"/>
  <c r="AP218" i="4"/>
  <c r="AO54" i="4"/>
  <c r="AP54" i="4"/>
  <c r="AO182" i="4"/>
  <c r="AP182" i="4"/>
  <c r="AO217" i="4"/>
  <c r="AP217" i="4"/>
  <c r="AO93" i="4"/>
  <c r="AP93" i="4"/>
  <c r="AM350" i="4"/>
  <c r="AL350" i="4"/>
  <c r="AK350" i="4"/>
  <c r="AO336" i="4"/>
  <c r="AP336" i="4"/>
  <c r="AO344" i="4"/>
  <c r="AP344" i="4"/>
  <c r="AO345" i="4"/>
  <c r="AP345" i="4"/>
  <c r="AO337" i="4"/>
  <c r="AP337" i="4"/>
  <c r="AO338" i="4"/>
  <c r="AP338" i="4"/>
  <c r="AH350" i="4"/>
  <c r="AO169" i="4"/>
  <c r="AP169" i="4"/>
  <c r="AO160" i="4"/>
  <c r="AP160" i="4"/>
  <c r="AO163" i="4"/>
  <c r="AP163" i="4"/>
  <c r="AO161" i="4"/>
  <c r="AP161" i="4"/>
  <c r="AO159" i="4"/>
  <c r="AP159" i="4"/>
  <c r="AO168" i="4"/>
  <c r="AP168" i="4"/>
  <c r="AO164" i="4"/>
  <c r="AP164" i="4"/>
  <c r="AO167" i="4"/>
  <c r="AP167" i="4"/>
  <c r="AO153" i="4"/>
  <c r="AP153" i="4"/>
  <c r="AM278" i="4"/>
  <c r="AO127" i="4"/>
  <c r="AP127" i="4"/>
  <c r="AO157" i="4"/>
  <c r="AP157" i="4"/>
  <c r="AH333" i="4"/>
  <c r="AI333" i="4"/>
  <c r="AJ333" i="4"/>
  <c r="AJ312" i="4"/>
  <c r="AO280" i="4"/>
  <c r="AP280" i="4"/>
  <c r="AO155" i="4"/>
  <c r="AP155" i="4"/>
  <c r="AH278" i="4"/>
  <c r="AI278" i="4"/>
  <c r="AJ278" i="4"/>
  <c r="AO347" i="4"/>
  <c r="AP347" i="4"/>
  <c r="AJ334" i="4"/>
  <c r="AK334" i="4"/>
  <c r="AI334" i="4"/>
  <c r="AH334" i="4"/>
  <c r="AM334" i="4"/>
  <c r="AL334" i="4"/>
  <c r="D336" i="69"/>
  <c r="D327" i="69"/>
  <c r="D328" i="69"/>
  <c r="AN371" i="4"/>
  <c r="G56" i="49"/>
  <c r="C34" i="69"/>
  <c r="E34" i="69" s="1"/>
  <c r="B13" i="43"/>
  <c r="G38" i="49"/>
  <c r="AO312" i="4"/>
  <c r="AP312" i="4"/>
  <c r="AI371" i="4"/>
  <c r="G39" i="49"/>
  <c r="AK371" i="4"/>
  <c r="AH371" i="4"/>
  <c r="AM371" i="4"/>
  <c r="AL371" i="4"/>
  <c r="G53" i="49"/>
  <c r="AJ371" i="4"/>
  <c r="G40" i="49"/>
  <c r="AO314" i="4"/>
  <c r="AO278" i="4"/>
  <c r="AO350" i="4"/>
  <c r="C38" i="69"/>
  <c r="E38" i="69" s="1"/>
  <c r="G54" i="49"/>
  <c r="G55" i="49"/>
  <c r="F24" i="68"/>
  <c r="AP278" i="4"/>
  <c r="AP350" i="4"/>
  <c r="AO333" i="4"/>
  <c r="F23" i="68"/>
  <c r="AP314" i="4"/>
  <c r="C56" i="69"/>
  <c r="E56" i="69" s="1"/>
  <c r="H42" i="49"/>
  <c r="C42" i="69"/>
  <c r="E42" i="69" s="1"/>
  <c r="I42" i="49"/>
  <c r="G41" i="49"/>
  <c r="G52" i="49"/>
  <c r="G51" i="49"/>
  <c r="C55" i="69"/>
  <c r="E55" i="69" s="1"/>
  <c r="H54" i="49"/>
  <c r="AO334" i="4"/>
  <c r="AP334" i="4"/>
  <c r="C40" i="69"/>
  <c r="E40" i="69" s="1"/>
  <c r="I54" i="49"/>
  <c r="C54" i="69"/>
  <c r="E54" i="69" s="1"/>
  <c r="AP333" i="4"/>
  <c r="AO371" i="4"/>
  <c r="C52" i="69"/>
  <c r="E52" i="69" s="1"/>
  <c r="C41" i="69"/>
  <c r="E41" i="69" s="1"/>
  <c r="C39" i="69"/>
  <c r="E39" i="69" s="1"/>
  <c r="C51" i="69"/>
  <c r="E51" i="69" s="1"/>
  <c r="I53" i="49"/>
  <c r="C53" i="69"/>
  <c r="E53" i="69" s="1"/>
  <c r="S16" i="2"/>
  <c r="G23" i="2"/>
  <c r="E25" i="3"/>
  <c r="E37" i="3"/>
  <c r="G37" i="3"/>
  <c r="C37" i="3"/>
  <c r="I25" i="3"/>
  <c r="I37" i="3"/>
  <c r="S23" i="2"/>
  <c r="T16" i="2"/>
  <c r="E41" i="3"/>
  <c r="E53" i="3"/>
  <c r="C94" i="69"/>
  <c r="E94" i="69" s="1"/>
  <c r="H95" i="49"/>
  <c r="I95" i="49"/>
  <c r="O25" i="3"/>
  <c r="O37" i="3"/>
  <c r="G53" i="3"/>
  <c r="I41" i="3"/>
  <c r="I53" i="3"/>
  <c r="K41" i="3"/>
  <c r="G8" i="49"/>
  <c r="P25" i="3"/>
  <c r="G345" i="49"/>
  <c r="C8" i="69"/>
  <c r="P37" i="3"/>
  <c r="H8" i="49"/>
  <c r="I8" i="49"/>
  <c r="H53" i="49" l="1"/>
  <c r="H328" i="49"/>
  <c r="C89" i="69"/>
  <c r="E89" i="69" s="1"/>
  <c r="H25" i="49"/>
  <c r="H144" i="49"/>
  <c r="H173" i="49"/>
  <c r="I64" i="49"/>
  <c r="I103" i="49"/>
  <c r="I248" i="49"/>
  <c r="H303" i="49"/>
  <c r="C97" i="69"/>
  <c r="E97" i="69" s="1"/>
  <c r="C105" i="69"/>
  <c r="E105" i="69" s="1"/>
  <c r="C135" i="69"/>
  <c r="E135" i="69" s="1"/>
  <c r="C64" i="69"/>
  <c r="E64" i="69" s="1"/>
  <c r="C186" i="69"/>
  <c r="E186" i="69" s="1"/>
  <c r="H209" i="49"/>
  <c r="C117" i="69"/>
  <c r="E117" i="69" s="1"/>
  <c r="H180" i="49"/>
  <c r="H280" i="49"/>
  <c r="H311" i="49"/>
  <c r="I180" i="49"/>
  <c r="C270" i="69"/>
  <c r="E270" i="69" s="1"/>
  <c r="F167" i="49"/>
  <c r="F116" i="49"/>
  <c r="F159" i="49"/>
  <c r="F138" i="49"/>
  <c r="H257" i="49"/>
  <c r="I294" i="49"/>
  <c r="F232" i="49"/>
  <c r="C36" i="69"/>
  <c r="E36" i="69" s="1"/>
  <c r="C312" i="69"/>
  <c r="E312" i="69" s="1"/>
  <c r="G221" i="49"/>
  <c r="H318" i="49"/>
  <c r="H158" i="49"/>
  <c r="H279" i="49"/>
  <c r="F185" i="49"/>
  <c r="H268" i="49"/>
  <c r="I318" i="49"/>
  <c r="F36" i="68"/>
  <c r="I319" i="49"/>
  <c r="C110" i="69"/>
  <c r="E110" i="69" s="1"/>
  <c r="H201" i="49"/>
  <c r="I16" i="49"/>
  <c r="I99" i="49"/>
  <c r="I209" i="49"/>
  <c r="H277" i="49"/>
  <c r="C18" i="69"/>
  <c r="E18" i="69" s="1"/>
  <c r="C116" i="69"/>
  <c r="E116" i="69" s="1"/>
  <c r="C171" i="69"/>
  <c r="E171" i="69" s="1"/>
  <c r="C314" i="69"/>
  <c r="E314" i="69" s="1"/>
  <c r="C71" i="69"/>
  <c r="E71" i="69" s="1"/>
  <c r="F41" i="68"/>
  <c r="E338" i="49"/>
  <c r="H107" i="49"/>
  <c r="I18" i="49"/>
  <c r="I201" i="49"/>
  <c r="H14" i="49"/>
  <c r="C12" i="69"/>
  <c r="E12" i="69" s="1"/>
  <c r="C316" i="69"/>
  <c r="E316" i="69" s="1"/>
  <c r="H18" i="49"/>
  <c r="I280" i="49"/>
  <c r="I273" i="49"/>
  <c r="E341" i="49"/>
  <c r="C309" i="69"/>
  <c r="E309" i="69" s="1"/>
  <c r="C178" i="69"/>
  <c r="E178" i="69" s="1"/>
  <c r="F37" i="68"/>
  <c r="H160" i="49"/>
  <c r="I148" i="49"/>
  <c r="F105" i="49"/>
  <c r="F34" i="68"/>
  <c r="I170" i="49"/>
  <c r="H117" i="49"/>
  <c r="H132" i="49"/>
  <c r="I80" i="49"/>
  <c r="I105" i="49"/>
  <c r="I118" i="49"/>
  <c r="I162" i="49"/>
  <c r="F146" i="49"/>
  <c r="F153" i="49"/>
  <c r="I157" i="49"/>
  <c r="H170" i="49"/>
  <c r="H105" i="49"/>
  <c r="H118" i="49"/>
  <c r="I107" i="49"/>
  <c r="I119" i="49"/>
  <c r="I132" i="49"/>
  <c r="F143" i="49"/>
  <c r="C159" i="69"/>
  <c r="E159" i="69" s="1"/>
  <c r="C50" i="69"/>
  <c r="E50" i="69" s="1"/>
  <c r="G230" i="49"/>
  <c r="F230" i="49"/>
  <c r="H72" i="49"/>
  <c r="H104" i="49"/>
  <c r="H319" i="49"/>
  <c r="F38" i="49"/>
  <c r="I328" i="49"/>
  <c r="H157" i="49"/>
  <c r="C156" i="69"/>
  <c r="E156" i="69" s="1"/>
  <c r="H111" i="49"/>
  <c r="C325" i="69"/>
  <c r="E325" i="69" s="1"/>
  <c r="H12" i="49"/>
  <c r="H82" i="49"/>
  <c r="H228" i="49"/>
  <c r="I12" i="49"/>
  <c r="I228" i="49"/>
  <c r="I20" i="49"/>
  <c r="I98" i="49"/>
  <c r="I106" i="49"/>
  <c r="I112" i="49"/>
  <c r="I133" i="49"/>
  <c r="I144" i="49"/>
  <c r="I161" i="49"/>
  <c r="I172" i="49"/>
  <c r="I195" i="49"/>
  <c r="I249" i="49"/>
  <c r="I307" i="49"/>
  <c r="I281" i="49"/>
  <c r="F17" i="49"/>
  <c r="F90" i="49"/>
  <c r="F151" i="49"/>
  <c r="F171" i="49"/>
  <c r="H282" i="49"/>
  <c r="H309" i="49"/>
  <c r="I14" i="49"/>
  <c r="I250" i="49"/>
  <c r="I314" i="49"/>
  <c r="H9" i="49"/>
  <c r="C85" i="69"/>
  <c r="E85" i="69" s="1"/>
  <c r="C24" i="69"/>
  <c r="E24" i="69" s="1"/>
  <c r="C27" i="69"/>
  <c r="E27" i="69" s="1"/>
  <c r="C111" i="69"/>
  <c r="E111" i="69" s="1"/>
  <c r="C133" i="69"/>
  <c r="E133" i="69" s="1"/>
  <c r="C131" i="69"/>
  <c r="E131" i="69" s="1"/>
  <c r="C132" i="69"/>
  <c r="E132" i="69" s="1"/>
  <c r="C104" i="69"/>
  <c r="E104" i="69" s="1"/>
  <c r="C121" i="69"/>
  <c r="E121" i="69" s="1"/>
  <c r="C247" i="69"/>
  <c r="E247" i="69" s="1"/>
  <c r="C274" i="69"/>
  <c r="E274" i="69" s="1"/>
  <c r="C313" i="69"/>
  <c r="E313" i="69" s="1"/>
  <c r="C275" i="69"/>
  <c r="E275" i="69" s="1"/>
  <c r="C259" i="69"/>
  <c r="E259" i="69" s="1"/>
  <c r="C283" i="69"/>
  <c r="E283" i="69" s="1"/>
  <c r="C307" i="69"/>
  <c r="E307" i="69" s="1"/>
  <c r="C273" i="69"/>
  <c r="E273" i="69" s="1"/>
  <c r="C69" i="69"/>
  <c r="E69" i="69" s="1"/>
  <c r="C293" i="69"/>
  <c r="E293" i="69" s="1"/>
  <c r="I174" i="49"/>
  <c r="H326" i="49"/>
  <c r="H65" i="49"/>
  <c r="H126" i="49"/>
  <c r="I126" i="49"/>
  <c r="F162" i="49"/>
  <c r="I96" i="49"/>
  <c r="I259" i="49"/>
  <c r="C127" i="69"/>
  <c r="E127" i="69" s="1"/>
  <c r="C82" i="69"/>
  <c r="E82" i="69" s="1"/>
  <c r="C87" i="69"/>
  <c r="E87" i="69" s="1"/>
  <c r="C246" i="69"/>
  <c r="E246" i="69" s="1"/>
  <c r="C288" i="69"/>
  <c r="E288" i="69" s="1"/>
  <c r="C225" i="69"/>
  <c r="E225" i="69" s="1"/>
  <c r="C194" i="69"/>
  <c r="E194" i="69" s="1"/>
  <c r="C323" i="69"/>
  <c r="E323" i="69" s="1"/>
  <c r="F12" i="49"/>
  <c r="I11" i="49"/>
  <c r="I33" i="49"/>
  <c r="C11" i="69"/>
  <c r="E11" i="69" s="1"/>
  <c r="C279" i="69"/>
  <c r="E279" i="69" s="1"/>
  <c r="H185" i="49"/>
  <c r="H195" i="49"/>
  <c r="H200" i="49"/>
  <c r="I185" i="49"/>
  <c r="I196" i="49"/>
  <c r="C183" i="69"/>
  <c r="E183" i="69" s="1"/>
  <c r="C195" i="69"/>
  <c r="E195" i="69" s="1"/>
  <c r="H196" i="49"/>
  <c r="I198" i="49"/>
  <c r="C198" i="69"/>
  <c r="E198" i="69" s="1"/>
  <c r="H198" i="49"/>
  <c r="I200" i="49"/>
  <c r="F187" i="49"/>
  <c r="C193" i="69"/>
  <c r="E193" i="69" s="1"/>
  <c r="I40" i="49"/>
  <c r="H40" i="49"/>
  <c r="I326" i="49"/>
  <c r="H87" i="49"/>
  <c r="H313" i="49"/>
  <c r="I120" i="49"/>
  <c r="I150" i="49"/>
  <c r="I316" i="49"/>
  <c r="F39" i="49"/>
  <c r="F54" i="49"/>
  <c r="F72" i="49"/>
  <c r="F210" i="49"/>
  <c r="F313" i="49"/>
  <c r="H66" i="49"/>
  <c r="H128" i="49"/>
  <c r="H301" i="49"/>
  <c r="I128" i="49"/>
  <c r="I284" i="49"/>
  <c r="C20" i="69"/>
  <c r="E20" i="69" s="1"/>
  <c r="C129" i="69"/>
  <c r="E129" i="69" s="1"/>
  <c r="C86" i="69"/>
  <c r="E86" i="69" s="1"/>
  <c r="C170" i="69"/>
  <c r="E170" i="69" s="1"/>
  <c r="C298" i="69"/>
  <c r="E298" i="69" s="1"/>
  <c r="C260" i="69"/>
  <c r="E260" i="69" s="1"/>
  <c r="C66" i="69"/>
  <c r="E66" i="69" s="1"/>
  <c r="C37" i="69"/>
  <c r="E37" i="69" s="1"/>
  <c r="C249" i="69"/>
  <c r="E249" i="69" s="1"/>
  <c r="C229" i="69"/>
  <c r="E229" i="69" s="1"/>
  <c r="C95" i="69"/>
  <c r="E95" i="69" s="1"/>
  <c r="D176" i="49"/>
  <c r="D321" i="49"/>
  <c r="C67" i="69"/>
  <c r="E67" i="69" s="1"/>
  <c r="H306" i="49"/>
  <c r="C76" i="49"/>
  <c r="C48" i="69"/>
  <c r="E48" i="69" s="1"/>
  <c r="E322" i="49"/>
  <c r="I158" i="49"/>
  <c r="F16" i="49"/>
  <c r="I258" i="49"/>
  <c r="C277" i="69"/>
  <c r="E277" i="69" s="1"/>
  <c r="C163" i="69"/>
  <c r="E163" i="69" s="1"/>
  <c r="I39" i="49"/>
  <c r="F33" i="68"/>
  <c r="I137" i="49"/>
  <c r="H130" i="49"/>
  <c r="H164" i="49"/>
  <c r="H232" i="49"/>
  <c r="H249" i="49"/>
  <c r="H286" i="49"/>
  <c r="I15" i="49"/>
  <c r="I65" i="49"/>
  <c r="I130" i="49"/>
  <c r="H67" i="49"/>
  <c r="I48" i="49"/>
  <c r="H48" i="49"/>
  <c r="C136" i="69"/>
  <c r="E136" i="69" s="1"/>
  <c r="H88" i="49"/>
  <c r="H101" i="49"/>
  <c r="H115" i="49"/>
  <c r="H171" i="49"/>
  <c r="H203" i="49"/>
  <c r="H307" i="49"/>
  <c r="H316" i="49"/>
  <c r="I87" i="49"/>
  <c r="I101" i="49"/>
  <c r="I115" i="49"/>
  <c r="I135" i="49"/>
  <c r="I247" i="49"/>
  <c r="I286" i="49"/>
  <c r="I291" i="49"/>
  <c r="I311" i="49"/>
  <c r="F315" i="49"/>
  <c r="F49" i="49"/>
  <c r="H83" i="49"/>
  <c r="I83" i="49"/>
  <c r="I252" i="49"/>
  <c r="I301" i="49"/>
  <c r="H259" i="49"/>
  <c r="C26" i="69"/>
  <c r="E26" i="69" s="1"/>
  <c r="C125" i="69"/>
  <c r="E125" i="69" s="1"/>
  <c r="C100" i="69"/>
  <c r="E100" i="69" s="1"/>
  <c r="C149" i="69"/>
  <c r="E149" i="69" s="1"/>
  <c r="C114" i="69"/>
  <c r="E114" i="69" s="1"/>
  <c r="C157" i="69"/>
  <c r="E157" i="69" s="1"/>
  <c r="C255" i="69"/>
  <c r="E255" i="69" s="1"/>
  <c r="C33" i="69"/>
  <c r="E33" i="69" s="1"/>
  <c r="C303" i="69"/>
  <c r="E303" i="69" s="1"/>
  <c r="C256" i="69"/>
  <c r="E256" i="69" s="1"/>
  <c r="F50" i="68"/>
  <c r="F51" i="68" s="1"/>
  <c r="H39" i="49"/>
  <c r="I92" i="49"/>
  <c r="I156" i="49"/>
  <c r="I67" i="49"/>
  <c r="I113" i="49"/>
  <c r="H141" i="49"/>
  <c r="C112" i="69"/>
  <c r="E112" i="69" s="1"/>
  <c r="C103" i="69"/>
  <c r="E103" i="69" s="1"/>
  <c r="F38" i="68"/>
  <c r="C155" i="69"/>
  <c r="E155" i="69" s="1"/>
  <c r="I111" i="49"/>
  <c r="H15" i="49"/>
  <c r="H150" i="49"/>
  <c r="H161" i="49"/>
  <c r="H247" i="49"/>
  <c r="H263" i="49"/>
  <c r="H291" i="49"/>
  <c r="I232" i="49"/>
  <c r="I25" i="49"/>
  <c r="I88" i="49"/>
  <c r="I159" i="49"/>
  <c r="I164" i="49"/>
  <c r="I202" i="49"/>
  <c r="I263" i="49"/>
  <c r="I306" i="49"/>
  <c r="I313" i="49"/>
  <c r="I24" i="49"/>
  <c r="F10" i="49"/>
  <c r="F48" i="49"/>
  <c r="F75" i="49"/>
  <c r="F186" i="49"/>
  <c r="F228" i="49"/>
  <c r="I27" i="49"/>
  <c r="H96" i="49"/>
  <c r="H252" i="49"/>
  <c r="I66" i="49"/>
  <c r="I282" i="49"/>
  <c r="H258" i="49"/>
  <c r="C160" i="69"/>
  <c r="E160" i="69" s="1"/>
  <c r="C28" i="69"/>
  <c r="E28" i="69" s="1"/>
  <c r="C15" i="69"/>
  <c r="E15" i="69" s="1"/>
  <c r="C25" i="69"/>
  <c r="E25" i="69" s="1"/>
  <c r="C134" i="69"/>
  <c r="E134" i="69" s="1"/>
  <c r="C120" i="69"/>
  <c r="E120" i="69" s="1"/>
  <c r="C119" i="69"/>
  <c r="E119" i="69" s="1"/>
  <c r="C143" i="69"/>
  <c r="E143" i="69" s="1"/>
  <c r="C93" i="69"/>
  <c r="E93" i="69" s="1"/>
  <c r="C162" i="69"/>
  <c r="E162" i="69" s="1"/>
  <c r="C92" i="69"/>
  <c r="E92" i="69" s="1"/>
  <c r="C102" i="69"/>
  <c r="E102" i="69" s="1"/>
  <c r="C281" i="69"/>
  <c r="E281" i="69" s="1"/>
  <c r="C308" i="69"/>
  <c r="E308" i="69" s="1"/>
  <c r="C65" i="69"/>
  <c r="E65" i="69" s="1"/>
  <c r="C301" i="69"/>
  <c r="E301" i="69" s="1"/>
  <c r="C299" i="69"/>
  <c r="E299" i="69" s="1"/>
  <c r="C244" i="69"/>
  <c r="E244" i="69" s="1"/>
  <c r="C47" i="69"/>
  <c r="E47" i="69" s="1"/>
  <c r="C304" i="69"/>
  <c r="E304" i="69" s="1"/>
  <c r="C310" i="69"/>
  <c r="E310" i="69" s="1"/>
  <c r="F207" i="49"/>
  <c r="C200" i="69"/>
  <c r="E200" i="69" s="1"/>
  <c r="G238" i="49"/>
  <c r="G187" i="49"/>
  <c r="G226" i="49"/>
  <c r="F226" i="49"/>
  <c r="H56" i="49"/>
  <c r="F56" i="49"/>
  <c r="I56" i="49"/>
  <c r="G220" i="49"/>
  <c r="F220" i="49"/>
  <c r="F235" i="49"/>
  <c r="G235" i="49"/>
  <c r="F52" i="49"/>
  <c r="H52" i="49"/>
  <c r="I52" i="49"/>
  <c r="F236" i="49"/>
  <c r="H55" i="49"/>
  <c r="G190" i="49"/>
  <c r="F190" i="49"/>
  <c r="I41" i="49"/>
  <c r="H41" i="49"/>
  <c r="F41" i="49"/>
  <c r="F231" i="49"/>
  <c r="F51" i="49"/>
  <c r="H51" i="49"/>
  <c r="I51" i="49"/>
  <c r="G61" i="49"/>
  <c r="B11" i="43" s="1"/>
  <c r="I85" i="49"/>
  <c r="H19" i="49"/>
  <c r="C73" i="49"/>
  <c r="H183" i="49"/>
  <c r="H204" i="49"/>
  <c r="I57" i="49"/>
  <c r="I79" i="49"/>
  <c r="I94" i="49"/>
  <c r="I100" i="49"/>
  <c r="I138" i="49"/>
  <c r="I152" i="49"/>
  <c r="I165" i="49"/>
  <c r="I175" i="49"/>
  <c r="I199" i="49"/>
  <c r="I203" i="49"/>
  <c r="I268" i="49"/>
  <c r="I305" i="49"/>
  <c r="F45" i="49"/>
  <c r="F104" i="49"/>
  <c r="F156" i="49"/>
  <c r="F169" i="49"/>
  <c r="F215" i="49"/>
  <c r="F222" i="49"/>
  <c r="F326" i="49"/>
  <c r="H124" i="49"/>
  <c r="C29" i="49"/>
  <c r="F29" i="49" s="1"/>
  <c r="C276" i="69"/>
  <c r="E276" i="69" s="1"/>
  <c r="C13" i="69"/>
  <c r="E13" i="69" s="1"/>
  <c r="C164" i="69"/>
  <c r="E164" i="69" s="1"/>
  <c r="C78" i="69"/>
  <c r="E78" i="69" s="1"/>
  <c r="C59" i="69"/>
  <c r="E59" i="69" s="1"/>
  <c r="C250" i="69"/>
  <c r="E250" i="69" s="1"/>
  <c r="C230" i="69"/>
  <c r="E230" i="69" s="1"/>
  <c r="C197" i="69"/>
  <c r="E197" i="69" s="1"/>
  <c r="C201" i="69"/>
  <c r="E201" i="69" s="1"/>
  <c r="G176" i="49"/>
  <c r="H176" i="49" s="1"/>
  <c r="I327" i="49"/>
  <c r="C84" i="69"/>
  <c r="E84" i="69" s="1"/>
  <c r="H13" i="49"/>
  <c r="H102" i="49"/>
  <c r="H152" i="49"/>
  <c r="H175" i="49"/>
  <c r="H274" i="49"/>
  <c r="H302" i="49"/>
  <c r="I58" i="49"/>
  <c r="I13" i="49"/>
  <c r="F13" i="49"/>
  <c r="C19" i="69"/>
  <c r="E19" i="69" s="1"/>
  <c r="I140" i="49"/>
  <c r="H149" i="49"/>
  <c r="G297" i="49"/>
  <c r="H297" i="49" s="1"/>
  <c r="C91" i="69"/>
  <c r="F32" i="68"/>
  <c r="F35" i="68"/>
  <c r="I151" i="49"/>
  <c r="H327" i="49"/>
  <c r="G329" i="49"/>
  <c r="C150" i="69"/>
  <c r="E150" i="69" s="1"/>
  <c r="H255" i="49"/>
  <c r="F9" i="68"/>
  <c r="I271" i="49"/>
  <c r="F10" i="68"/>
  <c r="C148" i="69"/>
  <c r="E148" i="69" s="1"/>
  <c r="H94" i="49"/>
  <c r="H114" i="49"/>
  <c r="H138" i="49"/>
  <c r="H165" i="49"/>
  <c r="H197" i="49"/>
  <c r="H253" i="49"/>
  <c r="H293" i="49"/>
  <c r="I155" i="49"/>
  <c r="I204" i="49"/>
  <c r="I279" i="49"/>
  <c r="I287" i="49"/>
  <c r="F67" i="49"/>
  <c r="F166" i="49"/>
  <c r="F191" i="49"/>
  <c r="F208" i="49"/>
  <c r="F216" i="49"/>
  <c r="F238" i="49"/>
  <c r="F285" i="49"/>
  <c r="C109" i="69"/>
  <c r="E109" i="69" s="1"/>
  <c r="C154" i="69"/>
  <c r="E154" i="69" s="1"/>
  <c r="C57" i="69"/>
  <c r="E57" i="69" s="1"/>
  <c r="C290" i="69"/>
  <c r="E290" i="69" s="1"/>
  <c r="C252" i="69"/>
  <c r="E252" i="69" s="1"/>
  <c r="C202" i="69"/>
  <c r="E202" i="69" s="1"/>
  <c r="I149" i="49"/>
  <c r="G321" i="49"/>
  <c r="H151" i="49"/>
  <c r="H85" i="49"/>
  <c r="F25" i="68"/>
  <c r="F76" i="49"/>
  <c r="H154" i="49"/>
  <c r="H202" i="49"/>
  <c r="H233" i="49"/>
  <c r="H287" i="49"/>
  <c r="I183" i="49"/>
  <c r="I19" i="49"/>
  <c r="I23" i="49"/>
  <c r="I46" i="49"/>
  <c r="I59" i="49"/>
  <c r="I102" i="49"/>
  <c r="I114" i="49"/>
  <c r="I255" i="49"/>
  <c r="I293" i="49"/>
  <c r="I302" i="49"/>
  <c r="F42" i="49"/>
  <c r="F93" i="49"/>
  <c r="F140" i="49"/>
  <c r="F150" i="49"/>
  <c r="F234" i="49"/>
  <c r="F239" i="49"/>
  <c r="I28" i="49"/>
  <c r="H129" i="49"/>
  <c r="C329" i="49"/>
  <c r="F329" i="49" s="1"/>
  <c r="C49" i="69"/>
  <c r="E49" i="69" s="1"/>
  <c r="C16" i="69"/>
  <c r="E16" i="69" s="1"/>
  <c r="C14" i="69"/>
  <c r="E14" i="69" s="1"/>
  <c r="C173" i="69"/>
  <c r="E173" i="69" s="1"/>
  <c r="C147" i="69"/>
  <c r="E147" i="69" s="1"/>
  <c r="C81" i="69"/>
  <c r="E81" i="69" s="1"/>
  <c r="C151" i="69"/>
  <c r="E151" i="69" s="1"/>
  <c r="C122" i="69"/>
  <c r="E122" i="69" s="1"/>
  <c r="C291" i="69"/>
  <c r="E291" i="69" s="1"/>
  <c r="C271" i="69"/>
  <c r="E271" i="69" s="1"/>
  <c r="C181" i="69"/>
  <c r="E181" i="69" s="1"/>
  <c r="D73" i="49"/>
  <c r="D217" i="49"/>
  <c r="D241" i="49"/>
  <c r="G237" i="49"/>
  <c r="G224" i="49"/>
  <c r="G227" i="49"/>
  <c r="C241" i="49"/>
  <c r="F286" i="49"/>
  <c r="F233" i="49"/>
  <c r="G223" i="49"/>
  <c r="E8" i="69"/>
  <c r="I38" i="49"/>
  <c r="I76" i="49"/>
  <c r="E342" i="49"/>
  <c r="F55" i="49"/>
  <c r="F227" i="49"/>
  <c r="C61" i="49"/>
  <c r="I72" i="49"/>
  <c r="G73" i="49"/>
  <c r="C169" i="69"/>
  <c r="E169" i="69" s="1"/>
  <c r="I17" i="49"/>
  <c r="C123" i="69"/>
  <c r="E123" i="69" s="1"/>
  <c r="I124" i="49"/>
  <c r="C80" i="69"/>
  <c r="E80" i="69" s="1"/>
  <c r="I81" i="49"/>
  <c r="C113" i="69"/>
  <c r="E113" i="69" s="1"/>
  <c r="C99" i="69"/>
  <c r="E99" i="69" s="1"/>
  <c r="C137" i="69"/>
  <c r="E137" i="69" s="1"/>
  <c r="C153" i="69"/>
  <c r="E153" i="69" s="1"/>
  <c r="I154" i="49"/>
  <c r="I129" i="49"/>
  <c r="I253" i="49"/>
  <c r="I274" i="49"/>
  <c r="C284" i="69"/>
  <c r="E284" i="69" s="1"/>
  <c r="I36" i="49"/>
  <c r="H36" i="49"/>
  <c r="C60" i="69"/>
  <c r="E60" i="69" s="1"/>
  <c r="I60" i="49"/>
  <c r="C289" i="69"/>
  <c r="E289" i="69" s="1"/>
  <c r="I292" i="49"/>
  <c r="C268" i="69"/>
  <c r="E268" i="69" s="1"/>
  <c r="H271" i="49"/>
  <c r="C58" i="69"/>
  <c r="E58" i="69" s="1"/>
  <c r="C265" i="69"/>
  <c r="E265" i="69" s="1"/>
  <c r="C315" i="69"/>
  <c r="E315" i="69" s="1"/>
  <c r="C254" i="69"/>
  <c r="E254" i="69" s="1"/>
  <c r="I257" i="49"/>
  <c r="C46" i="69"/>
  <c r="E46" i="69" s="1"/>
  <c r="F30" i="68"/>
  <c r="I110" i="49"/>
  <c r="F141" i="49"/>
  <c r="C176" i="49"/>
  <c r="F176" i="49" s="1"/>
  <c r="F122" i="49"/>
  <c r="F157" i="49"/>
  <c r="F149" i="49"/>
  <c r="F113" i="49"/>
  <c r="F237" i="49"/>
  <c r="G225" i="49"/>
  <c r="F225" i="49"/>
  <c r="G219" i="49"/>
  <c r="E241" i="49"/>
  <c r="F40" i="49"/>
  <c r="E34" i="49"/>
  <c r="D61" i="49"/>
  <c r="C297" i="49"/>
  <c r="F297" i="49" s="1"/>
  <c r="F223" i="49"/>
  <c r="I207" i="49"/>
  <c r="D29" i="49"/>
  <c r="D297" i="49"/>
  <c r="C218" i="69"/>
  <c r="E218" i="69" s="1"/>
  <c r="F221" i="49"/>
  <c r="F328" i="49"/>
  <c r="F53" i="49"/>
  <c r="F44" i="49"/>
  <c r="C217" i="49"/>
  <c r="G229" i="49"/>
  <c r="F229" i="49"/>
  <c r="I55" i="49"/>
  <c r="H38" i="49"/>
  <c r="E333" i="49"/>
  <c r="F219" i="49"/>
  <c r="F224" i="49"/>
  <c r="F240" i="49"/>
  <c r="C321" i="49"/>
  <c r="F321" i="49" s="1"/>
  <c r="C205" i="69"/>
  <c r="E205" i="69" s="1"/>
  <c r="H92" i="49"/>
  <c r="F29" i="68"/>
  <c r="C324" i="69"/>
  <c r="E324" i="69" s="1"/>
  <c r="E211" i="49"/>
  <c r="E213" i="49"/>
  <c r="C98" i="69"/>
  <c r="E98" i="69" s="1"/>
  <c r="H99" i="49"/>
  <c r="C79" i="69"/>
  <c r="H80" i="49"/>
  <c r="I117" i="49"/>
  <c r="I82" i="49"/>
  <c r="F40" i="68"/>
  <c r="H148" i="49"/>
  <c r="C161" i="69"/>
  <c r="E161" i="69" s="1"/>
  <c r="H162" i="49"/>
  <c r="C118" i="69"/>
  <c r="E118" i="69" s="1"/>
  <c r="H119" i="49"/>
  <c r="C126" i="69"/>
  <c r="E126" i="69" s="1"/>
  <c r="I127" i="49"/>
  <c r="H127" i="49"/>
  <c r="C106" i="69"/>
  <c r="E106" i="69" s="1"/>
  <c r="I206" i="49"/>
  <c r="H206" i="49"/>
  <c r="I191" i="49"/>
  <c r="G236" i="49"/>
  <c r="G239" i="49"/>
  <c r="G234" i="49"/>
  <c r="G222" i="49"/>
  <c r="G215" i="49"/>
  <c r="F188" i="49"/>
  <c r="H256" i="49"/>
  <c r="H276" i="49"/>
  <c r="H281" i="49"/>
  <c r="H300" i="49"/>
  <c r="H312" i="49"/>
  <c r="I50" i="49"/>
  <c r="I122" i="49"/>
  <c r="I160" i="49"/>
  <c r="I197" i="49"/>
  <c r="I312" i="49"/>
  <c r="H308" i="49"/>
  <c r="H317" i="49"/>
  <c r="I277" i="49"/>
  <c r="I303" i="49"/>
  <c r="I309" i="49"/>
  <c r="I317" i="49"/>
  <c r="I320" i="49"/>
  <c r="F56" i="68"/>
  <c r="F57" i="68" s="1"/>
  <c r="C168" i="69"/>
  <c r="E168" i="69" s="1"/>
  <c r="C245" i="69"/>
  <c r="E245" i="69" s="1"/>
  <c r="C305" i="69"/>
  <c r="E305" i="69" s="1"/>
  <c r="C297" i="69"/>
  <c r="C300" i="69"/>
  <c r="E300" i="69" s="1"/>
  <c r="C292" i="69"/>
  <c r="E292" i="69" s="1"/>
  <c r="C248" i="69"/>
  <c r="E248" i="69" s="1"/>
  <c r="C317" i="69"/>
  <c r="E317" i="69" s="1"/>
  <c r="C196" i="69"/>
  <c r="E196" i="69" s="1"/>
  <c r="G29" i="49"/>
  <c r="G231" i="49"/>
  <c r="G240" i="49"/>
  <c r="G192" i="49"/>
  <c r="F192" i="49"/>
  <c r="G182" i="49"/>
  <c r="F182" i="49"/>
  <c r="G194" i="49"/>
  <c r="F194" i="49"/>
  <c r="G184" i="49"/>
  <c r="F184" i="49"/>
  <c r="G212" i="49"/>
  <c r="F212" i="49"/>
  <c r="G193" i="49"/>
  <c r="F193" i="49"/>
  <c r="G189" i="49"/>
  <c r="F189" i="49"/>
  <c r="F42" i="68" l="1"/>
  <c r="D322" i="49"/>
  <c r="I221" i="49"/>
  <c r="H221" i="49"/>
  <c r="C72" i="69"/>
  <c r="I297" i="49"/>
  <c r="H230" i="49"/>
  <c r="C227" i="69"/>
  <c r="E227" i="69" s="1"/>
  <c r="I230" i="49"/>
  <c r="F39" i="68"/>
  <c r="C341" i="49"/>
  <c r="C234" i="69"/>
  <c r="E234" i="69" s="1"/>
  <c r="I235" i="49"/>
  <c r="I187" i="49"/>
  <c r="H187" i="49"/>
  <c r="C185" i="69"/>
  <c r="E185" i="69" s="1"/>
  <c r="G342" i="49"/>
  <c r="G322" i="49"/>
  <c r="I322" i="49" s="1"/>
  <c r="D177" i="49"/>
  <c r="C235" i="69"/>
  <c r="E235" i="69" s="1"/>
  <c r="H238" i="49"/>
  <c r="I238" i="49"/>
  <c r="H237" i="49"/>
  <c r="I237" i="49"/>
  <c r="C338" i="49"/>
  <c r="F73" i="49"/>
  <c r="H235" i="49"/>
  <c r="C217" i="69"/>
  <c r="E217" i="69" s="1"/>
  <c r="H220" i="49"/>
  <c r="I220" i="49"/>
  <c r="C232" i="69"/>
  <c r="E232" i="69" s="1"/>
  <c r="D242" i="49"/>
  <c r="H321" i="49"/>
  <c r="I321" i="49"/>
  <c r="H329" i="49"/>
  <c r="I329" i="49"/>
  <c r="C29" i="69"/>
  <c r="E29" i="69" s="1"/>
  <c r="H190" i="49"/>
  <c r="C188" i="69"/>
  <c r="E188" i="69" s="1"/>
  <c r="I190" i="49"/>
  <c r="I176" i="49"/>
  <c r="G348" i="49"/>
  <c r="C223" i="69"/>
  <c r="E223" i="69" s="1"/>
  <c r="I226" i="49"/>
  <c r="H226" i="49"/>
  <c r="H222" i="49"/>
  <c r="I222" i="49"/>
  <c r="C219" i="69"/>
  <c r="E219" i="69" s="1"/>
  <c r="E79" i="69"/>
  <c r="C174" i="69"/>
  <c r="E174" i="69" s="1"/>
  <c r="F213" i="49"/>
  <c r="G213" i="49"/>
  <c r="C226" i="69"/>
  <c r="E226" i="69" s="1"/>
  <c r="I229" i="49"/>
  <c r="H229" i="49"/>
  <c r="H322" i="49"/>
  <c r="C216" i="69"/>
  <c r="G241" i="49"/>
  <c r="H219" i="49"/>
  <c r="I219" i="49"/>
  <c r="C220" i="69"/>
  <c r="E220" i="69" s="1"/>
  <c r="I223" i="49"/>
  <c r="H223" i="49"/>
  <c r="C228" i="69"/>
  <c r="E228" i="69" s="1"/>
  <c r="I231" i="49"/>
  <c r="H231" i="49"/>
  <c r="E297" i="69"/>
  <c r="C318" i="69"/>
  <c r="E318" i="69" s="1"/>
  <c r="I215" i="49"/>
  <c r="C212" i="69"/>
  <c r="E212" i="69" s="1"/>
  <c r="C233" i="69"/>
  <c r="E233" i="69" s="1"/>
  <c r="I236" i="49"/>
  <c r="H236" i="49"/>
  <c r="F211" i="49"/>
  <c r="G211" i="49"/>
  <c r="F34" i="49"/>
  <c r="H34" i="49"/>
  <c r="I34" i="49"/>
  <c r="E61" i="49"/>
  <c r="E217" i="49"/>
  <c r="F217" i="49" s="1"/>
  <c r="H240" i="49"/>
  <c r="I240" i="49"/>
  <c r="C237" i="69"/>
  <c r="E237" i="69" s="1"/>
  <c r="H234" i="49"/>
  <c r="I234" i="49"/>
  <c r="C231" i="69"/>
  <c r="E231" i="69" s="1"/>
  <c r="C236" i="69"/>
  <c r="E236" i="69" s="1"/>
  <c r="I239" i="49"/>
  <c r="H239" i="49"/>
  <c r="C61" i="69"/>
  <c r="C242" i="49"/>
  <c r="C339" i="49" s="1"/>
  <c r="C294" i="69"/>
  <c r="C326" i="69"/>
  <c r="C337" i="49"/>
  <c r="C177" i="49"/>
  <c r="C243" i="49" s="1"/>
  <c r="C332" i="49" s="1"/>
  <c r="C336" i="49"/>
  <c r="C335" i="49"/>
  <c r="C224" i="69"/>
  <c r="E224" i="69" s="1"/>
  <c r="I227" i="49"/>
  <c r="H227" i="49"/>
  <c r="F8" i="68"/>
  <c r="F11" i="68" s="1"/>
  <c r="G214" i="49"/>
  <c r="G336" i="49"/>
  <c r="B5" i="43"/>
  <c r="G333" i="49"/>
  <c r="I29" i="49"/>
  <c r="H29" i="49"/>
  <c r="C334" i="69"/>
  <c r="E72" i="69"/>
  <c r="C333" i="49"/>
  <c r="C322" i="49"/>
  <c r="F322" i="49" s="1"/>
  <c r="C342" i="49"/>
  <c r="G341" i="49"/>
  <c r="F241" i="49"/>
  <c r="C222" i="69"/>
  <c r="E222" i="69" s="1"/>
  <c r="H225" i="49"/>
  <c r="I225" i="49"/>
  <c r="B12" i="43"/>
  <c r="B14" i="43" s="1"/>
  <c r="B16" i="43" s="1"/>
  <c r="G335" i="49"/>
  <c r="G177" i="49"/>
  <c r="G338" i="49"/>
  <c r="H73" i="49"/>
  <c r="B7" i="43"/>
  <c r="I73" i="49"/>
  <c r="F26" i="68"/>
  <c r="F31" i="68" s="1"/>
  <c r="G347" i="49"/>
  <c r="G337" i="49"/>
  <c r="I224" i="49"/>
  <c r="H224" i="49"/>
  <c r="C221" i="69"/>
  <c r="E221" i="69" s="1"/>
  <c r="C187" i="69"/>
  <c r="E187" i="69" s="1"/>
  <c r="H189" i="49"/>
  <c r="I189" i="49"/>
  <c r="C182" i="69"/>
  <c r="E182" i="69" s="1"/>
  <c r="H184" i="49"/>
  <c r="I184" i="49"/>
  <c r="I212" i="49"/>
  <c r="C210" i="69"/>
  <c r="E210" i="69" s="1"/>
  <c r="H194" i="49"/>
  <c r="C192" i="69"/>
  <c r="E192" i="69" s="1"/>
  <c r="I194" i="49"/>
  <c r="C190" i="69"/>
  <c r="E190" i="69" s="1"/>
  <c r="I192" i="49"/>
  <c r="H192" i="49"/>
  <c r="I193" i="49"/>
  <c r="H193" i="49"/>
  <c r="C191" i="69"/>
  <c r="E191" i="69" s="1"/>
  <c r="C180" i="69"/>
  <c r="H182" i="49"/>
  <c r="I182" i="49"/>
  <c r="D243" i="49" l="1"/>
  <c r="D244" i="49" s="1"/>
  <c r="D323" i="49" s="1"/>
  <c r="D330" i="49" s="1"/>
  <c r="F60" i="68"/>
  <c r="G217" i="49"/>
  <c r="G242" i="49" s="1"/>
  <c r="E242" i="49"/>
  <c r="F242" i="49" s="1"/>
  <c r="C343" i="49"/>
  <c r="E334" i="69"/>
  <c r="E326" i="69"/>
  <c r="C337" i="69"/>
  <c r="C338" i="69"/>
  <c r="I213" i="49"/>
  <c r="C211" i="69"/>
  <c r="E211" i="69" s="1"/>
  <c r="C244" i="49"/>
  <c r="C323" i="49" s="1"/>
  <c r="C330" i="49" s="1"/>
  <c r="C331" i="49" s="1"/>
  <c r="E294" i="69"/>
  <c r="C319" i="69"/>
  <c r="E319" i="69" s="1"/>
  <c r="E61" i="69"/>
  <c r="C175" i="69"/>
  <c r="E175" i="69" s="1"/>
  <c r="C332" i="69"/>
  <c r="C329" i="69"/>
  <c r="C333" i="69"/>
  <c r="C331" i="69"/>
  <c r="F61" i="49"/>
  <c r="E335" i="49"/>
  <c r="E336" i="49"/>
  <c r="E337" i="49"/>
  <c r="H61" i="49"/>
  <c r="E177" i="49"/>
  <c r="F177" i="49" s="1"/>
  <c r="G346" i="49"/>
  <c r="I61" i="49"/>
  <c r="I241" i="49"/>
  <c r="H241" i="49"/>
  <c r="I211" i="49"/>
  <c r="C209" i="69"/>
  <c r="E209" i="69" s="1"/>
  <c r="C238" i="69"/>
  <c r="E238" i="69" s="1"/>
  <c r="E216" i="69"/>
  <c r="E180" i="69"/>
  <c r="C214" i="69" l="1"/>
  <c r="C239" i="69" s="1"/>
  <c r="E339" i="49"/>
  <c r="H217" i="49"/>
  <c r="I217" i="49"/>
  <c r="E243" i="49"/>
  <c r="F243" i="49" s="1"/>
  <c r="C340" i="49"/>
  <c r="E331" i="69"/>
  <c r="E332" i="69"/>
  <c r="E333" i="69"/>
  <c r="E329" i="69"/>
  <c r="E338" i="69"/>
  <c r="E337" i="69"/>
  <c r="H177" i="49"/>
  <c r="I177" i="49"/>
  <c r="I242" i="49"/>
  <c r="G339" i="49"/>
  <c r="H242" i="49"/>
  <c r="F61" i="68"/>
  <c r="F63" i="68" s="1"/>
  <c r="F65" i="68" s="1"/>
  <c r="F67" i="68" s="1"/>
  <c r="G243" i="49"/>
  <c r="E214" i="69" l="1"/>
  <c r="E343" i="49"/>
  <c r="E332" i="49"/>
  <c r="E244" i="49"/>
  <c r="E323" i="49" s="1"/>
  <c r="C240" i="69"/>
  <c r="E239" i="69"/>
  <c r="G343" i="49"/>
  <c r="I243" i="49"/>
  <c r="H243" i="49"/>
  <c r="G244" i="49"/>
  <c r="B6" i="43"/>
  <c r="B8" i="43" s="1"/>
  <c r="G332" i="49"/>
  <c r="F244" i="49" l="1"/>
  <c r="G323" i="49"/>
  <c r="H244" i="49"/>
  <c r="I244" i="49"/>
  <c r="E340" i="49"/>
  <c r="E330" i="49"/>
  <c r="F323" i="49"/>
  <c r="C241" i="69"/>
  <c r="C339" i="69"/>
  <c r="E240" i="69"/>
  <c r="E339" i="69" s="1"/>
  <c r="B9" i="43" l="1"/>
  <c r="I323" i="49"/>
  <c r="B10" i="43"/>
  <c r="G340" i="49"/>
  <c r="G330" i="49"/>
  <c r="H323" i="49"/>
  <c r="F330" i="49"/>
  <c r="E331" i="49"/>
  <c r="C320" i="69"/>
  <c r="E241" i="69"/>
  <c r="C327" i="69" l="1"/>
  <c r="C336" i="69"/>
  <c r="E320" i="69"/>
  <c r="E336" i="69" s="1"/>
  <c r="I330" i="49"/>
  <c r="G331" i="49"/>
  <c r="H330" i="49"/>
  <c r="E327" i="69" l="1"/>
  <c r="E328" i="69" s="1"/>
  <c r="C328" i="69"/>
</calcChain>
</file>

<file path=xl/sharedStrings.xml><?xml version="1.0" encoding="utf-8"?>
<sst xmlns="http://schemas.openxmlformats.org/spreadsheetml/2006/main" count="4614" uniqueCount="1465">
  <si>
    <t>INGRESOS</t>
  </si>
  <si>
    <t>Matriculas</t>
  </si>
  <si>
    <t>TOTAL MATRICULAS</t>
  </si>
  <si>
    <t>Inscripciones</t>
  </si>
  <si>
    <t>Devol.Matricula</t>
  </si>
  <si>
    <t>Certific.Constancias</t>
  </si>
  <si>
    <t>Supletorios</t>
  </si>
  <si>
    <t>Habilitaciones</t>
  </si>
  <si>
    <t>Validaciones</t>
  </si>
  <si>
    <t>Desc.Matricu.Pensi.</t>
  </si>
  <si>
    <t>Venta Libros</t>
  </si>
  <si>
    <t>Ingr.Servic.Laborat.</t>
  </si>
  <si>
    <t>Alquiler Lockers</t>
  </si>
  <si>
    <t>TOTAL INGRESOS OPNALES</t>
  </si>
  <si>
    <t>Clientes (Estudian.)</t>
  </si>
  <si>
    <t>Diferencia en Cambio</t>
  </si>
  <si>
    <t>San.Cheques Devuelto</t>
  </si>
  <si>
    <t>Mr Vr Reci.Mr Vr Can</t>
  </si>
  <si>
    <t>Rein.Otros Cost.Gast</t>
  </si>
  <si>
    <t>Acti.Relac.Educacion</t>
  </si>
  <si>
    <t>Sueldos</t>
  </si>
  <si>
    <t>Horas Extras Recargo</t>
  </si>
  <si>
    <t>Incapacidades</t>
  </si>
  <si>
    <t>Auxilio Transporte</t>
  </si>
  <si>
    <t>Cesantias</t>
  </si>
  <si>
    <t>Intereses Cesantia</t>
  </si>
  <si>
    <t>Prima de Servicios</t>
  </si>
  <si>
    <t>Vacaciones</t>
  </si>
  <si>
    <t>Auxilios</t>
  </si>
  <si>
    <t>Dotación Sumin.Traba</t>
  </si>
  <si>
    <t>Apor.Admin.Riesg.Pro</t>
  </si>
  <si>
    <t>Ap.Ent.Prom.Sal.EPS</t>
  </si>
  <si>
    <t>Apor.Fondos Pens/CES</t>
  </si>
  <si>
    <t>Caja Compens Fam.</t>
  </si>
  <si>
    <t>Aportes al I.C.B.F.</t>
  </si>
  <si>
    <t>Sena</t>
  </si>
  <si>
    <t>Apoyo Aprendis Sena</t>
  </si>
  <si>
    <t>Apo.Salud Apren.Sena</t>
  </si>
  <si>
    <t>Ap.Riesgo Apren.Sena</t>
  </si>
  <si>
    <t>Honorarios Catedra</t>
  </si>
  <si>
    <t>Hon.Cursos,Sem.Diplo</t>
  </si>
  <si>
    <t>Honorarios Investig.</t>
  </si>
  <si>
    <t>Otros Honorarios</t>
  </si>
  <si>
    <t>TOTAL HONORARIOS CATEDRA</t>
  </si>
  <si>
    <t>GENERALES DE ADMON</t>
  </si>
  <si>
    <t>Otros Arriendos</t>
  </si>
  <si>
    <t>Afiliac. Sostenimien</t>
  </si>
  <si>
    <t>Cumplimiento</t>
  </si>
  <si>
    <t>Respon.Civil y Extra</t>
  </si>
  <si>
    <t>Seguro accidente est</t>
  </si>
  <si>
    <t>Telefonos</t>
  </si>
  <si>
    <t>Correo, Portes,Teleg</t>
  </si>
  <si>
    <t>Transp, Fletes, Acar</t>
  </si>
  <si>
    <t>Empaste Documentos</t>
  </si>
  <si>
    <t>Impresos y Publicaci</t>
  </si>
  <si>
    <t>Avisos en Prensa</t>
  </si>
  <si>
    <t>Internet y Base Dato</t>
  </si>
  <si>
    <t>Lavanderia</t>
  </si>
  <si>
    <t>Proceso Admisiones</t>
  </si>
  <si>
    <t>Serv.Bienestar Unive</t>
  </si>
  <si>
    <t>Servicios Varios</t>
  </si>
  <si>
    <t>Alojamie.y Manunten.</t>
  </si>
  <si>
    <t>Pasajes Aereos</t>
  </si>
  <si>
    <t>Pasajes Terrestres</t>
  </si>
  <si>
    <t>Material Didactico</t>
  </si>
  <si>
    <t>Libr,Susc,Per.Revist</t>
  </si>
  <si>
    <t>Gas.Repr.Relac.Publi</t>
  </si>
  <si>
    <t>Elemen.Aseo Cafeter</t>
  </si>
  <si>
    <t>Utiles, Papel.Fotoco</t>
  </si>
  <si>
    <t>Taxis y buses</t>
  </si>
  <si>
    <t>Elem.Laborat. Enseñ</t>
  </si>
  <si>
    <t>Elementos Audivisual</t>
  </si>
  <si>
    <t>Elem.Rope.Lenc.Menaj</t>
  </si>
  <si>
    <t>Imple.Bienestar Univ</t>
  </si>
  <si>
    <t>Materiales y Repues</t>
  </si>
  <si>
    <t>Elem.Suministro Comp</t>
  </si>
  <si>
    <t>Im.Dev.Mue.Ens,Eq.Of</t>
  </si>
  <si>
    <t>Implem.Devol.Libros</t>
  </si>
  <si>
    <t>Elemen Y Sumin Vario</t>
  </si>
  <si>
    <t>TOTAL GRALES ADMON</t>
  </si>
  <si>
    <t>FINANCIEROS Y EXTRAORDINARIOS</t>
  </si>
  <si>
    <t>Comisiones</t>
  </si>
  <si>
    <t>Intereses por Mora</t>
  </si>
  <si>
    <t>Honorarios</t>
  </si>
  <si>
    <t>Diversos</t>
  </si>
  <si>
    <t>UNIDADES  APOYO ACADEMICAS</t>
  </si>
  <si>
    <t>ADMSYPUBLI</t>
  </si>
  <si>
    <t>Admisiones Y Publici</t>
  </si>
  <si>
    <t>ATENUSUARI</t>
  </si>
  <si>
    <t>Atencion Usuario</t>
  </si>
  <si>
    <t>AUDIOVISUA</t>
  </si>
  <si>
    <t>Rcsos Audiovisules</t>
  </si>
  <si>
    <t>BIBLIOTECA</t>
  </si>
  <si>
    <t>Biblioteca</t>
  </si>
  <si>
    <t>BNSTARUNIV</t>
  </si>
  <si>
    <t>Bnstar Universitario</t>
  </si>
  <si>
    <t>DIRCCTECNO</t>
  </si>
  <si>
    <t>Direcc.Tecnología</t>
  </si>
  <si>
    <t>LABORMEDIC</t>
  </si>
  <si>
    <t>Lab. Medicina</t>
  </si>
  <si>
    <t>RELINTERNA</t>
  </si>
  <si>
    <t>Relac.Internal y Egr</t>
  </si>
  <si>
    <t>RECTORIA</t>
  </si>
  <si>
    <t>Rectoría</t>
  </si>
  <si>
    <t>VICERREACA</t>
  </si>
  <si>
    <t>Vicerrect. Academica</t>
  </si>
  <si>
    <t>ADMONPOSTG</t>
  </si>
  <si>
    <t>Admon Postgrados</t>
  </si>
  <si>
    <t>DPTOBIOETI</t>
  </si>
  <si>
    <t>Dpto Bioetica</t>
  </si>
  <si>
    <t>POSTMEDICI</t>
  </si>
  <si>
    <t>Admon Postgr Medicin</t>
  </si>
  <si>
    <t>EDUCONTINU</t>
  </si>
  <si>
    <t>TOTAL UNID.APOYO ACADEMICO</t>
  </si>
  <si>
    <t>UNIDADES APOYO ADDTIVO</t>
  </si>
  <si>
    <t>ALMACÉN</t>
  </si>
  <si>
    <t>ALmacen</t>
  </si>
  <si>
    <t>CLAUSTRO</t>
  </si>
  <si>
    <t>Claustro</t>
  </si>
  <si>
    <t>COMPRAS</t>
  </si>
  <si>
    <t>Compras</t>
  </si>
  <si>
    <t>CONSEDIREC</t>
  </si>
  <si>
    <t>Consejo Directivo</t>
  </si>
  <si>
    <t>CONTABILID</t>
  </si>
  <si>
    <t>Contabilidad</t>
  </si>
  <si>
    <t>CORRESPOND</t>
  </si>
  <si>
    <t>Correspondencia</t>
  </si>
  <si>
    <t>CREDYCARTE</t>
  </si>
  <si>
    <t>Credito y Cartera</t>
  </si>
  <si>
    <t>DLLOFISICO</t>
  </si>
  <si>
    <t>Dllo Físico y Mtto.</t>
  </si>
  <si>
    <t>EVALYPLANE</t>
  </si>
  <si>
    <t>Evaluac y Planeacion</t>
  </si>
  <si>
    <t>FUNDSALUDB</t>
  </si>
  <si>
    <t>Fund. Salud Bosque</t>
  </si>
  <si>
    <t>GRLESADMON</t>
  </si>
  <si>
    <t>Generales Admon</t>
  </si>
  <si>
    <t>PRESUPUEST</t>
  </si>
  <si>
    <t>Presupuesto</t>
  </si>
  <si>
    <t>RRHH</t>
  </si>
  <si>
    <t>Recursos Humanos</t>
  </si>
  <si>
    <t>SECRETGRAL</t>
  </si>
  <si>
    <t>Secretaría General</t>
  </si>
  <si>
    <t>SEGURIDAD</t>
  </si>
  <si>
    <t>Seguridad</t>
  </si>
  <si>
    <t>SERVGENERL</t>
  </si>
  <si>
    <t>Servicios Generales</t>
  </si>
  <si>
    <t>TESORERÍA</t>
  </si>
  <si>
    <t>Tesorería</t>
  </si>
  <si>
    <t>VICERREADM</t>
  </si>
  <si>
    <t>Vicerrect. Administr</t>
  </si>
  <si>
    <t>TOTAL UNID.APOYO ADTTIVO</t>
  </si>
  <si>
    <t>RDTO NETO</t>
  </si>
  <si>
    <t>NOMBRE DEL EMPLEADO</t>
  </si>
  <si>
    <t>CATEGORIA</t>
  </si>
  <si>
    <t>DIF</t>
  </si>
  <si>
    <t>SUELDO ANUAL</t>
  </si>
  <si>
    <t>SUB.TRAN.</t>
  </si>
  <si>
    <t>HORAS EXTRAS</t>
  </si>
  <si>
    <t>VACACIONES</t>
  </si>
  <si>
    <t>PRIMA</t>
  </si>
  <si>
    <t>CESANTIAS</t>
  </si>
  <si>
    <t>I.C.</t>
  </si>
  <si>
    <t>APORTE SALUD</t>
  </si>
  <si>
    <t>APORTE PENSION</t>
  </si>
  <si>
    <t>APORTE ARP</t>
  </si>
  <si>
    <t>PARAFISCALES</t>
  </si>
  <si>
    <t>TOTAL</t>
  </si>
  <si>
    <t>NO APLICA</t>
  </si>
  <si>
    <t xml:space="preserve"> </t>
  </si>
  <si>
    <t>PROFESOR ESPECIAL</t>
  </si>
  <si>
    <t>PROFESOR ASOCIADO</t>
  </si>
  <si>
    <t>PROFESOR  ASISTENTE</t>
  </si>
  <si>
    <t>INSTRUCTOR ASOCIADO</t>
  </si>
  <si>
    <t>INSTRUCTOR ASISTENTE</t>
  </si>
  <si>
    <t>porcentaje</t>
  </si>
  <si>
    <t>Subsidio Transporte</t>
  </si>
  <si>
    <t>Salario Minimo</t>
  </si>
  <si>
    <t>MAX SALARIO</t>
  </si>
  <si>
    <t>SALUD PATRONO</t>
  </si>
  <si>
    <t>SALUD TOTAL</t>
  </si>
  <si>
    <t>PENSION PATRONO</t>
  </si>
  <si>
    <t>PENSION TOTAL</t>
  </si>
  <si>
    <t>ARP</t>
  </si>
  <si>
    <t xml:space="preserve">AÑO LABORAL </t>
  </si>
  <si>
    <t>AÑO ACADEMICO</t>
  </si>
  <si>
    <t>TIPO CONTRATO</t>
  </si>
  <si>
    <t>CATEGORIAS</t>
  </si>
  <si>
    <t>PROFESOR TITULAR</t>
  </si>
  <si>
    <t>JOVEN INVESTIGADOR</t>
  </si>
  <si>
    <t>SERVICIO SOCIAL OBLIG.</t>
  </si>
  <si>
    <t>MONITOR</t>
  </si>
  <si>
    <t>INSTRUCTOR</t>
  </si>
  <si>
    <t>PROFESOR</t>
  </si>
  <si>
    <t>DOCENTE</t>
  </si>
  <si>
    <t>PROF. BIENESTAR UNIV.</t>
  </si>
  <si>
    <t>ORQUESTA SINFONICA</t>
  </si>
  <si>
    <t>INVESTIGADOR</t>
  </si>
  <si>
    <t>HORAS</t>
  </si>
  <si>
    <t>PORCENTAJE</t>
  </si>
  <si>
    <t>SEMESTRE</t>
  </si>
  <si>
    <t>ALUMNOS I PERIODO</t>
  </si>
  <si>
    <t>VALOR MATRICULA</t>
  </si>
  <si>
    <t>TOTAL I PERIODO</t>
  </si>
  <si>
    <t>ALUMNOS II PERIODO</t>
  </si>
  <si>
    <t>TOTAL II PERIODO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</si>
  <si>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</si>
  <si>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</si>
  <si>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</si>
  <si>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</si>
  <si>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</si>
  <si>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</si>
  <si>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</si>
  <si>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</si>
  <si>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</si>
  <si>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</si>
  <si>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</si>
  <si>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</si>
  <si>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 xml:space="preserve">TOTAL </t>
  </si>
  <si>
    <t xml:space="preserve"> I PERIODO</t>
  </si>
  <si>
    <t>II PERIODO</t>
  </si>
  <si>
    <t xml:space="preserve">UNIVERSIDAD EL BOSQUE </t>
  </si>
  <si>
    <t>DEPARTAMENTO DE PRESUPUESTOS</t>
  </si>
  <si>
    <t>HONORARIOS</t>
  </si>
  <si>
    <t>NOMBRE DOCENTE</t>
  </si>
  <si>
    <t>ASIGNATURA</t>
  </si>
  <si>
    <t>VALOR HORA</t>
  </si>
  <si>
    <t xml:space="preserve">VALOR TOTAL HORAS </t>
  </si>
  <si>
    <t>OTROS HONORARIOS</t>
  </si>
  <si>
    <t>NOMBRE</t>
  </si>
  <si>
    <t>CONCEPTO</t>
  </si>
  <si>
    <t>TOTAL OTROS HONORARIOS</t>
  </si>
  <si>
    <t xml:space="preserve">CONSOLIDADO </t>
  </si>
  <si>
    <t>PASAJES AEREOS</t>
  </si>
  <si>
    <t>Impresos y Publicaciones</t>
  </si>
  <si>
    <t>IMPRESOS Y PUBLICACIONES</t>
  </si>
  <si>
    <t>INVERSION OTROS EQUIPOS</t>
  </si>
  <si>
    <t>ADECUACIONES LOCATIVAS</t>
  </si>
  <si>
    <t>INVERSIONES Y APORTES</t>
  </si>
  <si>
    <t>TOTAL INVERSIONES UNIDAD ACADEMICA</t>
  </si>
  <si>
    <t>RENDIMIENTO O SUBVENCION PRESUPUESTAL</t>
  </si>
  <si>
    <t>MENU PRINCIPAL</t>
  </si>
  <si>
    <t>Alumnos</t>
  </si>
  <si>
    <t>Matrículas</t>
  </si>
  <si>
    <t>Afiliaciones</t>
  </si>
  <si>
    <t>Inversión equipos cómputo</t>
  </si>
  <si>
    <t>Inversión otros equipos</t>
  </si>
  <si>
    <t>Inversión muebles y enseres</t>
  </si>
  <si>
    <t>Adecuaciones locativas</t>
  </si>
  <si>
    <t>TITULO OBRA</t>
  </si>
  <si>
    <t>AUTOR</t>
  </si>
  <si>
    <t>SEP</t>
  </si>
  <si>
    <t>OCT</t>
  </si>
  <si>
    <t>NOV</t>
  </si>
  <si>
    <t>DIC</t>
  </si>
  <si>
    <t>JUSTIFICACION</t>
  </si>
  <si>
    <t>ENTIDAD</t>
  </si>
  <si>
    <t>VIGENCIA</t>
  </si>
  <si>
    <t>ANUAL</t>
  </si>
  <si>
    <t>CLASE ADECUAC.</t>
  </si>
  <si>
    <t>SUACD00001</t>
  </si>
  <si>
    <t>SEMESTRAL</t>
  </si>
  <si>
    <t>JUSTIFICACIÓN</t>
  </si>
  <si>
    <t>SUELDO TOTAL</t>
  </si>
  <si>
    <t>Costo Total ABS</t>
  </si>
  <si>
    <t>Costo RH ABS</t>
  </si>
  <si>
    <t>% Costo RH/Costo Total</t>
  </si>
  <si>
    <t>Excedente +</t>
  </si>
  <si>
    <t>Excedente -</t>
  </si>
  <si>
    <t>Carga Prestacional</t>
  </si>
  <si>
    <t>Costos Total RH</t>
  </si>
  <si>
    <t>Ingreso por Matricula/ Ingresos totales</t>
  </si>
  <si>
    <t>PERIODO I</t>
  </si>
  <si>
    <t>Semestre</t>
  </si>
  <si>
    <t>PERIODO II</t>
  </si>
  <si>
    <t>Verificar que los enlaces a la hoja de presupuesto sean los correctos.</t>
  </si>
  <si>
    <t>Pronóstico</t>
  </si>
  <si>
    <t>Facultad</t>
  </si>
  <si>
    <t>INGRESOS TOTALES</t>
  </si>
  <si>
    <t>COSTO TOTAL ROTACION</t>
  </si>
  <si>
    <t>Convenios</t>
  </si>
  <si>
    <t>TÍTULO</t>
  </si>
  <si>
    <t xml:space="preserve">Nómina </t>
  </si>
  <si>
    <t>DOCENCIA</t>
  </si>
  <si>
    <t>Curso Vacacional</t>
  </si>
  <si>
    <t>Otr.Gtos  Viaje Sali</t>
  </si>
  <si>
    <t>Peajes  Tramites</t>
  </si>
  <si>
    <t>Combustib. y Lubric</t>
  </si>
  <si>
    <t>Impl.Devol.Eq.Comput</t>
  </si>
  <si>
    <t>LABAMBIENT</t>
  </si>
  <si>
    <t>Ingreso Totales</t>
  </si>
  <si>
    <t>INGRESOS OPERACIONALES</t>
  </si>
  <si>
    <t>Ingresos Biblioteca</t>
  </si>
  <si>
    <t>Ingres.Audiovisuales</t>
  </si>
  <si>
    <t>Ingres.Servic.Tecn.</t>
  </si>
  <si>
    <t>Ingresos Bienestar U</t>
  </si>
  <si>
    <t>GASTOS</t>
  </si>
  <si>
    <t>OPERACIONALES DIRECTOS</t>
  </si>
  <si>
    <t>GASTOS DE PERSONAL</t>
  </si>
  <si>
    <t>Indemnizac.Laborales</t>
  </si>
  <si>
    <t>Capacitación Persona</t>
  </si>
  <si>
    <t>Gastos Deport.Recrea</t>
  </si>
  <si>
    <t>Gast.Medicos, Drogas</t>
  </si>
  <si>
    <t>TOTAL GASTOS DE PERSONAL</t>
  </si>
  <si>
    <t xml:space="preserve">HONORARIOS </t>
  </si>
  <si>
    <t>Hon. Medicina Legal</t>
  </si>
  <si>
    <t xml:space="preserve">TOTAL HONORARIOS </t>
  </si>
  <si>
    <t>Revisoria Fiscal</t>
  </si>
  <si>
    <t>Asesoria Juridica</t>
  </si>
  <si>
    <t>Imp.Indust. Comercio</t>
  </si>
  <si>
    <t>Imp.a Propiedad Raiz</t>
  </si>
  <si>
    <t>Emergencia Economica</t>
  </si>
  <si>
    <t>Eq.Comput.Comunic</t>
  </si>
  <si>
    <t>Eq. Medico Cientifico</t>
  </si>
  <si>
    <t>Seguro por Riesgos</t>
  </si>
  <si>
    <t>Aseo</t>
  </si>
  <si>
    <t>Vigilancia</t>
  </si>
  <si>
    <t>Asistencia Tecnica</t>
  </si>
  <si>
    <t>Acueduc y Alcantar</t>
  </si>
  <si>
    <t>Energia Electricar</t>
  </si>
  <si>
    <t>Servicios Audiovisua</t>
  </si>
  <si>
    <t>Servicio Laboratorio</t>
  </si>
  <si>
    <t>Propaganda y Divulga</t>
  </si>
  <si>
    <t>Admon Loc,Oficin,Cas</t>
  </si>
  <si>
    <t>Mantenimto Software</t>
  </si>
  <si>
    <t>Mto. Licencias</t>
  </si>
  <si>
    <t>Ap EPS - ARP Estudia</t>
  </si>
  <si>
    <t>Notariales</t>
  </si>
  <si>
    <t>Tramites y Licencias</t>
  </si>
  <si>
    <t>Formu,Certific.Const</t>
  </si>
  <si>
    <t>Construc. Edificac.</t>
  </si>
  <si>
    <t>Otros Adecua.Instal.</t>
  </si>
  <si>
    <t>Estampillas</t>
  </si>
  <si>
    <t>Parqueaderos</t>
  </si>
  <si>
    <t>Implem. Deportivos</t>
  </si>
  <si>
    <t>Herramientas</t>
  </si>
  <si>
    <t>Impl.Devol. Eq.Instr</t>
  </si>
  <si>
    <t>Impl.Dev.Eq.Comunic.</t>
  </si>
  <si>
    <t>Elemen. Decorativos</t>
  </si>
  <si>
    <t>May.Vr.Can.Men.Vr.Re</t>
  </si>
  <si>
    <t>TOTAL GTOS OPNALES DIRECTOS</t>
  </si>
  <si>
    <t>OPERACIONALES INDIRECTOS</t>
  </si>
  <si>
    <t>ADMONFACED</t>
  </si>
  <si>
    <t>Admon Facultad Educación</t>
  </si>
  <si>
    <t>CLINODONTO</t>
  </si>
  <si>
    <t>Admon  Clinicas Odon</t>
  </si>
  <si>
    <t>DIVINVESTI</t>
  </si>
  <si>
    <t>Division Investigacion</t>
  </si>
  <si>
    <t>LABORACISC</t>
  </si>
  <si>
    <t>Lab.Cisco</t>
  </si>
  <si>
    <t>POSTEDUCAC</t>
  </si>
  <si>
    <t>Admon Postg Educacion</t>
  </si>
  <si>
    <t>POSTODONTO</t>
  </si>
  <si>
    <t>Admon Postg Odontolog</t>
  </si>
  <si>
    <t>POSTPSICOL</t>
  </si>
  <si>
    <t>Admon Postg Psicologia</t>
  </si>
  <si>
    <t>Admon   Educ Continu</t>
  </si>
  <si>
    <t>Lab. Ambiental</t>
  </si>
  <si>
    <t>LABORAFISI</t>
  </si>
  <si>
    <t>Lab. Física</t>
  </si>
  <si>
    <t>LABORPSICO</t>
  </si>
  <si>
    <t>Lab. Psicometría</t>
  </si>
  <si>
    <t>D. Humanidades</t>
  </si>
  <si>
    <t>EDIFICACIO</t>
  </si>
  <si>
    <t>Edificios, Dep Mto.</t>
  </si>
  <si>
    <t>EQUCOMPUTO</t>
  </si>
  <si>
    <t>Eq.Computo Subreparto</t>
  </si>
  <si>
    <t>EQUTELECOM</t>
  </si>
  <si>
    <t>Eq.Telecom Dep Mto.</t>
  </si>
  <si>
    <t>TELEFONOS</t>
  </si>
  <si>
    <t>Teléfonos Subreparto</t>
  </si>
  <si>
    <t>TOTAL GTOS OPNALES INDIRECTOS</t>
  </si>
  <si>
    <t>TOTAL GASTOS OPNALES</t>
  </si>
  <si>
    <t>RDTO OPNAL</t>
  </si>
  <si>
    <t>INGRESOS NO OPERACIONALES</t>
  </si>
  <si>
    <t>Cuentas de Ahorro</t>
  </si>
  <si>
    <t>Depositos a Término</t>
  </si>
  <si>
    <t>Derechos Fiduciarios</t>
  </si>
  <si>
    <t>Form.Insc.Prove.</t>
  </si>
  <si>
    <t>Predios CL 134 7B41</t>
  </si>
  <si>
    <t>Oficinas</t>
  </si>
  <si>
    <t>Cafeterias</t>
  </si>
  <si>
    <t>Bodega</t>
  </si>
  <si>
    <t>Alquiler Espacios</t>
  </si>
  <si>
    <t>Tienda Universitaria</t>
  </si>
  <si>
    <t>Otros Inmuebles</t>
  </si>
  <si>
    <t>Asesorias</t>
  </si>
  <si>
    <t>Administrativos</t>
  </si>
  <si>
    <t>Por Contrato</t>
  </si>
  <si>
    <t>Lockers</t>
  </si>
  <si>
    <t>Stands</t>
  </si>
  <si>
    <t>Cons.Tratam.Odontol.</t>
  </si>
  <si>
    <t>Serv.Comité Etica</t>
  </si>
  <si>
    <t>Certificac.Carnetiza</t>
  </si>
  <si>
    <t>Por Siniestro</t>
  </si>
  <si>
    <t>Aprovechamientos</t>
  </si>
  <si>
    <t>Proyecto Investigaci</t>
  </si>
  <si>
    <t>Excedentes</t>
  </si>
  <si>
    <t>Sobrante de Caja</t>
  </si>
  <si>
    <t>TOTAL INGRESOS NO OPNALES</t>
  </si>
  <si>
    <t>GASTOS NO OPERACIONALES DIRECTOS</t>
  </si>
  <si>
    <t>Cheq.Libreta Papeler</t>
  </si>
  <si>
    <t>Servicios Remesas</t>
  </si>
  <si>
    <t>Intereses Ordinarios</t>
  </si>
  <si>
    <t>Activ.Cultural Civic</t>
  </si>
  <si>
    <t>Multas,Sancion.Litig</t>
  </si>
  <si>
    <t>Gastos de Personal</t>
  </si>
  <si>
    <t>Impuestos Asumidos</t>
  </si>
  <si>
    <t>TOTAL GASTOS NO OPNALES DIRECTOS</t>
  </si>
  <si>
    <t>RDTO NO OPNAL</t>
  </si>
  <si>
    <t>INVERSIONES UNIDADES ACADEMICAS</t>
  </si>
  <si>
    <t>Muebles y Enseres</t>
  </si>
  <si>
    <t xml:space="preserve">ADMINISTRACION </t>
  </si>
  <si>
    <t>SUELDO MENS.</t>
  </si>
  <si>
    <t>semestral</t>
  </si>
  <si>
    <t>Anual</t>
  </si>
  <si>
    <t>Total</t>
  </si>
  <si>
    <t>Operativo</t>
  </si>
  <si>
    <t>TIPO</t>
  </si>
  <si>
    <t>Tipo</t>
  </si>
  <si>
    <t>ALOJAMIENTO Y MANUTENCION</t>
  </si>
  <si>
    <t>SUACD00002</t>
  </si>
  <si>
    <t>D. Bioetica</t>
  </si>
  <si>
    <t>SUAEL00001</t>
  </si>
  <si>
    <t>Materias Electivas</t>
  </si>
  <si>
    <t>Bonificaciones</t>
  </si>
  <si>
    <t>LABORCONTR</t>
  </si>
  <si>
    <t>Lab. Control</t>
  </si>
  <si>
    <t>Descuentos Comerciales Cond.</t>
  </si>
  <si>
    <t>MARGEN DE OPERACIÓN</t>
  </si>
  <si>
    <t>% GASTO NOMINA</t>
  </si>
  <si>
    <t>%   INC.</t>
  </si>
  <si>
    <t>CANTIDADES EN MILES DE PESOS</t>
  </si>
  <si>
    <t>COMENTARIO</t>
  </si>
  <si>
    <t>AL SEMESTRE.</t>
  </si>
  <si>
    <t>EL NUMERO DE HORAS  CORRESPONDE AL</t>
  </si>
  <si>
    <t>CLINICA -HOSPITAL</t>
  </si>
  <si>
    <t>VALOR SEMESTRE</t>
  </si>
  <si>
    <t>CONVENIOS DOCENTES ASISTENCIALES</t>
  </si>
  <si>
    <t>MONA</t>
  </si>
  <si>
    <t>NUMERO DE CUENTA</t>
  </si>
  <si>
    <t>NOMBRE CUENTA</t>
  </si>
  <si>
    <t>EDUCACION CONTINUADA</t>
  </si>
  <si>
    <t>OTROS INGRESOS</t>
  </si>
  <si>
    <t>TOTAL INGRESOS</t>
  </si>
  <si>
    <t>EGRESOS</t>
  </si>
  <si>
    <t>ARRENDAMIENTOS</t>
  </si>
  <si>
    <t>POLIZAS DE CUMPLIMIENTO</t>
  </si>
  <si>
    <t>CORREOS Y PORTES</t>
  </si>
  <si>
    <t>PROPAGANDA Y DIVULG.</t>
  </si>
  <si>
    <t>AVISOS EN LA PRENSA</t>
  </si>
  <si>
    <t>RELACIONES PUBLICAS</t>
  </si>
  <si>
    <t>RELAC.PUBLICAS-REFRIGERIOS</t>
  </si>
  <si>
    <t>PAPELERIA Y FOTOCOPIAS</t>
  </si>
  <si>
    <t>TAXIS Y BUSES</t>
  </si>
  <si>
    <t>ELEM.LABORATORIO Y ENSEÑ.</t>
  </si>
  <si>
    <t>MATERIAL DIDACTICO,LIBROS</t>
  </si>
  <si>
    <t>DIVERSOS E IMPREVISTOS</t>
  </si>
  <si>
    <t>TOTAL EGRESOS</t>
  </si>
  <si>
    <t>CUOTA ADMINISTRACION</t>
  </si>
  <si>
    <t>RENDIMIENTO</t>
  </si>
  <si>
    <t>INSTRUCTIVO: FAVOR DILIGENCIAR LOS ESPACIOS EN BLANCO Y  COLOCAR EL NOMBRE DEL EVENTO EN LA CASILLA " CURSO"</t>
  </si>
  <si>
    <t>PROYECTOS DE ASESORIA Y CONSULTORIA</t>
  </si>
  <si>
    <t>PROYECTO</t>
  </si>
  <si>
    <t>CONTRATOS O CONVENIOS</t>
  </si>
  <si>
    <t>INSTRUCTIVO: FAVOR DILIGENCIAR LOS ESPACIOS EN BLANCO Y  COLOCAR EL NOMBRE DEL PROYECTO EN LA CASILLA " PROYECTO"</t>
  </si>
  <si>
    <t>SOFTWARE-INTERNET-BASE DAT.</t>
  </si>
  <si>
    <t>GASTOS ADMON</t>
  </si>
  <si>
    <t>PROGRAMAS DE PROYECCION SOCIAL CON FINANCIACION EXTERNA O DE LA UNIVERSIDAD</t>
  </si>
  <si>
    <t>SITIO</t>
  </si>
  <si>
    <t>FECHA</t>
  </si>
  <si>
    <t xml:space="preserve">GESTION DEL RECURSO HUMANO </t>
  </si>
  <si>
    <t>OTROS CONCEPTOS</t>
  </si>
  <si>
    <t>PASAJES AEREOS-TERRESTRES</t>
  </si>
  <si>
    <t>PARTICIPANTES</t>
  </si>
  <si>
    <t>VALOR</t>
  </si>
  <si>
    <t>INSTRUCTIVO: FAVOR DILIGENCIAR LOS ESPACIOS EN BLANCO.</t>
  </si>
  <si>
    <t>AFILIACIONES Y SOSTENIMIENTO</t>
  </si>
  <si>
    <t>LOCALIZACION</t>
  </si>
  <si>
    <t>EQUIPOS</t>
  </si>
  <si>
    <t>INVERSION EN MUEBLES Y ENSERES</t>
  </si>
  <si>
    <t>PASAJES AEREOS Y TERRESTRES</t>
  </si>
  <si>
    <t>INSTRUCTIVO: FAVOR DILIGENCIAR LOS ESPACIOS EN BLANCO Y  COLOCAR EL NOMBRE DEL PROGRAMA EN LA CASILLA " PROYECTO"</t>
  </si>
  <si>
    <t>MANTENIMIENTO DE EQUIPOS Y MUEBLES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</si>
  <si>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</si>
  <si>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</si>
  <si>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</si>
  <si>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</si>
  <si>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</si>
  <si>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</si>
  <si>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</si>
  <si>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</si>
  <si>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PLANEACION ANUAL</t>
  </si>
  <si>
    <t>Mantenimiento de Equipo</t>
  </si>
  <si>
    <t>Mantenim. Eq.Instrum.Musicales</t>
  </si>
  <si>
    <t>Mantenim. Eq.Aseo,Cocina.Mant.</t>
  </si>
  <si>
    <t>Mantenim. Eq.Varios oficina</t>
  </si>
  <si>
    <t>Mantenim. Eq.  de Comp.Com</t>
  </si>
  <si>
    <t>Mantenim. Eq.Medico Cientifico</t>
  </si>
  <si>
    <t>NOTA:  SOLO SE PUEDEN MODIFICAR LOS ESPACIOS EN BLANCO</t>
  </si>
  <si>
    <t>No. HORAS SEMESTRE</t>
  </si>
  <si>
    <t>TOTAL SEGUNDO SEMESTRE</t>
  </si>
  <si>
    <t>TOTAL PRIMER SEMETRE</t>
  </si>
  <si>
    <t>DESCRIPCION DEL EVENTO - CONGRESO -SEMINARIO O CURSO</t>
  </si>
  <si>
    <t>FECHA PROBABLE</t>
  </si>
  <si>
    <t>Primas extralegales</t>
  </si>
  <si>
    <t xml:space="preserve">CONVENIOS CON ENTIDADES </t>
  </si>
  <si>
    <t>Hon.Conv.Entid.Salud  y Otros.</t>
  </si>
  <si>
    <t>IMPUESTOS</t>
  </si>
  <si>
    <t>CONTRIBUCIONES Y AFILIACIONES</t>
  </si>
  <si>
    <t>SEGUROS</t>
  </si>
  <si>
    <t>SERVICIOS</t>
  </si>
  <si>
    <t>GASTOS LEGALES</t>
  </si>
  <si>
    <t>MANTENIMIENTO,REPARACIONES Y ADECUACIONES</t>
  </si>
  <si>
    <t>GASTOS DE VIAJE</t>
  </si>
  <si>
    <t>AMORTIZACIONES</t>
  </si>
  <si>
    <t>GASTOS DIVERSOS</t>
  </si>
  <si>
    <t>Mater e Implem dev. Inst Music.</t>
  </si>
  <si>
    <t>FINANCIEROS</t>
  </si>
  <si>
    <t>RECUPERACIONES</t>
  </si>
  <si>
    <t>AÑOS ANTERIORES</t>
  </si>
  <si>
    <t>SUACD00003</t>
  </si>
  <si>
    <t>Laboratorio de Simulacion Clinica</t>
  </si>
  <si>
    <t>TOTAL CONVENIOS CON ENTIDADES</t>
  </si>
  <si>
    <t>SALIDAS DE CAMPO ACADEMICAS</t>
  </si>
  <si>
    <t>SALIDA</t>
  </si>
  <si>
    <t>DESCRIPCION DE LA SALIDA</t>
  </si>
  <si>
    <t>NUMERO DE DOCENTES</t>
  </si>
  <si>
    <t>INSTRUCTIVO: FAVOR DILIGENCIAR LOS ESPACIOS EN BLANCO Y  COLOCAR EL NOMBRE DE LA SALIDA EN LA CASILLA " SALIDA"</t>
  </si>
  <si>
    <t>Salidas de Campo</t>
  </si>
  <si>
    <t>% INC.</t>
  </si>
  <si>
    <t>SECUNDARIA</t>
  </si>
  <si>
    <t>TECNICO</t>
  </si>
  <si>
    <t>TECNOLOGO</t>
  </si>
  <si>
    <t>UNIVERSITARIO</t>
  </si>
  <si>
    <t>ESPECIALISTA</t>
  </si>
  <si>
    <t>MAGISTER</t>
  </si>
  <si>
    <t>INST.ASISTENTE</t>
  </si>
  <si>
    <t>INST.ASOCIADO</t>
  </si>
  <si>
    <t>PROF.ASISTENTE</t>
  </si>
  <si>
    <t>PROF.ASOCIADO</t>
  </si>
  <si>
    <t>PROF.TITULAR</t>
  </si>
  <si>
    <t>DOCTORADO</t>
  </si>
  <si>
    <t>POSDOCTORADO</t>
  </si>
  <si>
    <t>Semestral</t>
  </si>
  <si>
    <t>Academico</t>
  </si>
  <si>
    <t>ACADEMICO</t>
  </si>
  <si>
    <t>CLAS</t>
  </si>
  <si>
    <t>PREP</t>
  </si>
  <si>
    <t>EVAL</t>
  </si>
  <si>
    <t>ÉXITO</t>
  </si>
  <si>
    <t>TOT</t>
  </si>
  <si>
    <t>FORM</t>
  </si>
  <si>
    <t>INVES</t>
  </si>
  <si>
    <t>CONS</t>
  </si>
  <si>
    <t>CONT</t>
  </si>
  <si>
    <t>ACAD</t>
  </si>
  <si>
    <t>ESTUDIOS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</si>
  <si>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</si>
  <si>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</si>
  <si>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</si>
  <si>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</si>
  <si>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</si>
  <si>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</si>
  <si>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</si>
  <si>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</si>
  <si>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</si>
  <si>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</si>
  <si>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</si>
  <si>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</si>
  <si>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</si>
  <si>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</si>
  <si>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</si>
  <si>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</si>
  <si>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</si>
  <si>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</si>
  <si>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</si>
  <si>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</si>
  <si>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</si>
  <si>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</si>
  <si>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</si>
  <si>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</si>
  <si>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A33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</si>
  <si>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</si>
  <si>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</si>
  <si>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</si>
  <si>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</si>
  <si>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</si>
  <si>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</si>
  <si>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</si>
  <si>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</si>
  <si>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</si>
  <si>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</si>
  <si>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</si>
  <si>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</si>
  <si>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</si>
  <si>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</si>
  <si>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</si>
  <si>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</si>
  <si>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</si>
  <si>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</si>
  <si>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</si>
  <si>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</si>
  <si>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</si>
  <si>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</si>
  <si>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</si>
  <si>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</si>
  <si>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</si>
  <si>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</si>
  <si>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</si>
  <si>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</si>
  <si>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</si>
  <si>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</si>
  <si>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</si>
  <si>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</si>
  <si>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</si>
  <si>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</si>
  <si>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</si>
  <si>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</si>
  <si>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</si>
  <si>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</si>
  <si>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</si>
  <si>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</si>
  <si>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</si>
  <si>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</si>
  <si>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</si>
  <si>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</si>
  <si>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</si>
  <si>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</si>
  <si>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%</t>
  </si>
  <si>
    <t>INVESTIGACION</t>
  </si>
  <si>
    <t>EXTENSION</t>
  </si>
  <si>
    <t>GEST</t>
  </si>
  <si>
    <t>NR</t>
  </si>
  <si>
    <t>CODIGO CATEGORIA</t>
  </si>
  <si>
    <t>TIEMPO</t>
  </si>
  <si>
    <t>CODIGO CONTRATO</t>
  </si>
  <si>
    <t>operativo</t>
  </si>
  <si>
    <t>desarrollo</t>
  </si>
  <si>
    <t>COD</t>
  </si>
  <si>
    <t>Avaluos</t>
  </si>
  <si>
    <t>Gas</t>
  </si>
  <si>
    <t>Servicios Señalizacion</t>
  </si>
  <si>
    <t>SUACD00004</t>
  </si>
  <si>
    <t>Aportes Investigacion</t>
  </si>
  <si>
    <t>SUACD00005</t>
  </si>
  <si>
    <t>Aporte plan de Desarrollo</t>
  </si>
  <si>
    <t>Fac. Ciencias.</t>
  </si>
  <si>
    <t>SUAPD00001</t>
  </si>
  <si>
    <t>Serv.Lab.Psicometria.</t>
  </si>
  <si>
    <t>SUACL00002</t>
  </si>
  <si>
    <t>ADMONFAING</t>
  </si>
  <si>
    <t>Admon Facultad Ingenieria</t>
  </si>
  <si>
    <t>Ing. Investigacion y Desarrollo</t>
  </si>
  <si>
    <t>Apoyo Fondo Sostenibilidad</t>
  </si>
  <si>
    <t>Equipos de Computo-Tecnologia-licencias-Sotfware</t>
  </si>
  <si>
    <t>Equipos Medicos-Odontologicos-Laboratorios-Otros</t>
  </si>
  <si>
    <t>OBSERVACIONES</t>
  </si>
  <si>
    <t xml:space="preserve">PROYECTOS DE INVESTIGACION CON FINANCIACION EXTERNA </t>
  </si>
  <si>
    <t>DEDIC.</t>
  </si>
  <si>
    <t>% EJEC.</t>
  </si>
  <si>
    <t>En éste enlace pueden modificar el pronóstico de Presupuesto y retención de alumnos en el cuadro del " Plan de la Facultad" siempre y cuando hagan la justificación respectiva. Solo se podrán modificar las celdas en blanco.</t>
  </si>
  <si>
    <t>NUEVOS DOCENTES I PERIODO ACAD.</t>
  </si>
  <si>
    <t>NUEVOS DOCENTES II PERIODO ACAD.</t>
  </si>
  <si>
    <t>INSTRUCTIVO: FAVOR DILIGENCIAR LOS ESPACIOS EN BLANCO Y  COLOCAR EL NOMBRE DEL PROYECTO EN LA CASILLA " ACTIVIDAD O EVENTO"</t>
  </si>
  <si>
    <t>OTRAS ACTIVIDADES/EVENTOS</t>
  </si>
  <si>
    <t>ACTIVIDAD/ EVENTO</t>
  </si>
  <si>
    <t>Otras Actividades/Eventos</t>
  </si>
  <si>
    <t>APLICA PARA ACTIVIDADES DE LAS  SALIDAS DE CAMPO ACADÉMICAS PROGRAMADAS POR LAS FACULTADES</t>
  </si>
  <si>
    <t>INSTRUCTIVO: FAVOR DILIGENCIAR LOS ESPACIOS EN BLANCO DE ACUERDO AL MES EN EL QUE SE REQUIERE LA ADQUISICIÓN Y EL VALOR DEL LIBRO</t>
  </si>
  <si>
    <t>ADQUISICION LIBROS - SUSCRIPCIONES - BASES DE DATOS</t>
  </si>
  <si>
    <t># EJEMPLARES</t>
  </si>
  <si>
    <t xml:space="preserve">INVERSION EQUIPOS DE COMPUTO/LICENCIAS O SOFTWARE </t>
  </si>
  <si>
    <t xml:space="preserve">LOS SIGUIENTES CUADROS, SOLO SI APLICAN PARA USTEDES, DEBERÁN SER DILIGENCIADOS. </t>
  </si>
  <si>
    <t>SOBRE-SUELDO</t>
  </si>
  <si>
    <t>En éste enlace pueden alimentar los pagos de los convenios de docencia-servicio, o demás convenios que se tengan de docencia.</t>
  </si>
  <si>
    <t>Educación Continuada</t>
  </si>
  <si>
    <t>Asesorías y consultorías</t>
  </si>
  <si>
    <t>Gestión del Recurso Humano</t>
  </si>
  <si>
    <t>Proyectos de Investigación</t>
  </si>
  <si>
    <t>Proyectos con Proyección social</t>
  </si>
  <si>
    <t>PRIMER PERIODO ACADEMICO</t>
  </si>
  <si>
    <t>TOTAL PRIMER PRIMER PERIODO ACADEMICO</t>
  </si>
  <si>
    <t>SEGUNDO PERIODO ACADEMICO</t>
  </si>
  <si>
    <t>TOTAL SEGUNDO PERIODO ACADEMICO</t>
  </si>
  <si>
    <t>OTROS GASTOS DE SALIDA</t>
  </si>
  <si>
    <t>Asesoria Programas Academicos</t>
  </si>
  <si>
    <t>HONORARIOS ÚNICAMENTE POR ASESORIA PROGRAMAS ACADEMICOS</t>
  </si>
  <si>
    <t>OTROS HONORARIOS DISTINTOS A LA ASESORIA PROGRAMAS ACADEMICOS Y CONVENIOS DE ROTACION</t>
  </si>
  <si>
    <t>TIC</t>
  </si>
  <si>
    <t>PRACT</t>
  </si>
  <si>
    <t>GRAN TOTAL</t>
  </si>
  <si>
    <t>EL NUMERO DE HORAS ,CORRESPONDE</t>
  </si>
  <si>
    <t>ADICIONALES PLAN DE DESARROLLO</t>
  </si>
  <si>
    <t xml:space="preserve">un punto </t>
  </si>
  <si>
    <t>dos puntos</t>
  </si>
  <si>
    <t>tres puntos</t>
  </si>
  <si>
    <t>% inc</t>
  </si>
  <si>
    <t>LÍNEAS ESTRATEGICAS</t>
  </si>
  <si>
    <t>PROGRAMA</t>
  </si>
  <si>
    <t>CIMIENTOS</t>
  </si>
  <si>
    <t xml:space="preserve"> 2.   PLANEACIÓN - INNOVACIÓN - CALIDAD</t>
  </si>
  <si>
    <t>Programa 1. Fortalecimiento del Sistema de Planeación Institucional y de Unidades Académicas y Administrativas</t>
  </si>
  <si>
    <t>Proyecto 1. Implementación, seguimiento y evaluación del PDI 2016 - 2021</t>
  </si>
  <si>
    <t>Proyecto 2. Elaboración, implementación, seguimiento y evaluación  de Planes Estratégicos de las Unidades Académicas y Administrativas articulados con el PDI 2016 - 2021</t>
  </si>
  <si>
    <t xml:space="preserve">Proyecto 1. Autoevaluación y Acreditación  Institucional  y de Programas a nivel nacional </t>
  </si>
  <si>
    <t>Proyecto 2. Acreditación  institucional  y de programas a nivel internacional</t>
  </si>
  <si>
    <t>Proyecto 3. Certificaciones de calidad de los procesos académico-administrativos</t>
  </si>
  <si>
    <t xml:space="preserve">Proyecto 4. Fortalecimiento del desarrollo del Sistema de Información de Calidad  </t>
  </si>
  <si>
    <t>3. TALENTO HUMANO</t>
  </si>
  <si>
    <t>Programa 1. Desarrollo e Implementación de la Política de Gestión del Talento Humano Académico y Administrativo, alineada con la Misión y Visión Institucional</t>
  </si>
  <si>
    <t>Proyecto 1. Desarrollo e  implementación  de la Política de Gestión de Talento Humano Académico, alineada con la Misión y la Visión Institucional</t>
  </si>
  <si>
    <t>PILARES</t>
  </si>
  <si>
    <t>4. EDUCACIÓN</t>
  </si>
  <si>
    <t>5. INVESTIGACIÓN</t>
  </si>
  <si>
    <t>Programa 2. Desarrollo e implementación de la Política Institucional para la Transferencia del Conocimiento producto de investigación de acuerdo con la Misión y la Visión.</t>
  </si>
  <si>
    <t>Proyecto 2. Fortalecimiento de la innovación de base tecnológica</t>
  </si>
  <si>
    <t>6. RESPONSABILIDAD SOCIAL</t>
  </si>
  <si>
    <t>Programa 1. Vinculación con el entorno</t>
  </si>
  <si>
    <t>Proyecto 1. Fortalecimiento de la relación con egresados</t>
  </si>
  <si>
    <t>Proyecto 2. Estrategia de priorización y relacionamiento Interinstitucional con alcance nacional e internacional</t>
  </si>
  <si>
    <t xml:space="preserve">Proyecto 3. Consolidación de las relaciones con la comunidad </t>
  </si>
  <si>
    <t>ESTRATEGIAS</t>
  </si>
  <si>
    <t>7. ÉXITO ESTUDIANTIL</t>
  </si>
  <si>
    <t>Programa 3. Preparación a la Vida Laboral</t>
  </si>
  <si>
    <t>Proyecto 1. Gestión para el desempeño profesional</t>
  </si>
  <si>
    <t>8. BIENESTAR INSTITUCIONAL</t>
  </si>
  <si>
    <t>Programa 1. Fortalecimiento de Bienestar para los Actores Universitarios</t>
  </si>
  <si>
    <t>Proyecto 2. Fortalecimiento de bienestar  para estudiantes y egresados</t>
  </si>
  <si>
    <t>9. INTERNACIONALIZACIÓN</t>
  </si>
  <si>
    <t xml:space="preserve">Programa 1. Fortalecimiento de la implementación de la Política de Internacionalización </t>
  </si>
  <si>
    <t>Proyecto 1. Relaciones Internacionales con los grupos de interés</t>
  </si>
  <si>
    <t>Proyecto 2. Internacionalización del currículo</t>
  </si>
  <si>
    <t>Proyecto 3. Internacionalización para el éxito estudiantil</t>
  </si>
  <si>
    <t>Proyecto 4. Internacionalización del Talento Humano</t>
  </si>
  <si>
    <t xml:space="preserve"># TOTAL DE PROGRAMAS: </t>
  </si>
  <si>
    <t xml:space="preserve"># TOTAL DE PROYECTOS: </t>
  </si>
  <si>
    <t>VALOR HORA SEMESTRE 2016</t>
  </si>
  <si>
    <t>CAPACITACION ( INSCRIPCION)</t>
  </si>
  <si>
    <t>Gastos Personal Vigencia Pasad</t>
  </si>
  <si>
    <t>Capacitac modalid Condonable</t>
  </si>
  <si>
    <t>Matrículas Extraordinarias</t>
  </si>
  <si>
    <t>Corte Láser y Prototipado 3D</t>
  </si>
  <si>
    <t>Consulta y Asesoría Psicologic</t>
  </si>
  <si>
    <t>Derechos de Grado</t>
  </si>
  <si>
    <t>Asesoría Técnica</t>
  </si>
  <si>
    <t>Imp.de Valorización</t>
  </si>
  <si>
    <t>Imp. Delineación Urbana</t>
  </si>
  <si>
    <t>Garantías</t>
  </si>
  <si>
    <t>Serv. Participación</t>
  </si>
  <si>
    <t>Ap. ARL Estudia. Pregrado</t>
  </si>
  <si>
    <t>Aduaneros</t>
  </si>
  <si>
    <t>Licencia de Urbanismo</t>
  </si>
  <si>
    <t>Títulos de Tesorería (TES)</t>
  </si>
  <si>
    <t>Bonos</t>
  </si>
  <si>
    <t>Utilidad Cont Forward CF016V10</t>
  </si>
  <si>
    <t>Transporte</t>
  </si>
  <si>
    <t>Asesor Consultas Neurociencia</t>
  </si>
  <si>
    <t>Servicio Alojam.Manutenc.Otros</t>
  </si>
  <si>
    <t>Reclamos</t>
  </si>
  <si>
    <t>De Provisión Honorarios</t>
  </si>
  <si>
    <t>Gastos Bancarios</t>
  </si>
  <si>
    <t>Certificado y Estudio de Créd</t>
  </si>
  <si>
    <t>Prima Amortizada</t>
  </si>
  <si>
    <t>Perdida Contr Forward</t>
  </si>
  <si>
    <t>Apoyo Movilidad Académica</t>
  </si>
  <si>
    <t>Donaciones, Apoyos, patrocinio</t>
  </si>
  <si>
    <t>Reintegro Recursos No Ejecutad</t>
  </si>
  <si>
    <t>Venta de Libros y Textos</t>
  </si>
  <si>
    <t xml:space="preserve">Servicios academicos no dados </t>
  </si>
  <si>
    <t>Salario Integral</t>
  </si>
  <si>
    <t>Utilidad Cont Forward</t>
  </si>
  <si>
    <t>Arrendamientos</t>
  </si>
  <si>
    <t>CONTRATOS - CONVENIOS</t>
  </si>
  <si>
    <t>DESCRIPCION DE LA ACTIVIDAD - EVENTO</t>
  </si>
  <si>
    <t>PORC. DE GASTOS DE TAL. HUMANO/ ING TOTALES.</t>
  </si>
  <si>
    <t>PORC. DE GASTOS DE NOMINA / ING OPERACIO.</t>
  </si>
  <si>
    <t>PORC. DE GASTOS DE NOMINA / ING TOTALES</t>
  </si>
  <si>
    <t>PORC. DE GASTOS HONORARIOS / ING OPERAC.</t>
  </si>
  <si>
    <t>PORC. DE GASTOS BIENESTAR / ING TOTALES.</t>
  </si>
  <si>
    <t>PORC. RENDIMIENTO NETO / ING TOTALES</t>
  </si>
  <si>
    <t>PORC. INVERSIONES UNID ACADEM/ING.OPERAC.</t>
  </si>
  <si>
    <t>PORC. INVERSIONES UNID ACADEM/ING.TOTAL</t>
  </si>
  <si>
    <t>PORC. COSTOS FIJOS/ING.TOTAL</t>
  </si>
  <si>
    <t>CARGA PRESTACIONAL</t>
  </si>
  <si>
    <t>4.EDUCACION</t>
  </si>
  <si>
    <t>5.INVESTIGACION</t>
  </si>
  <si>
    <t>6.RESPONSABILIDAD SOCIAL</t>
  </si>
  <si>
    <t xml:space="preserve"> TOTAL INGRESOS</t>
  </si>
  <si>
    <t>GASTOS FUNCIONAMIENTO E INVERSION</t>
  </si>
  <si>
    <t>Líderes</t>
  </si>
  <si>
    <t>Impresión planes de desarrollo de las unidades</t>
  </si>
  <si>
    <t>Nómina</t>
  </si>
  <si>
    <t>Nómina Acad. Admon</t>
  </si>
  <si>
    <t>Capacitación, apoyos académicos</t>
  </si>
  <si>
    <t>Convenios Doc - Asis.</t>
  </si>
  <si>
    <t>Excelencia Académica</t>
  </si>
  <si>
    <t>Gastos de Viaje</t>
  </si>
  <si>
    <t>Fortalecimiento Académico</t>
  </si>
  <si>
    <t>Inversiones Académicas</t>
  </si>
  <si>
    <t>Base de datos y Bibliotéca</t>
  </si>
  <si>
    <t>Elementos de Laboratorio</t>
  </si>
  <si>
    <t>Elementos Audiovisuales</t>
  </si>
  <si>
    <t>Material Didáctico</t>
  </si>
  <si>
    <t>Otros Gastos</t>
  </si>
  <si>
    <t>Proyecto 1. IMPLEMENTACIÓN Y SEGUIMIENTO DE LA POLÍTICA DE GESTIÓN CURRICULAR</t>
  </si>
  <si>
    <t>Soporte y Mantenimiento</t>
  </si>
  <si>
    <t>Equipos de Laboratorio</t>
  </si>
  <si>
    <t>Otras Actividades</t>
  </si>
  <si>
    <t>Afiliaciones y Cuotas de Sostenimiento-Nacionales</t>
  </si>
  <si>
    <t>Participación Eventos</t>
  </si>
  <si>
    <t>Servicios Bienestar Universitario</t>
  </si>
  <si>
    <t>Afiliaciones y Cuotas de Sostenimiento Internacionales</t>
  </si>
  <si>
    <t>Movilidad Estudiantil</t>
  </si>
  <si>
    <t>Apoyos a maestrias y doctorados, asistencia a congresos, viajes de misiones académicas, asistencia a cursos</t>
  </si>
  <si>
    <t>SUB TOTAL GASTOS FUNCIONAMIENTO E INVERSION PLAN DE DESARROLLO</t>
  </si>
  <si>
    <t>GASTOS INDIRECTOS</t>
  </si>
  <si>
    <t>OTROS GASTOS</t>
  </si>
  <si>
    <t>TOTAL GASTOS</t>
  </si>
  <si>
    <t>RENDIMIENTO O SUBVENCION</t>
  </si>
  <si>
    <t>VARIABLES</t>
  </si>
  <si>
    <t>PUNTOS COORDINACIÓN</t>
  </si>
  <si>
    <t>DÍAS LABORALES</t>
  </si>
  <si>
    <t>MARGEN NETO</t>
  </si>
  <si>
    <t>Otros Gastos de Nómina</t>
  </si>
  <si>
    <t xml:space="preserve">SUBTOTAL NACIONALES </t>
  </si>
  <si>
    <t xml:space="preserve">SUBTOTAL INTERNACIONALES </t>
  </si>
  <si>
    <t>Cursos y Otros</t>
  </si>
  <si>
    <t>APLICA PARA EL PERSONAL DOCENTE Y ADMINISTRATIVO DE LA UNIDAD ACADEMICA - NACIONAL</t>
  </si>
  <si>
    <t>APLICA PARA ACTIVIDADES DE REPRESENTACION  DE LA UNIDAD ACADEMICA - NACIONAL</t>
  </si>
  <si>
    <t>APLICA PARA ACTIVIDADES DE REPRESENTACION  DE LA UNIDAD ACADEMICA - INTERNACIONAL</t>
  </si>
  <si>
    <t>INSTRUCTIVO: FAVOR DILIGENCIAR LOS ESPACIOS EN BLANCO Y  COLOCAR EL NOMBRE DEL EVENTO O ACTIVIDAD EN LA CASILLA " ACTIVIDAD/EVENTO"</t>
  </si>
  <si>
    <t>MATRICULAS -INSCRIPCIONES</t>
  </si>
  <si>
    <t>STANDS</t>
  </si>
  <si>
    <t>Provision Clientes (Estudiante</t>
  </si>
  <si>
    <t>SUAAC00001</t>
  </si>
  <si>
    <t>Centro de Diseño</t>
  </si>
  <si>
    <t>SUAAC00002</t>
  </si>
  <si>
    <t>Centro de Lenguas</t>
  </si>
  <si>
    <t>PORC. DE GASTOS INDIRECTOS / ING TOTALES.</t>
  </si>
  <si>
    <t>TOTAL PRESUPUESTO</t>
  </si>
  <si>
    <t>PARTICIPACIÓN DE INGRESOS DIFERENTES A MATRÍCULAS SOBRE INGRESOS TOTALES</t>
  </si>
  <si>
    <t>MARGEN DE RENDIMIENTO O SUBVENCIÓN</t>
  </si>
  <si>
    <t>MARGEN OPERACIONAL</t>
  </si>
  <si>
    <t>PTO - PDI</t>
  </si>
  <si>
    <t>PTO + EC</t>
  </si>
  <si>
    <t>Se contemplan los apoyos económicos para Doctorados, Maestrías y Especializaciones, y participaciones en seminarios o congresos para los docentes y administrativos.</t>
  </si>
  <si>
    <t>En éste enlace pueden registrar los eventos de capacitación o de participación de los estudiantes, celebración de actividades y reuniones académicas.</t>
  </si>
  <si>
    <t>Se contemplan actividades o eventos especiales que se desarrollen directamente con el Plan de desarrollo del Programa</t>
  </si>
  <si>
    <t>Adicionales PD</t>
  </si>
  <si>
    <t>En éste enlace pueden consultar la nómina Docente y Administrativa. Podrán ser modificadas las celdas en blanco. Se debe discriminar La dedicación por horas 2016, de los Docentes y Administrativos que tengan carga docente  bajo los siguientes parámetros. DOCENCIA- *CLAS: Horas clase; *PREP: Horas de preparación; *EXITO: Horas destinadas para el programa de éxito estudiantil  o las horas de asesoría académica; *LAB: Horas de acompañamiento a los estudiantes en laboratorios, anfiteatro, talleres, preclínicas; *TIC: Horas destinadas para el programa institucional de TIC, es decir las horas que se destinan al desarrollo de TIC (aulas virtuales). INVESTIGACION.- *FORM: Horas destinadas a Investigación Formativa; *INVEST: Horas destinadas a la investigación propiamente dicha en grupos de investigación de la Universidad, únicamente los investigadores inscritos en Cvlac de Colciencias y de acuerdo a la dedicación registrada en ese sistema. EXTENSION.- *PRACT: Horas de supervisión, dirección o coordinación de practicas profesionales (clínicas, Sociales, Organizacionales, etc.); *CONS: Horas de consultoría y proyección social; *CONT: Horas destinadas a Educ. Continuada. GEST ACAD: Horas de Gestión Académico-Administrativo.</t>
  </si>
  <si>
    <t>En éste enlace se deben registrar los Contratos por Prestación de Servicios o Cuentas de Cobro que se realizaran por concepto de  horas asesoría programas académicos, otros honorarios distintos a los convenios de docencia-servicio.</t>
  </si>
  <si>
    <t>APLICA PARA EL PERSONAL DOCENTE Y ADMINISTRATIVO DE LA UNIDAD ACADEMICA - INTERNACIONAL</t>
  </si>
  <si>
    <t>PRESUPUESTO 2018</t>
  </si>
  <si>
    <t xml:space="preserve">                                  PRESUPUESTO 2018-PLAN DE DESARROLLO</t>
  </si>
  <si>
    <t>PRESUPUESTO EDUCACIÓN CONTINUADA 2018</t>
  </si>
  <si>
    <t>INFORMACIÓN HISTÓRICA ESTUDIANTES 2014-2017 Y PROYECCION 2018</t>
  </si>
  <si>
    <t>PRONOSTICO PRESUPUESTO 2018-01</t>
  </si>
  <si>
    <t>PLAN DE LA FACULTAD 2018-01</t>
  </si>
  <si>
    <t>PRONOSTICO PRESUPUESTO 2018-02</t>
  </si>
  <si>
    <t>PLAN DE LA FACULTAD 2018-02</t>
  </si>
  <si>
    <t>DEDI 2018</t>
  </si>
  <si>
    <t>DEDICACION POR HORAS 2018</t>
  </si>
  <si>
    <t>NUCLEO ACADEMICO</t>
  </si>
  <si>
    <t>Nucleo Academico</t>
  </si>
  <si>
    <t>DATOS QUE ALIMENTAN GRAFICA DE LA HOJA "HONORARIOS"</t>
  </si>
  <si>
    <t>VALOR HORA SEMESTRE 2018</t>
  </si>
  <si>
    <t>PRIMER SEMESTRE 2018</t>
  </si>
  <si>
    <t>SEGUNDO SEMESTRE 2018</t>
  </si>
  <si>
    <t>TOTAL    2018</t>
  </si>
  <si>
    <t>En este enlace puede consultar el presupuesto para el 2018 de acuerdo al Plan de Desarrollo de su programa.</t>
  </si>
  <si>
    <t>En este enlace puede consultar el consolidado del presupuesto del programa para el 2018 más el presupuesto de los cursos de Educación Continuada que el programa piensa realizar.</t>
  </si>
  <si>
    <t>En éste enlace pueden registrar los Cursos, Seminarios, Diplomados de Educación Continuada que la unidad académica piense realizar en el 2018.</t>
  </si>
  <si>
    <t>En éste enlace pueden registrar las asesorías o consultorías que proyecta realizar en el 2018.</t>
  </si>
  <si>
    <t>TOTAL       2018</t>
  </si>
  <si>
    <t>CURSOS - SEMINARIOS - DIPLOMADOS - 2018</t>
  </si>
  <si>
    <t>En éste enlace pueden consultar las estadísticas del histórico de alumnos 2014 hasta el 2017 y la proyección 2018</t>
  </si>
  <si>
    <t>En éste enlace pueden consultar el Presupuesto del año 2017, la Ejecución del año 2017 proyectada, porcentaje de ejecución, presupuesto para el 2018 y variación porcentual entre el Presupuesto 2018 y la Ejecución 2017.También pueden anotar sus observaciones al frente de cada ítem.</t>
  </si>
  <si>
    <t>Ejec a Ago</t>
  </si>
  <si>
    <t>PRESUPUESTO 2017</t>
  </si>
  <si>
    <t>EJEC. PROY. 2017</t>
  </si>
  <si>
    <t>MEDICINA PREGRADO</t>
  </si>
  <si>
    <t>MATRICULAS - VARIACION. PTO  2017-EJEC. 2016</t>
  </si>
  <si>
    <t>GTOS PERSONAL-VARIACION PTO 2017-EJEC 2016</t>
  </si>
  <si>
    <t>GTS HONORARIOS-VARIACION PTO 2017-EJEC 2016</t>
  </si>
  <si>
    <t>GTOS GENERALES-VARIACION PTO 2017-EJEC 2016</t>
  </si>
  <si>
    <t>PARAMETROS EJECUCION</t>
  </si>
  <si>
    <t>Dpto</t>
  </si>
  <si>
    <t>ME000090 - Administración Prog Medicina</t>
  </si>
  <si>
    <t>ME003001 - Area Bioclínica Medicina</t>
  </si>
  <si>
    <t>PERIODO</t>
  </si>
  <si>
    <t>1 A 8 2017</t>
  </si>
  <si>
    <t>Fecha reporte</t>
  </si>
  <si>
    <t>Hora</t>
  </si>
  <si>
    <t>15:20 PM</t>
  </si>
  <si>
    <t>Cuenta</t>
  </si>
  <si>
    <t>Descripción</t>
  </si>
  <si>
    <t>Asignación</t>
  </si>
  <si>
    <t>Gasto</t>
  </si>
  <si>
    <t>EJEC</t>
  </si>
  <si>
    <t xml:space="preserve">Matriculas </t>
  </si>
  <si>
    <t xml:space="preserve">Inscripciones </t>
  </si>
  <si>
    <t xml:space="preserve">Devolucion Matricula </t>
  </si>
  <si>
    <t xml:space="preserve">Certificados y Constancias </t>
  </si>
  <si>
    <t xml:space="preserve">Supletorios </t>
  </si>
  <si>
    <t xml:space="preserve">Habilitaciones </t>
  </si>
  <si>
    <t xml:space="preserve">Validaciones </t>
  </si>
  <si>
    <t xml:space="preserve">Descuentos matriculas y pensio </t>
  </si>
  <si>
    <t xml:space="preserve">Venta Libros </t>
  </si>
  <si>
    <t xml:space="preserve">Ingresos por servicio de labor </t>
  </si>
  <si>
    <t>Mayor Valor Recibido Menor Val</t>
  </si>
  <si>
    <t>De provision Estudiantes</t>
  </si>
  <si>
    <t>Reintegro de Otros Costos y Ga</t>
  </si>
  <si>
    <t>Subvencion bcas donacion emple</t>
  </si>
  <si>
    <t>Auxilio de Transporte</t>
  </si>
  <si>
    <t>Intereses Sobre Cesantia</t>
  </si>
  <si>
    <t>Dotación y Suministro a Trabaj</t>
  </si>
  <si>
    <t>Capacitación al Personal</t>
  </si>
  <si>
    <t>Aportes  Administradoras de Ri</t>
  </si>
  <si>
    <t>Aportes a Entidades Promotoras</t>
  </si>
  <si>
    <t>Aportes Fondos de Pension Cesa</t>
  </si>
  <si>
    <t>Aportes cajas de compensacion</t>
  </si>
  <si>
    <t>Asesoría programas Académicos</t>
  </si>
  <si>
    <t>Honorarios Convenios y Entidad</t>
  </si>
  <si>
    <t>Honorarios Medicina Legal</t>
  </si>
  <si>
    <t>Honorarios no causados</t>
  </si>
  <si>
    <t>Equipos de Computación y Comun</t>
  </si>
  <si>
    <t>Afiliaciones y Sostenimientos</t>
  </si>
  <si>
    <t>Responsabilidad Civil y Extrac</t>
  </si>
  <si>
    <t>Seguro Accidente Estudiantil</t>
  </si>
  <si>
    <t>Correo, Portes y Telegramas</t>
  </si>
  <si>
    <t>Transporte, Fletes y Acarreos</t>
  </si>
  <si>
    <t>Internet y Base Datos</t>
  </si>
  <si>
    <t>Servicios Bienestar universita</t>
  </si>
  <si>
    <t>Mantenimiento Software</t>
  </si>
  <si>
    <t>Servicios señalización</t>
  </si>
  <si>
    <t>Otros Adecuaciones e Instalaci</t>
  </si>
  <si>
    <t>Alojamiento y Manuntención</t>
  </si>
  <si>
    <t>Otros Gastos de Viaje Salidas</t>
  </si>
  <si>
    <t>Equipo de Oficina, Muebles y E</t>
  </si>
  <si>
    <t>Depreciacion Equipo de Computo</t>
  </si>
  <si>
    <t>Depreciacion Equipo de Telecom</t>
  </si>
  <si>
    <t>Depreciacion Equipo de Laborat</t>
  </si>
  <si>
    <t>Depreciacion Equipo Instrument</t>
  </si>
  <si>
    <t>Amortizacion Programas Impleme</t>
  </si>
  <si>
    <t>Amortizacion Biblioteca</t>
  </si>
  <si>
    <t>Libros,Suscripciones,Periodico</t>
  </si>
  <si>
    <t>Gastos de Representacion y Rel</t>
  </si>
  <si>
    <t>Elementos de Aseo y Cafeteria</t>
  </si>
  <si>
    <t>Utiles, Papeleria y Fotocopias</t>
  </si>
  <si>
    <t>Elementos de Laboratorio y Ens</t>
  </si>
  <si>
    <t>Elementos de Audivisuales e In</t>
  </si>
  <si>
    <t>Elementos Roperia,Lenceria y M</t>
  </si>
  <si>
    <t>Materiales y Repuestos</t>
  </si>
  <si>
    <t>Equipo Medico Odontologico Lab</t>
  </si>
  <si>
    <t>Implemt.Devolutiv.Muebles y En</t>
  </si>
  <si>
    <t>Implementos Devolutivos Equipo</t>
  </si>
  <si>
    <t>Implementos Devolutivos Libros</t>
  </si>
  <si>
    <t>Elementos y suministros varios</t>
  </si>
  <si>
    <t>Mayor Valor Cancelado Menor Va</t>
  </si>
  <si>
    <t>Apoyo Fondo Sostenibilidad Ice</t>
  </si>
  <si>
    <t>Admisiones Y Publicidad</t>
  </si>
  <si>
    <t>Almacén</t>
  </si>
  <si>
    <t>Atención Usuario</t>
  </si>
  <si>
    <t>Rcsos Audiovisuales</t>
  </si>
  <si>
    <t>Dirección de Tecnología</t>
  </si>
  <si>
    <t>Evaluación y Planeacion</t>
  </si>
  <si>
    <t>Relac.Internacionales y Egresa</t>
  </si>
  <si>
    <t>Lab. de Simulación Clinica</t>
  </si>
  <si>
    <t>Aportes Investigaciones</t>
  </si>
  <si>
    <t>Aportes Plan de Desarrollo</t>
  </si>
  <si>
    <t>Vicerrectoria Administrativa</t>
  </si>
  <si>
    <t>ADRIANA  MARIN MORENO</t>
  </si>
  <si>
    <t>ADRIANA FELISA MOTTA BELTRAN</t>
  </si>
  <si>
    <t>ADRIANA GISELA TORRES NAVAS</t>
  </si>
  <si>
    <t>ADRIANA MARIA CRISTANCHO AREVALO</t>
  </si>
  <si>
    <t>ADRIANA MARIA ORTEGON ACUÑA</t>
  </si>
  <si>
    <t>ALBERTO ARANGO RIVADENEIRA</t>
  </si>
  <si>
    <t>ALEJANDRO DURAN CAMERO</t>
  </si>
  <si>
    <t>ALEJANDRO RODRIGUEZ DONADO</t>
  </si>
  <si>
    <t>ALEXANDRA  SANTAMARIA LOPEZ</t>
  </si>
  <si>
    <t>ALFONSO  MESA JIMENEZ</t>
  </si>
  <si>
    <t>ALFONSO RODRIGUEZ GONZALEZ</t>
  </si>
  <si>
    <t>ALVARO  FRANCO ZULUAGA</t>
  </si>
  <si>
    <t>AMPARO LEONOR RAMIREZ CORREDOR</t>
  </si>
  <si>
    <t>ANA CAMILA GARCIA LOPEZ</t>
  </si>
  <si>
    <t>ANA FILOMENA DE N.S.DEL PERPET GUERRA DE BAUTISTA</t>
  </si>
  <si>
    <t>ANA LORENA MONTEALEGRE PAEZ</t>
  </si>
  <si>
    <t>ANA MARIA BOLAÑOS FERIA</t>
  </si>
  <si>
    <t>ANA MARIA CALVACHE GAVIRIA</t>
  </si>
  <si>
    <t>ANA MARIA GUTIERREZ STRAUSS</t>
  </si>
  <si>
    <t>ANDREA DEL PILAR FIERRO LAVAO</t>
  </si>
  <si>
    <t>ANDREA DEL PILAR USECHE PATIÑO</t>
  </si>
  <si>
    <t>ANDRES  ALBERTO ALMANZAR  SALAZAR</t>
  </si>
  <si>
    <t>ANDRES FELIPE CADENA BASTIDAS</t>
  </si>
  <si>
    <t>ANDRES FELIPE CAÑON CRESPO</t>
  </si>
  <si>
    <t>ANDRES MARIANO RUBIANO ESCOBAR</t>
  </si>
  <si>
    <t>ANGELA  MILENA MARTIN  RIOS</t>
  </si>
  <si>
    <t>ANGELA MARIA JARAMILLO PINEROS</t>
  </si>
  <si>
    <t>ARBEY HERNAN MEDINA ROCHA</t>
  </si>
  <si>
    <t>ARGEMIRO  FRAGOZO MAESTRE</t>
  </si>
  <si>
    <t>BERTHA PATRICIA CALDERON ORTIZ</t>
  </si>
  <si>
    <t>BLANCA NIEVES RUIZ SUAREZ</t>
  </si>
  <si>
    <t>BRIAN  DAVID PEREZ  RIAÑO</t>
  </si>
  <si>
    <t>CAMILO ALBERTO ESCOBAR JIMENEZ</t>
  </si>
  <si>
    <t>CAMILO DE JESUS MARIA DELGADO ARJONA</t>
  </si>
  <si>
    <t>CAMILO ERNESTO POVEA COMBARIZA</t>
  </si>
  <si>
    <t>CARLOS  ALBERTO SANCHEZ  TORO</t>
  </si>
  <si>
    <t>CARLOS  ESCOBAR VARON</t>
  </si>
  <si>
    <t>CARLOS  MANUEL LOPEZ  GUZMAN</t>
  </si>
  <si>
    <t>CARLOS ALBERTO CAMPOS MARTINEZ</t>
  </si>
  <si>
    <t>CARLOS ALBERTO LEAL BUITRAGO</t>
  </si>
  <si>
    <t>CARLOS ALBERTO LEAL CONTRERAS</t>
  </si>
  <si>
    <t>CARLOS ALBERTO PARIS MAYANS</t>
  </si>
  <si>
    <t>CARLOS ANDRES CASTRO ROJAS</t>
  </si>
  <si>
    <t>CARLOS ANDRES ORTIZ TRUJILLO</t>
  </si>
  <si>
    <t>CARLOS ARTURO PEREZ ALDANA</t>
  </si>
  <si>
    <t>CARLOS AUGUSTO LUNA JASPE CAINA</t>
  </si>
  <si>
    <t>CARLOS BUSTAMANTE ROJAS</t>
  </si>
  <si>
    <t>CARLOS EDUARDO MATIZ BUENO</t>
  </si>
  <si>
    <t>CARLOS EDUARDO RANGEL GALVIS</t>
  </si>
  <si>
    <t>CARLOS ENRIQUE BLANCO QUIROZ</t>
  </si>
  <si>
    <t>CARLOS FELIPE ESCOBAR ROA</t>
  </si>
  <si>
    <t>CARMEN ESTHER ORJUELA HENAO</t>
  </si>
  <si>
    <t>CARMEN JULIANA PINO PINZON</t>
  </si>
  <si>
    <t>CARMEN LUCIA ROA BENAVIDES</t>
  </si>
  <si>
    <t>CAROLINA GUTIERREZ LOPEZ</t>
  </si>
  <si>
    <t>CATALINA VALENCIA MAYER</t>
  </si>
  <si>
    <t>CESAR  HUMBERTO TORRES  GONZALEZ</t>
  </si>
  <si>
    <t>CHANTAL CARMEN ARISTIZABAL TOBLER</t>
  </si>
  <si>
    <t>CLARA EMILSE TARAZONA BERNAL</t>
  </si>
  <si>
    <t>CLAUDIA  CIFUENTES AYA</t>
  </si>
  <si>
    <t>CLAUDIA DEL ROCIO VANEGAS MEDINA</t>
  </si>
  <si>
    <t>CLAUDIA LILIANA BUENO ANGARITA</t>
  </si>
  <si>
    <t>DANIEL ALEXANDER HUERTAS ROJAS</t>
  </si>
  <si>
    <t>DANIEL ANTONIO MONTENEGRO ESCOBAR</t>
  </si>
  <si>
    <t>DANIEL FERNANDO SASTOQUE PARISIER</t>
  </si>
  <si>
    <t>DIANA  CARMIÑA LUNA  BOTIA</t>
  </si>
  <si>
    <t>DIANA CAROLINA RUBIO LEON</t>
  </si>
  <si>
    <t>DIANA MILENA MILLAN CORTES</t>
  </si>
  <si>
    <t>DIANA PATRICIA LEAL CONTRERAS</t>
  </si>
  <si>
    <t>DIEGO MAURICIO ALDANA BARON</t>
  </si>
  <si>
    <t>DIEGO VICENTE LIZARAZO HURTADO</t>
  </si>
  <si>
    <t>DORA MARIA SUAREZ JUAN</t>
  </si>
  <si>
    <t>EDDNA BEATRIZ GALINDO GUTIERREZ</t>
  </si>
  <si>
    <t>EDGAR ANTONIO IBAÑEZ PINILLA</t>
  </si>
  <si>
    <t>EDGAR FERNANDO AGUIRRE BELLO</t>
  </si>
  <si>
    <t>EDGAR MANUEL SASTRE CIFUENTES</t>
  </si>
  <si>
    <t>EDGAR MIGUEL SARMIENTO REYES</t>
  </si>
  <si>
    <t>EDGAR RICKY ELMER GONZÁLEZ HURTADO</t>
  </si>
  <si>
    <t>EDGARD AUGUSTO FUENTES TORRADO</t>
  </si>
  <si>
    <t>EDITH LUCILA AMADOR GUTIERREZ</t>
  </si>
  <si>
    <t>EDNA MARGARITA QUINTERO CANASTO</t>
  </si>
  <si>
    <t>EDNA MONICA ORTEGA GAITAN</t>
  </si>
  <si>
    <t>EDWIN DWAN BAUTISTA SANCHEZ</t>
  </si>
  <si>
    <t>ELSA  ROJAS VILLAMIL</t>
  </si>
  <si>
    <t>ELSA LILIANA ESCOBAR ROA</t>
  </si>
  <si>
    <t>ELSA LILIANA SIERRA URIBE</t>
  </si>
  <si>
    <t>EMILIA  FEDERICI DE LA CRUZ</t>
  </si>
  <si>
    <t>ERIX EMILIO BOZON MARTINEZ</t>
  </si>
  <si>
    <t>FEDERICO GUILLERMO MARIN ARIAS</t>
  </si>
  <si>
    <t>FELIPE ANDRES VALBUENA SALCEDO</t>
  </si>
  <si>
    <t>FELIPE BERNAL SANTOS</t>
  </si>
  <si>
    <t>FIDELIGNO PARDO SIERRA</t>
  </si>
  <si>
    <t>FRANCISCO EDUARDO GONZALEZ ACOSTA</t>
  </si>
  <si>
    <t>FRANCISCO JAVIER VILLA RAMIREZ</t>
  </si>
  <si>
    <t>GERARDO  ARISTIZABAL ARISTIZABAL</t>
  </si>
  <si>
    <t>GERARDO ADOLPHS MONTES</t>
  </si>
  <si>
    <t>GERMAN  BARON CASTAÑEDA</t>
  </si>
  <si>
    <t>GERMAN DARIO BERNAL ROMERO</t>
  </si>
  <si>
    <t>GERMAN ROBERTO VALENZUELA PEREZ</t>
  </si>
  <si>
    <t>GILMA RODRIGUEZ ESCOBAR</t>
  </si>
  <si>
    <t>GLORIA SOFIA RINCON GAMA</t>
  </si>
  <si>
    <t>GUILLERMO  CADENA MANTILLA</t>
  </si>
  <si>
    <t>GUILLERMO ORTIZ RUIZ</t>
  </si>
  <si>
    <t>GUSTAVO  LEE ACOSTA</t>
  </si>
  <si>
    <t>GUSTAVO  MAYA ARANGO</t>
  </si>
  <si>
    <t>GUSTAVO ALFONSO DIAZ MUÑOZ</t>
  </si>
  <si>
    <t>HENRY GARCIA MONCALEANO</t>
  </si>
  <si>
    <t>HERNAN  PEREZ TORRES</t>
  </si>
  <si>
    <t>HERNANDO MATIZ CAMACHO</t>
  </si>
  <si>
    <t>HERNANDO MATIZ MEJIA</t>
  </si>
  <si>
    <t>HUGO HERNANDO NOSSA MORENO</t>
  </si>
  <si>
    <t>INDIRA MABEL RINCÓN ROBAYO</t>
  </si>
  <si>
    <t>IRENE CATALINA PARRA GARCIA</t>
  </si>
  <si>
    <t>IVAN DARIO GONZALEZ ORTIZ</t>
  </si>
  <si>
    <t>IVONNE CAROLINA FORERO SARMIENTO</t>
  </si>
  <si>
    <t>JAIME  CASASBUENAS AYALA</t>
  </si>
  <si>
    <t>JAIME ALBERTO ESCOBAR TRIANA</t>
  </si>
  <si>
    <t>JAIME EDUARDO GUIZA ROJAS</t>
  </si>
  <si>
    <t>JAIRO ALBERTO ZULUAGA GOMEZ</t>
  </si>
  <si>
    <t>JAVIER ERNESTO SANDOVAL CADENA</t>
  </si>
  <si>
    <t>JAVIER FRANCISCO TORRES ZAFRA</t>
  </si>
  <si>
    <t>JESUS ARTURO VALENCIA FERNANDEZ</t>
  </si>
  <si>
    <t>JOHAN ALEJANDRO HOYOS CERON</t>
  </si>
  <si>
    <t>JOHN WILVERTH VILLEGAS BERMUDEZ</t>
  </si>
  <si>
    <t>JOHNATAN MEZA DE LOS RIOS</t>
  </si>
  <si>
    <t>JORGE  SANDOVAL PARIS</t>
  </si>
  <si>
    <t>JORGE ALBERTO ALDAS GRACIA</t>
  </si>
  <si>
    <t>JORGE ANDRES VALENCIA SERNA</t>
  </si>
  <si>
    <t>JORGE AUGUSTO RODRIGUEZ ORTIZ</t>
  </si>
  <si>
    <t>JORGE ERNESTO NIÑO GONZALEZ</t>
  </si>
  <si>
    <t>JORGE HUMBERTO ARISTIZABAL MAYA</t>
  </si>
  <si>
    <t>JORGE LUIS GAVIRIA CASTELLANOS</t>
  </si>
  <si>
    <t>JORGE LUIS MONROY DIAZ</t>
  </si>
  <si>
    <t>JOSE  ANDRES ROJAS  AVILA</t>
  </si>
  <si>
    <t>JOSE ANGEL PIÑEROS DAZA</t>
  </si>
  <si>
    <t>JOSE ARMANDO LOPEZ LOPEZ</t>
  </si>
  <si>
    <t>JOSE IGNACIO VALENZUELA MOTTA</t>
  </si>
  <si>
    <t>JOSE JULIAN PEREZ CORDERO</t>
  </si>
  <si>
    <t>JOSE LUIS LOPEZ PEREZ</t>
  </si>
  <si>
    <t>JOSE LUIS ROA BENAVIDES</t>
  </si>
  <si>
    <t>JOSE ROBERTO JURADO ZAMBRANO</t>
  </si>
  <si>
    <t>JOSE ROBERTO VELEZ MUNERA</t>
  </si>
  <si>
    <t>JUAN  CARLOS CORTES  MILLAN</t>
  </si>
  <si>
    <t>JUAN CARLOS LOPEZ LEZAMA</t>
  </si>
  <si>
    <t>JUAN CARLOS LOPEZ TRUJILLO</t>
  </si>
  <si>
    <t>JUAN CARLOS SANCHEZ PARIS</t>
  </si>
  <si>
    <t>JUAN MANUEL DUQUE VARGAS</t>
  </si>
  <si>
    <t>JUANITA GARCIA LOPEZ</t>
  </si>
  <si>
    <t>JULIO CESAR GOMEZ RINCON</t>
  </si>
  <si>
    <t>KAREN VANESSA MUÑOZ CHAMORRO</t>
  </si>
  <si>
    <t>KARINA  ALEJANDRA DUARTE  MARTÍNEZ</t>
  </si>
  <si>
    <t>LAGY PAOLA ACEVEDO CORZO</t>
  </si>
  <si>
    <t>LAURA  JOHANNA CORTES  SALAZAR</t>
  </si>
  <si>
    <t>LEIDY ALEXANDRA ROBLES LOPEZ</t>
  </si>
  <si>
    <t>LEONOR MARCELA CALLE PAEZ</t>
  </si>
  <si>
    <t>LILIA DEL PILAR MILLAN FONTECHE</t>
  </si>
  <si>
    <t>LILIAM PAOLA PEÑA BELTRAN</t>
  </si>
  <si>
    <t>LILIANA  MARCELA RODELO  MARTINEZ</t>
  </si>
  <si>
    <t>LILIANA LADINO MELENDEZ</t>
  </si>
  <si>
    <t>LINA MARIA TOLEDO FRANCO</t>
  </si>
  <si>
    <t>LUCIA MONCADA ROA</t>
  </si>
  <si>
    <t>LUIS ALIRIO RODRIGUEZ</t>
  </si>
  <si>
    <t>LUIS EDUARDO CORREA PERDOMO</t>
  </si>
  <si>
    <t>LUIS EDUARDO SILVA FRANCO</t>
  </si>
  <si>
    <t>LUIS ENRIQUE AYALA RAMIREZ</t>
  </si>
  <si>
    <t>LUIS FERNAN ISAZA HENAO</t>
  </si>
  <si>
    <t>LUIS GUILLERMO ISAZA GOMEZ</t>
  </si>
  <si>
    <t>LUIS HERNANDO BAUTISTA MURCIA</t>
  </si>
  <si>
    <t>LUIS MIGUEL SUAREZ BRICEÑO</t>
  </si>
  <si>
    <t>LUISA FERNANDA ALARCON RIVERA</t>
  </si>
  <si>
    <t>LUISA FERNANDA DELGADILLO CALERO</t>
  </si>
  <si>
    <t>LUZ ASTRID CELIS CASTAÑEDA</t>
  </si>
  <si>
    <t>MAGDA RUTH CASTAÑEDA MURCIA</t>
  </si>
  <si>
    <t>MANUEL  ALEJANDRO TORRES  GARCIA</t>
  </si>
  <si>
    <t>MARGARITA  RUIZ RUBIANO</t>
  </si>
  <si>
    <t>MARGARITA SIERRA DE JARAMILLO</t>
  </si>
  <si>
    <t>MARIA CAROLINA DIAZGRANADOS LOZANO</t>
  </si>
  <si>
    <t>MARIA CATALINA BAGES MESA</t>
  </si>
  <si>
    <t>MARIA CONCEPCION BARRIOS SENIOR</t>
  </si>
  <si>
    <t>MARIA CONSTANZA QUINTERO ARGUELLO</t>
  </si>
  <si>
    <t>MARIA DEL PILAR CASASBUENAS DIAZ</t>
  </si>
  <si>
    <t>MARIA EMILIA ROA BENAVIDES</t>
  </si>
  <si>
    <t>MARIA ENOICE CIFUENTES SANCHEZ</t>
  </si>
  <si>
    <t>MARIA ESTHER ARIZA CARVAJAL</t>
  </si>
  <si>
    <t>MARIA FERNANDA ISAZA GOMEZ</t>
  </si>
  <si>
    <t>MARIA ISABEL MEDINA DE BEDOUT</t>
  </si>
  <si>
    <t>MARIA LUCIA GUTIERREZ GOMEZ</t>
  </si>
  <si>
    <t>MARIA MONTSERRAT URIEL CALVO</t>
  </si>
  <si>
    <t>MARIO  FAJARDO BOLAÑOS</t>
  </si>
  <si>
    <t>MARTHA ELENA GARCIA FERNANDEZ</t>
  </si>
  <si>
    <t>MARTHA IMELDA LINERO DE LUQUE</t>
  </si>
  <si>
    <t>MARTHA PATRICIA GRACIA GALVEZ</t>
  </si>
  <si>
    <t>MIGUEL ANTONIO GUZMAN URREGO</t>
  </si>
  <si>
    <t>MIGUEL EDUARDO MARTINEZ SANCHEZ</t>
  </si>
  <si>
    <t>MIGUEL ERNESTO OTERO CADENA</t>
  </si>
  <si>
    <t>MIGUEL RUIZ RUBIANO</t>
  </si>
  <si>
    <t>MONICA ALEJANDRA RIVERA CARDENAS</t>
  </si>
  <si>
    <t>MONICA ESTHER ZAMBRANO VERA</t>
  </si>
  <si>
    <t>MONICA ISABEL LOZANO ROBAYO</t>
  </si>
  <si>
    <t>NICOLAS BARBOSA DIAZ</t>
  </si>
  <si>
    <t>NINI CAROL BEJARANO  TORRES</t>
  </si>
  <si>
    <t>NORMA LILIANA POSADA PALACIO</t>
  </si>
  <si>
    <t>OMAR RAMON MEJIA MEJIA</t>
  </si>
  <si>
    <t>OSCAR BENITEZ CORTES</t>
  </si>
  <si>
    <t>OSCAR DE JESUS PIANETA RODRIGUEZ</t>
  </si>
  <si>
    <t>OSCAR IVAN CORREA JARAMILLO</t>
  </si>
  <si>
    <t>OTTO BAUTISTA GAMBOA</t>
  </si>
  <si>
    <t>PAOLA ANDREA TEJADA MORALES</t>
  </si>
  <si>
    <t>PARRA AVILA MIGUEL HERNANDO</t>
  </si>
  <si>
    <t>PAULA ALEXANDRA FERNANDEZ</t>
  </si>
  <si>
    <t>PAULA MARCELA MENDOZA VERGEL</t>
  </si>
  <si>
    <t>PEDRO  GOMEZ LOZANO</t>
  </si>
  <si>
    <t>PEDRO VARGAS NAVARRO</t>
  </si>
  <si>
    <t>RAFAEL ALBERTO FLETSCHER FERNANDEZ</t>
  </si>
  <si>
    <t>RAFAEL ANTONIO SANCHEZ PARIS</t>
  </si>
  <si>
    <t>RAFAEL ANTONIO SANDOVAL PARIS</t>
  </si>
  <si>
    <t>RAFAEL HERNANDO JIMENEZ OSORIO</t>
  </si>
  <si>
    <t>RAFAEL JOSE MIRANDA JIMENEZ</t>
  </si>
  <si>
    <t>REGGIE GARCIA ROBLES</t>
  </si>
  <si>
    <t>RICARDO ANDRES ALDANA OLARTE</t>
  </si>
  <si>
    <t>RICARDO DUARTE FORERO</t>
  </si>
  <si>
    <t>ROBERTO  DURAN JARAMILLO</t>
  </si>
  <si>
    <t>ROCIO CAROLINA ROZO CIFUENTES</t>
  </si>
  <si>
    <t>RODOLFO  VALENTIN BARRIOS  DEL RIO</t>
  </si>
  <si>
    <t>RODRIGO ALFONSO BAQUERO GIRALDO</t>
  </si>
  <si>
    <t>RODRIGO CASTRO REBOLLEDO</t>
  </si>
  <si>
    <t>ROSA MATILDE ESLAVA DE GARCIA</t>
  </si>
  <si>
    <t>ROSA YANETH TORRES MEDINA</t>
  </si>
  <si>
    <t>ROY FRANCISCO RIASCOS CASTAÑEDA</t>
  </si>
  <si>
    <t>RUBEN DANIEL LUNA ALVAREZ</t>
  </si>
  <si>
    <t>SANDRA  BRESCIANI OTERO</t>
  </si>
  <si>
    <t>SANDRA LILIANA JAIME SILVA</t>
  </si>
  <si>
    <t>SANDRA LUCIA VARGAS CRUZ</t>
  </si>
  <si>
    <t>SANDRA MATIZ MEJIA</t>
  </si>
  <si>
    <t>SANDRA PAOLA PERDOMO VELASQUEZ</t>
  </si>
  <si>
    <t>SANDRA PATRICIA ESPINOSA LUQUE</t>
  </si>
  <si>
    <t>SANDY JIMENA CAMARGO CHAPARRO</t>
  </si>
  <si>
    <t>SANTIAGO  GALVIS VILLAMIZAR</t>
  </si>
  <si>
    <t>SERGIO  HERNANDEZ VELA</t>
  </si>
  <si>
    <t>SILVANA REYES SAAVEDRA</t>
  </si>
  <si>
    <t>TIANA  CIAN LEAL</t>
  </si>
  <si>
    <t>WEIMAR ARIZA ESCAMILLA</t>
  </si>
  <si>
    <t>WILLIAM IVAN LOPEZ CARDENAS</t>
  </si>
  <si>
    <t>WILSON  VILLARREAL CANTILLO</t>
  </si>
  <si>
    <t>WILSON ALFONSO MEJIA NARANJO</t>
  </si>
  <si>
    <t>XIMENA CAROLINA ROMERO INFANTE</t>
  </si>
  <si>
    <t>YIRA ILIANA TORRES LOPEZ</t>
  </si>
  <si>
    <t>ZOILA EMILIA CASTAÑEDA MURCIA</t>
  </si>
  <si>
    <t>DEDI 2017</t>
  </si>
  <si>
    <t>DIANA CAROLINA SANCHEZ CALDERON</t>
  </si>
  <si>
    <t>HUGO IGNACIO CARDENAS LOPEZ</t>
  </si>
  <si>
    <t>MARTHA LUCIA FORERO DE GUTIERREZ</t>
  </si>
  <si>
    <t>ERICA JOHANA LADINO OLIVEROS</t>
  </si>
  <si>
    <t>LUZ MERY RAMIREZ PEÑA</t>
  </si>
  <si>
    <t>JOHANNA ISABEL CARRION TORRES</t>
  </si>
  <si>
    <t>OLGA PATRICIA GARZON VALDERRAMA</t>
  </si>
  <si>
    <t>LUZ MARINA ZALAMEA ORTIZ</t>
  </si>
  <si>
    <t>MONICA JULIETH GONZALEZ ATRA</t>
  </si>
  <si>
    <t>ADALINDA GOMEZ</t>
  </si>
  <si>
    <t>|</t>
  </si>
  <si>
    <t>NOMINA ACTUAL DOCENTES.</t>
  </si>
  <si>
    <t>TOTAL ADMINISTRACION</t>
  </si>
  <si>
    <t>SUBTOTAL NUEVOS DOCENTES II PERIODO ACAD.</t>
  </si>
  <si>
    <t>SUBTOTAL NUEVOS DOCENTES I PERIODO ACAD.</t>
  </si>
  <si>
    <t>SUBTOTAL NOMINA ACTUAL DOCENTES.</t>
  </si>
  <si>
    <t>TOTAL NOMINA DOCENTE</t>
  </si>
  <si>
    <t>MATRICULAS - VARIACION. PTO  2018-EJEC. 2017</t>
  </si>
  <si>
    <t>GTOS PERSONAL-VARIACION PTO 2018-EJEC 2017</t>
  </si>
  <si>
    <t>GTS HONORARIOS-VARIACION PTO 2018-EJEC 2017</t>
  </si>
  <si>
    <t>GTOS GENERALES-VARIACION PTO 2018-EJEC 2017</t>
  </si>
  <si>
    <t>Plaza rural que con Ana Lorena Montealgre termina en Mayo de 2018 pero se recomienda continuar</t>
  </si>
  <si>
    <t>No continúa con oos puntos de coordinación en Medicina Interna. Se retira de Core faculty y pasa a contrato anual</t>
  </si>
  <si>
    <t>Se retira de la nómina</t>
  </si>
  <si>
    <t>Se retira del pregrado</t>
  </si>
  <si>
    <t>Se retira de la nómina en Med Comunitaria</t>
  </si>
  <si>
    <t>Se retira de la nómina en área comuniatria</t>
  </si>
  <si>
    <t>Se promueve a Core faculty</t>
  </si>
  <si>
    <t>Se sugiere promover a profesora titular</t>
  </si>
  <si>
    <t>ANA ISABEL ROSSELLI</t>
  </si>
  <si>
    <t>No aparece en Nómina de 2017 - 2 ingresÓ CON 20 HORAS el 1 de noviembre como coordinadora de internado</t>
  </si>
  <si>
    <t>Veinte horas docente que reemplaza a Karem Muñoz</t>
  </si>
  <si>
    <t>Veinte horas docente que remplaza a Carolina Díaz Granados</t>
  </si>
  <si>
    <t>Docente que remplaza a Sandra carolina Corredor que se retiró en julio de 2017 con 20 horas</t>
  </si>
  <si>
    <t>Docente de 5 horas</t>
  </si>
  <si>
    <t>Docente 5 horas</t>
  </si>
  <si>
    <t>Docente nuevo con 20 horas para introducción a la investigación que son tomadas de las 20 horas que dejó Alfonso Mesa.</t>
  </si>
  <si>
    <t>Congreso Nacional de Salud Pública</t>
  </si>
  <si>
    <t>Sept</t>
  </si>
  <si>
    <t>Congreso Internal de Med Familiar</t>
  </si>
  <si>
    <t>Congreso de Educación Médica</t>
  </si>
  <si>
    <t>Junio</t>
  </si>
  <si>
    <t>Cursos de actualización en S Sex y Rep.</t>
  </si>
  <si>
    <t>varios</t>
  </si>
  <si>
    <t>Congreso Nacional de Med. Interna, Qx, G-O y Pediatria</t>
  </si>
  <si>
    <t>anual</t>
  </si>
  <si>
    <t>Congreso Nacional de Psiquiatría</t>
  </si>
  <si>
    <t>Oct.</t>
  </si>
  <si>
    <t>Congreso de Genética y Ca.</t>
  </si>
  <si>
    <t>Congreso de Ginecobstetricia, Pediatría, Qx. Y Medicina Interna.</t>
  </si>
  <si>
    <t>ASCOFAME</t>
  </si>
  <si>
    <t>México</t>
  </si>
  <si>
    <t>Texas</t>
  </si>
  <si>
    <t>Taller del Enfoque BPS</t>
  </si>
  <si>
    <t>Oct</t>
  </si>
  <si>
    <t>Concurso Medicina U. El Rosario</t>
  </si>
  <si>
    <t>Seminarios de Integración</t>
  </si>
  <si>
    <t>Mayo y Oct</t>
  </si>
  <si>
    <t>Jornada de Integración  de GinecoObst</t>
  </si>
  <si>
    <t>Jornada de integración en Pediatría</t>
  </si>
  <si>
    <t xml:space="preserve">Salida de Integración V semestre </t>
  </si>
  <si>
    <t>Abril y Sept</t>
  </si>
  <si>
    <t>Concurso de atención primaria</t>
  </si>
  <si>
    <t>Mayo y Oct.</t>
  </si>
  <si>
    <t>Actualización libro de Ginecoobstetricia</t>
  </si>
  <si>
    <t>Libro de Nutrición</t>
  </si>
  <si>
    <t>Harvey</t>
  </si>
  <si>
    <t>4 computadores de escritorio</t>
  </si>
  <si>
    <t>2 escritorios para oficina de Medicina Comunitaria e investigaciones</t>
  </si>
  <si>
    <t>Responsabilidad social siembra de árboles</t>
  </si>
  <si>
    <t xml:space="preserve">DIP. EN MEDICINA INTEGRATIVA Y BASES HOMEOPÁTICAS CON ÉNFASIS EN HOMOTOXICOLOGÍA </t>
  </si>
  <si>
    <t>CURSO VIRTUAL TNT ABBOTT</t>
  </si>
  <si>
    <t>DIPLOMADO GESTIÓN DE PROYECTOS EN PROCESOS DE CUIDADO NUTRICIONAL</t>
  </si>
  <si>
    <t>DIPLOMADO EN RESIDENCIAS MÉDICAS (2 COHORTES AL AÑO)</t>
  </si>
  <si>
    <t>CONGRESO PEDIATRIA</t>
  </si>
  <si>
    <t>DIPLOMADO DE ABORDAJE DEL PACIENTE ONCOLÓGICO - ABBOTT</t>
  </si>
  <si>
    <t>CURSO DE RESPONSABILIDAD MÉDICO LEGAL</t>
  </si>
  <si>
    <t>GESTIÓN DEL RIESGO - COMPENSAR</t>
  </si>
  <si>
    <t>DISPENSARIO DE MEDICAMENTOS DE MARCA</t>
  </si>
  <si>
    <t xml:space="preserve"> JORNADA DE ACTUALIZACIÓN GERENCIA DE LA CALIDAD EN SALUD </t>
  </si>
  <si>
    <t>DIPLOMADO EN CALIFICACIÓN DE PÉRDIDA DE LA CAPACIDAD LABORAL Y OCUPACIONAL</t>
  </si>
  <si>
    <t>DIPLOMADO TRASTORNOS DEL NEURODESARROLLO DETECCIÓN TEMPRANA E INTERVENCIÓN</t>
  </si>
  <si>
    <t>CURSO INTENSIVO FARMACOECONOMÍA</t>
  </si>
  <si>
    <t>DIPLOMADO EN EHEALTH "TRANSFORMADO LA SALUD MEDIANTE EL USO DE LAS TIC"</t>
  </si>
  <si>
    <t>CONGRESO ANUAL DE MEDICINA INTERNA</t>
  </si>
  <si>
    <t>ECOGRAFÍA MUSCULOESQUELÉTICA</t>
  </si>
  <si>
    <t>CONGRESO MEDICINA FÍSICA Y REHABILITACIÓN</t>
  </si>
  <si>
    <t>DIPLOMADO EN ACUPUNTURA Y MOXIBUSTIÓN</t>
  </si>
  <si>
    <t>CONGRESO MEDICINA FAMILIAR</t>
  </si>
  <si>
    <t>21,4% Incremento</t>
  </si>
  <si>
    <t>se recomienda subir a 5 horas ya que es coordinadora de pediatria y tiene menos horas</t>
  </si>
  <si>
    <t>Se retira nómina comunitaria</t>
  </si>
  <si>
    <t>Se sugiere pasar de 10 a 20 horas, práctica</t>
  </si>
  <si>
    <t>Pasa de 40 a 20 horas, cambio de contrato</t>
  </si>
  <si>
    <t>Se retira de nómina</t>
  </si>
  <si>
    <t>Error en Información decdicación 2018 (40 horas)</t>
  </si>
  <si>
    <t>Error en Información decdicación 2018 (30 horas)</t>
  </si>
  <si>
    <t>Magister</t>
  </si>
  <si>
    <t>Simposio Internacional en Salud Mental</t>
  </si>
  <si>
    <t>Agosto</t>
  </si>
  <si>
    <t>Mesa Sentra</t>
  </si>
  <si>
    <t>Equipo para integración de Morfología, Medicina Interna y Patología)</t>
  </si>
  <si>
    <t>Anfiteatro</t>
  </si>
  <si>
    <t>Nueva generación por licencia</t>
  </si>
  <si>
    <t>Laboratorio de Simulación</t>
  </si>
  <si>
    <t>SUBRED INTEGRADA DE SERVICIOS DE SALUD SUROCCIDENTE USS OCCIDENTE DE KENNEDY ( PREGRADO-INTERNADO)</t>
  </si>
  <si>
    <t>SUBRED INTEGRADA DE SERVICIOS CENTROORIENTE USS SANTA CLARA</t>
  </si>
  <si>
    <t>HOSPITAL UNIVERSITARIO CLINICA SAN RAFAEL</t>
  </si>
  <si>
    <t>HOSPITAL INFANTIL UNIVERSITARIO DE SAN JOSE (PREGRADO-INTERNADO)</t>
  </si>
  <si>
    <t>COLSUBSIDIO</t>
  </si>
  <si>
    <t xml:space="preserve">FUNDACION CARDIOINFANTIL (INTERNADO) </t>
  </si>
  <si>
    <t>FUNDACION CLINICA ABOOD SHAIO (INTERNADO)</t>
  </si>
  <si>
    <t>SUBRED INTEGRADA DE SERVICIOS DE SALUD NORTE USS SUBA</t>
  </si>
  <si>
    <t>HOSPITAL UNIVERSITARIO DE LA SAMARITANA ( PREGRADO- INTERNADO)</t>
  </si>
  <si>
    <t>CLINICA LA INMACULADA</t>
  </si>
  <si>
    <t>SUBRED INTEGRADA DE SERVICIOS DE SALUD SUROCCIDENTE USS ALCALA-ARGELIA-PIO XII</t>
  </si>
  <si>
    <t>SUBRED INTEGRADA DE SERVICIOS DE SALUD NORTE USS USAQUEN</t>
  </si>
  <si>
    <t>JAVESALUD IPS</t>
  </si>
  <si>
    <t>HOSPITAL EL SALVADOR DE UBATE</t>
  </si>
  <si>
    <t>SUBRED INTEGRADA DE SERVICIOS DE SALUD NORTE USS SIMON BOLIVAR (INTERNADO-PREGRADO)</t>
  </si>
  <si>
    <t>CLINICA FUNDACION SALUD BOSQUE (PREGRADO-INTERNADO)</t>
  </si>
  <si>
    <t>SUBRED INTEGRADA DE SERVICIOS DESALUD NORTE USS ENGATIVA (PREGRADO-INTERNADO)</t>
  </si>
  <si>
    <t>HOSPITAL SAN VICENTE FUNDACION</t>
  </si>
  <si>
    <t>INSTITUTO DE MEDICINA LEGAL</t>
  </si>
  <si>
    <t>HOSPITAL UNIVERSITARIO HERNANDO MONCALEANO-NEIVA ( INTERNADO)</t>
  </si>
  <si>
    <t>CLINICA DE LA PAZ</t>
  </si>
  <si>
    <t>CLINICA CHIA</t>
  </si>
  <si>
    <t>HOSPITAL REGIONAL DE SOGAMOSO</t>
  </si>
  <si>
    <t>CLINICA MONSERRAT</t>
  </si>
  <si>
    <t xml:space="preserve">HOSPITAL SAN ANTONIO DE CHIA </t>
  </si>
  <si>
    <t>CAJA DE COMPENSACION COMPENSAR</t>
  </si>
  <si>
    <t>ORGANIZACIÓN SANITAS S.A.</t>
  </si>
  <si>
    <t>HOSPITAL PABLO TOBON URIBE</t>
  </si>
  <si>
    <t>HOSPITAL MILITAR CENTRAL</t>
  </si>
  <si>
    <t>INSTITUTO NACIONAL DE CANCEROLOGIA</t>
  </si>
  <si>
    <t>DISAN -HOSPITAL DE LA POLICIA</t>
  </si>
  <si>
    <t xml:space="preserve">HOSPITAL FEDERICO LLERAS ACOSTA- IBAGUE </t>
  </si>
  <si>
    <t>CLINICA SOMA</t>
  </si>
  <si>
    <t>FUNDACION SANTA FE DE BOGOTA</t>
  </si>
  <si>
    <t>INSTITUTO DE ORTTOPEDIA INFANTIL ROOSEVELT</t>
  </si>
  <si>
    <t xml:space="preserve">Se retira de Core faculty y pasa a contrato anual. </t>
  </si>
  <si>
    <t>No cotinua</t>
  </si>
  <si>
    <t>MARIA CRISTINA QUEVEDO</t>
  </si>
  <si>
    <t>NELSON CUTIN</t>
  </si>
  <si>
    <t>JAVIER ROMERO (tiempo nuevo)</t>
  </si>
  <si>
    <t>ESTEBAN FRANCO (tiempo nuevo)</t>
  </si>
  <si>
    <t>GABRIEL RODRIGUEZ (tiempo nuevo)</t>
  </si>
  <si>
    <t>HOSPITAL KENNEDY</t>
  </si>
  <si>
    <t>VII SEMESTRE</t>
  </si>
  <si>
    <t>MEDICINA INTERNA</t>
  </si>
  <si>
    <t>VIII SEMESTRE</t>
  </si>
  <si>
    <t>CIRUGIA</t>
  </si>
  <si>
    <t>IX SEMESTRE</t>
  </si>
  <si>
    <t>GINECOLOGIA</t>
  </si>
  <si>
    <t>X SEMESTRE</t>
  </si>
  <si>
    <t>PEDIATRIA</t>
  </si>
  <si>
    <t>HOSPITAL SANTA CLARA</t>
  </si>
  <si>
    <t xml:space="preserve">HOSPITAL SAN RAFAEL </t>
  </si>
  <si>
    <t>HOSPITAL SAN JOSE</t>
  </si>
  <si>
    <t>HOSPITAL DE SUBA</t>
  </si>
  <si>
    <t>HOSPITAL SAN SALVADOR DE UBATE</t>
  </si>
  <si>
    <t>HOSPITAL SAMARITANA ZIPAQUIRA</t>
  </si>
  <si>
    <t>CLINICA COLSUBSIDIO</t>
  </si>
  <si>
    <t>CLASES PEDIATRIA UNIVERSIDAD EL BOSQUE</t>
  </si>
  <si>
    <t>VLADIMIR MUÑOZ R.</t>
  </si>
  <si>
    <t>CLASES GINECOLOGIA UNIVERSIDAD EL BOSQUE</t>
  </si>
  <si>
    <t>LUZ MARCELA CELIS</t>
  </si>
  <si>
    <t>HOSPITAL ROOSVEELT AIEPI</t>
  </si>
  <si>
    <t>OFICINA EDUCACION</t>
  </si>
  <si>
    <t>PABLO ALBERTO CHALELA MANTILLA</t>
  </si>
  <si>
    <t>Psiquiatría de enlace en Ginecología y Obstetricia</t>
  </si>
  <si>
    <t>80.000.oo</t>
  </si>
  <si>
    <t>CLINICA META</t>
  </si>
  <si>
    <t>GINECOLOGÍA</t>
  </si>
  <si>
    <t>MEDICINA LEGAL</t>
  </si>
  <si>
    <t>TECNOLOGOS MEDICINA LEGAL</t>
  </si>
  <si>
    <t>DOLORES CORZO</t>
  </si>
  <si>
    <t>TEXTOS BASICOS EN MEDIO DIGITAL</t>
  </si>
  <si>
    <t>Eureka-Editorial medica panamericana-DIGITAL</t>
  </si>
  <si>
    <t>thonson reuters</t>
  </si>
  <si>
    <t>W of sciences. Recurso de apoyo a la investigacion</t>
  </si>
  <si>
    <t>Indices de revistas. Gestion del concoimiento</t>
  </si>
  <si>
    <t>Matriculados-ser pilo-repitentes-reservas cupo</t>
  </si>
  <si>
    <t>repitentes y tres pce</t>
  </si>
  <si>
    <t>congreso cirugia</t>
  </si>
  <si>
    <t>congreso radiologia</t>
  </si>
  <si>
    <t>congreso fisiatria</t>
  </si>
  <si>
    <t xml:space="preserve"> congreso ortopedia</t>
  </si>
  <si>
    <t>congreso oftalmo</t>
  </si>
  <si>
    <t>congreso medicina interna</t>
  </si>
  <si>
    <t>1 semestre</t>
  </si>
  <si>
    <t>abril y sept</t>
  </si>
  <si>
    <t>As. De Fac de Med Basadas en Comunidad-NETWORK-TUFH</t>
  </si>
  <si>
    <t>Rev Salud Bosque 2 números año</t>
  </si>
  <si>
    <t>Disminuye 10 horas se carga a postgrado urología</t>
  </si>
  <si>
    <t>disminuye 20 horas. Se pasa 20 hrs al postgrado de fisiatría y rehabilitacdión</t>
  </si>
  <si>
    <t>Se retira</t>
  </si>
  <si>
    <t xml:space="preserve">Se retiro </t>
  </si>
  <si>
    <t>Sube a 20 horas Toma 10 hrs de Carlos Leal Buitrago)y pasa a Coordinación de Medicina Interna y paga por puntos de coordinación</t>
  </si>
  <si>
    <t>Aumenta 5 horas de las dejadas por Karen Muñoz Chamorro</t>
  </si>
  <si>
    <t>Se incrementan 5 hrs. Se tonan 5 de las 20 dejadas por Karen Muñoz</t>
  </si>
  <si>
    <t>Ingresa como profesora nucleo de facultad (core faculty)</t>
  </si>
  <si>
    <t>Toma 10 hrs de las 20 dejadas por Karen Muñoz</t>
  </si>
  <si>
    <t>No continua. Se retira</t>
  </si>
  <si>
    <t>toma 20 hrs dejadas por Maria Carolina Diaz Granados</t>
  </si>
  <si>
    <t>SUBE 10 HORAS, TOMADAS DE CARLOS ENRIQUE BLANCO (5hRS) Y DE OSCAR IVAN CORREA JARAMILLO (5HRS)</t>
  </si>
  <si>
    <t>Toma 20 hrs de las 40 dejadas por Ivonne Forero</t>
  </si>
  <si>
    <t>Incrementa 5 horas . Tomando las 5 hrs dejadas por Lina Maria Toledo</t>
  </si>
  <si>
    <t>Entra como profesor core faculty</t>
  </si>
  <si>
    <t>Se termina el sobresueldo y se  pasa al Dr Rafael Antonio Guerrero</t>
  </si>
  <si>
    <t>Toma 20 hrs dejadas por el profesor Alfonso Mesa</t>
  </si>
  <si>
    <t>SANDRA MILENA CORREDOR</t>
  </si>
  <si>
    <t>REEMPLAZO SANDRA CORREDOR (20hRS)</t>
  </si>
  <si>
    <t>Reemplazo Gutierrez Gómez María lucía (20 horas)</t>
  </si>
  <si>
    <t>Reemplazo Camilo Povea (20 horas)</t>
  </si>
  <si>
    <t xml:space="preserve">Reemplazo María Mónica Barrera (20Hrs) </t>
  </si>
  <si>
    <t>MARIA MONICA BARRERA</t>
  </si>
  <si>
    <t>TOMA 2 PUNTOS DE COORDINACIÓN DEJADOS POR Eddna Galindo</t>
  </si>
  <si>
    <t>MEDICO SERVICIO SOCIAL</t>
  </si>
  <si>
    <t>REEMPLAZO ANGELA MILENA MARTIN RIOS (40hRS)</t>
  </si>
  <si>
    <t>REEMPLAZO MARIA CRISTINA QUEVEDO 40 HRS</t>
  </si>
  <si>
    <t>REEMPLAZO DE MIGUEL EDUARDO MARTINEZ 20 HRS</t>
  </si>
  <si>
    <t>REEMPLAZO DE JAIRO ALBERTO ZULUAGA GOMEZ (20HRS)</t>
  </si>
  <si>
    <t>REEMPLAZO 5 HRS CARLOS LEAL BUITRAGO</t>
  </si>
  <si>
    <t>Se retiran puntos de coordinación</t>
  </si>
  <si>
    <t>Se adiciona dos puntos de coordinación tomados de la dra Carmen Lucia Roa</t>
  </si>
  <si>
    <t>Toma 2 hrs de las 12 hrs dejadas por Ivan Gonzalez</t>
  </si>
  <si>
    <t>Se retiran dos puntos de coordinación de internado</t>
  </si>
  <si>
    <t xml:space="preserve">REEMPLAZO DE 20 HRS IVONNE FORERO </t>
  </si>
  <si>
    <t>REEMPLAZO 5HRS NELSON COUTIN</t>
  </si>
  <si>
    <t>Jeadran Nevardo Malagón Rojas REEMPLAZA 20h MARTHA LINEROS</t>
  </si>
  <si>
    <t>REEMPLAZO 20 HRS SERGIO HERNANDEZ</t>
  </si>
  <si>
    <t>REEMPLAZO IVAN GONZALEZ (10 HRS)</t>
  </si>
  <si>
    <t>REASIGNACION PUNTOS COORDINACIÓN HERNAN PEREZ</t>
  </si>
  <si>
    <t>REEMPLAZO  PAOLA VALENCIA (4HRS)Estaba en Simon Bolivar</t>
  </si>
  <si>
    <t>RAFAEL ANTONIO GERRERO 20 HORAS</t>
  </si>
  <si>
    <t>Docente de 10 horas-DANIEL ARIAS 25 HORAS INSTUCTOR ASOCIADO</t>
  </si>
  <si>
    <t>CARLOS JAVIER RAMIREZ 40 HORAS INSTRUCTOR ASISTENTE</t>
  </si>
  <si>
    <t>WILSON PARRA PROFESOR ASISTENTE 27 HORAS</t>
  </si>
  <si>
    <t>DAVID SERRANO PEREZ</t>
  </si>
  <si>
    <t>SUAPD00002</t>
  </si>
  <si>
    <t>Aporte Servicio de la Deuda</t>
  </si>
  <si>
    <t>AJUSTE</t>
  </si>
  <si>
    <t>reemplazo de maria carolina diaz granados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</si>
</sst>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 * #,##0.00_ ;_ * \-#,##0.00_ ;_ * &quot;-&quot;??_ ;_ @_ "/>
    <numFmt numFmtId="167" formatCode="_ * #,##0_ ;_ * \-#,##0_ ;_ * &quot;-&quot;??_ ;_ @_ "/>
    <numFmt numFmtId="168" formatCode="0_ ;\-0\ "/>
    <numFmt numFmtId="169" formatCode="_-* #,##0\ _€_-;\-* #,##0\ _€_-;_-* &quot;-&quot;??\ _€_-;_-@_-"/>
    <numFmt numFmtId="170" formatCode="&quot;$&quot;\ #,##0"/>
    <numFmt numFmtId="171" formatCode="&quot;$&quot;\ #,##0.00"/>
    <numFmt numFmtId="172" formatCode="dd/mm/yyyy;@"/>
    <numFmt numFmtId="173" formatCode="#,##0.000"/>
    <numFmt numFmtId="174" formatCode="0.0%"/>
    <numFmt numFmtId="175" formatCode="0.00\ &quot;Ingresos&quot;"/>
    <numFmt numFmtId="176" formatCode="0.00\ &quot;Gastos&quot;"/>
    <numFmt numFmtId="177" formatCode="0.000"/>
  </numFmts>
  <fonts count="9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8"/>
      <color indexed="17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8"/>
      <name val="Arial"/>
      <family val="2"/>
    </font>
    <font>
      <sz val="11"/>
      <color indexed="17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sz val="11"/>
      <color indexed="53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8"/>
      <color indexed="62"/>
      <name val="Cambria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.5"/>
      <name val="Tahoma"/>
      <family val="2"/>
    </font>
    <font>
      <sz val="10"/>
      <color indexed="9"/>
      <name val="Tahoma"/>
      <family val="2"/>
    </font>
    <font>
      <sz val="12"/>
      <color indexed="9"/>
      <name val="Tahoma"/>
      <family val="2"/>
    </font>
    <font>
      <b/>
      <sz val="10"/>
      <color indexed="9"/>
      <name val="Tahoma"/>
      <family val="2"/>
    </font>
    <font>
      <sz val="9"/>
      <name val="Tahoma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b/>
      <sz val="12"/>
      <color indexed="9"/>
      <name val="Arial"/>
      <family val="2"/>
    </font>
    <font>
      <b/>
      <sz val="8"/>
      <name val="Arial"/>
      <family val="2"/>
    </font>
    <font>
      <sz val="16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4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sz val="9"/>
      <color indexed="9"/>
      <name val="Tahoma"/>
      <family val="2"/>
    </font>
    <font>
      <b/>
      <sz val="9"/>
      <color indexed="9"/>
      <name val="Tahoma"/>
      <family val="2"/>
    </font>
    <font>
      <sz val="10"/>
      <color indexed="48"/>
      <name val="Tahoma"/>
      <family val="2"/>
    </font>
    <font>
      <b/>
      <sz val="9"/>
      <color indexed="48"/>
      <name val="Tahoma"/>
      <family val="2"/>
    </font>
    <font>
      <b/>
      <sz val="14"/>
      <name val="Tahoma"/>
      <family val="2"/>
    </font>
    <font>
      <b/>
      <sz val="16"/>
      <name val="Tahoma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9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b/>
      <sz val="14"/>
      <name val="Arial"/>
      <family val="2"/>
    </font>
    <font>
      <b/>
      <sz val="12"/>
      <color indexed="9"/>
      <name val="Tahoma"/>
      <family val="2"/>
    </font>
    <font>
      <b/>
      <sz val="9"/>
      <color indexed="9"/>
      <name val="Arial"/>
      <family val="2"/>
    </font>
    <font>
      <b/>
      <sz val="6"/>
      <color indexed="9"/>
      <name val="Tahoma"/>
      <family val="2"/>
    </font>
    <font>
      <sz val="8"/>
      <name val="Arial"/>
      <family val="2"/>
    </font>
    <font>
      <b/>
      <sz val="10"/>
      <color indexed="10"/>
      <name val="Tahoma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b/>
      <sz val="16"/>
      <color rgb="FFFFFFFF"/>
      <name val="Arial"/>
      <family val="2"/>
    </font>
    <font>
      <b/>
      <sz val="12"/>
      <color rgb="FFFFFFFF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3"/>
      <name val="Arial"/>
      <family val="2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9"/>
      <color theme="0"/>
      <name val="Tahoma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b/>
      <sz val="13"/>
      <name val="Tahoma"/>
      <family val="2"/>
    </font>
    <font>
      <b/>
      <sz val="8"/>
      <color rgb="FF000000"/>
      <name val="Verdana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FFFF"/>
      <name val="Verdana"/>
      <family val="2"/>
    </font>
    <font>
      <sz val="8"/>
      <color rgb="FF000000"/>
      <name val="Verdana"/>
      <family val="2"/>
    </font>
    <font>
      <sz val="10"/>
      <color rgb="FFFF0000"/>
      <name val="Arial"/>
      <family val="2"/>
    </font>
  </fonts>
  <fills count="69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9"/>
        <bgColor indexed="9"/>
      </patternFill>
    </fill>
    <fill>
      <patternFill patternType="solid">
        <fgColor indexed="55"/>
        <b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43"/>
        <bgColor indexed="43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6940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31859B"/>
        <bgColor rgb="FF31859B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rgb="FF31859B"/>
      </patternFill>
    </fill>
    <fill>
      <patternFill patternType="solid">
        <fgColor theme="0"/>
        <bgColor rgb="FF31859B"/>
      </patternFill>
    </fill>
    <fill>
      <patternFill patternType="solid">
        <fgColor theme="4" tint="0.59999389629810485"/>
        <bgColor rgb="FF31859B"/>
      </patternFill>
    </fill>
    <fill>
      <patternFill patternType="solid">
        <fgColor theme="6" tint="0.59999389629810485"/>
        <bgColor rgb="FF31859B"/>
      </patternFill>
    </fill>
    <fill>
      <patternFill patternType="solid">
        <fgColor theme="6" tint="0.79998168889431442"/>
        <bgColor rgb="FF31859B"/>
      </patternFill>
    </fill>
    <fill>
      <patternFill patternType="solid">
        <fgColor rgb="FFFF0000"/>
        <bgColor indexed="64"/>
      </patternFill>
    </fill>
    <fill>
      <patternFill patternType="solid">
        <fgColor rgb="FF31859B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0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D9D9D9"/>
      </top>
      <bottom/>
      <diagonal/>
    </border>
    <border>
      <left style="medium">
        <color rgb="FF000000"/>
      </left>
      <right/>
      <top style="medium">
        <color rgb="FFD9D9D9"/>
      </top>
      <bottom/>
      <diagonal/>
    </border>
    <border>
      <left style="medium">
        <color rgb="FF000000"/>
      </left>
      <right style="medium">
        <color rgb="FF000000"/>
      </right>
      <top style="medium">
        <color rgb="FFD9D9D9"/>
      </top>
      <bottom style="medium">
        <color rgb="FFD9D9D9"/>
      </bottom>
      <diagonal/>
    </border>
    <border>
      <left style="medium">
        <color rgb="FF000000"/>
      </left>
      <right/>
      <top style="medium">
        <color rgb="FFD9D9D9"/>
      </top>
      <bottom style="medium">
        <color rgb="FFD9D9D9"/>
      </bottom>
      <diagonal/>
    </border>
    <border>
      <left style="medium">
        <color rgb="FF000000"/>
      </left>
      <right style="medium">
        <color rgb="FF000000"/>
      </right>
      <top style="medium">
        <color rgb="FFD9D9D9"/>
      </top>
      <bottom style="medium">
        <color rgb="FF000000"/>
      </bottom>
      <diagonal/>
    </border>
    <border>
      <left style="medium">
        <color rgb="FF000000"/>
      </left>
      <right/>
      <top style="medium">
        <color rgb="FFD9D9D9"/>
      </top>
      <bottom style="medium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60">
    <xf numFmtId="0" fontId="0" fillId="0" borderId="0"/>
    <xf numFmtId="0" fontId="10" fillId="2" borderId="0" applyNumberFormat="0" applyBorder="0" applyAlignment="0" applyProtection="0"/>
    <xf numFmtId="0" fontId="11" fillId="3" borderId="1" applyNumberFormat="0" applyAlignment="0" applyProtection="0"/>
    <xf numFmtId="0" fontId="12" fillId="4" borderId="2" applyNumberFormat="0" applyAlignment="0" applyProtection="0"/>
    <xf numFmtId="0" fontId="13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2" borderId="0" applyNumberFormat="0" applyBorder="0" applyAlignment="0" applyProtection="0"/>
    <xf numFmtId="0" fontId="16" fillId="13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6" borderId="0" applyNumberFormat="0" applyBorder="0" applyAlignment="0" applyProtection="0"/>
    <xf numFmtId="0" fontId="17" fillId="12" borderId="0" applyNumberFormat="0" applyBorder="0" applyAlignment="0" applyProtection="0"/>
    <xf numFmtId="0" fontId="17" fillId="17" borderId="0" applyNumberFormat="0" applyBorder="0" applyAlignment="0" applyProtection="0"/>
    <xf numFmtId="0" fontId="16" fillId="17" borderId="0" applyNumberFormat="0" applyBorder="0" applyAlignment="0" applyProtection="0"/>
    <xf numFmtId="0" fontId="18" fillId="17" borderId="1" applyNumberFormat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18" borderId="0" applyNumberFormat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1" fillId="19" borderId="0" applyNumberFormat="0" applyBorder="0" applyAlignment="0" applyProtection="0"/>
    <xf numFmtId="0" fontId="29" fillId="0" borderId="0"/>
    <xf numFmtId="0" fontId="3" fillId="12" borderId="4" applyNumberFormat="0" applyFont="0" applyAlignment="0" applyProtection="0"/>
    <xf numFmtId="0" fontId="29" fillId="12" borderId="4" applyNumberFormat="0" applyFont="0" applyAlignment="0" applyProtection="0"/>
    <xf numFmtId="0" fontId="29" fillId="12" borderId="4" applyNumberFormat="0" applyFont="0" applyAlignment="0" applyProtection="0"/>
    <xf numFmtId="0" fontId="29" fillId="12" borderId="4" applyNumberFormat="0" applyFont="0" applyAlignment="0" applyProtection="0"/>
    <xf numFmtId="0" fontId="29" fillId="12" borderId="4" applyNumberFormat="0" applyFont="0" applyAlignment="0" applyProtection="0"/>
    <xf numFmtId="0" fontId="29" fillId="12" borderId="4" applyNumberFormat="0" applyFont="0" applyAlignment="0" applyProtection="0"/>
    <xf numFmtId="9" fontId="3" fillId="0" borderId="0" applyFont="0" applyFill="0" applyBorder="0" applyAlignment="0" applyProtection="0"/>
    <xf numFmtId="0" fontId="22" fillId="3" borderId="5" applyNumberFormat="0" applyAlignment="0" applyProtection="0"/>
    <xf numFmtId="0" fontId="23" fillId="0" borderId="0" applyNumberFormat="0" applyFill="0" applyBorder="0" applyAlignment="0" applyProtection="0"/>
    <xf numFmtId="0" fontId="24" fillId="0" borderId="6" applyNumberFormat="0" applyFill="0" applyAlignment="0" applyProtection="0"/>
    <xf numFmtId="0" fontId="25" fillId="0" borderId="7" applyNumberFormat="0" applyFill="0" applyAlignment="0" applyProtection="0"/>
    <xf numFmtId="0" fontId="14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3" fillId="0" borderId="0"/>
    <xf numFmtId="0" fontId="3" fillId="0" borderId="0"/>
    <xf numFmtId="0" fontId="2" fillId="0" borderId="0"/>
    <xf numFmtId="0" fontId="3" fillId="0" borderId="0"/>
    <xf numFmtId="0" fontId="1" fillId="0" borderId="0"/>
  </cellStyleXfs>
  <cellXfs count="1317">
    <xf numFmtId="0" fontId="0" fillId="0" borderId="0" xfId="0"/>
    <xf numFmtId="0" fontId="6" fillId="0" borderId="0" xfId="0" applyFont="1" applyFill="1" applyBorder="1" applyAlignment="1">
      <alignment horizontal="left"/>
    </xf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28" fillId="20" borderId="13" xfId="0" applyFont="1" applyFill="1" applyBorder="1" applyAlignment="1">
      <alignment horizontal="right" vertical="center"/>
    </xf>
    <xf numFmtId="0" fontId="0" fillId="21" borderId="0" xfId="0" applyFill="1"/>
    <xf numFmtId="0" fontId="28" fillId="21" borderId="0" xfId="0" applyFont="1" applyFill="1"/>
    <xf numFmtId="0" fontId="3" fillId="22" borderId="0" xfId="0" applyFont="1" applyFill="1"/>
    <xf numFmtId="3" fontId="40" fillId="0" borderId="0" xfId="0" applyNumberFormat="1" applyFont="1" applyFill="1" applyAlignment="1">
      <alignment vertical="center"/>
    </xf>
    <xf numFmtId="0" fontId="40" fillId="0" borderId="0" xfId="0" applyFont="1" applyFill="1" applyAlignment="1">
      <alignment vertical="center"/>
    </xf>
    <xf numFmtId="0" fontId="28" fillId="21" borderId="0" xfId="0" applyFont="1" applyFill="1" applyAlignment="1">
      <alignment vertical="center"/>
    </xf>
    <xf numFmtId="3" fontId="28" fillId="21" borderId="0" xfId="0" applyNumberFormat="1" applyFont="1" applyFill="1" applyAlignment="1">
      <alignment vertical="center"/>
    </xf>
    <xf numFmtId="3" fontId="40" fillId="20" borderId="13" xfId="0" applyNumberFormat="1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3" fontId="29" fillId="0" borderId="0" xfId="0" applyNumberFormat="1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0" fillId="21" borderId="0" xfId="0" applyFill="1" applyBorder="1"/>
    <xf numFmtId="0" fontId="29" fillId="21" borderId="0" xfId="0" applyFont="1" applyFill="1" applyAlignment="1">
      <alignment horizontal="center" vertical="center"/>
    </xf>
    <xf numFmtId="0" fontId="29" fillId="21" borderId="0" xfId="0" applyFont="1" applyFill="1" applyAlignment="1">
      <alignment vertical="center"/>
    </xf>
    <xf numFmtId="0" fontId="29" fillId="21" borderId="0" xfId="0" applyFont="1" applyFill="1" applyBorder="1" applyAlignment="1">
      <alignment vertical="center"/>
    </xf>
    <xf numFmtId="3" fontId="29" fillId="21" borderId="0" xfId="0" applyNumberFormat="1" applyFont="1" applyFill="1" applyBorder="1" applyAlignment="1">
      <alignment vertical="center"/>
    </xf>
    <xf numFmtId="0" fontId="29" fillId="21" borderId="16" xfId="0" applyFont="1" applyFill="1" applyBorder="1" applyAlignment="1">
      <alignment vertical="center"/>
    </xf>
    <xf numFmtId="3" fontId="29" fillId="21" borderId="16" xfId="0" applyNumberFormat="1" applyFont="1" applyFill="1" applyBorder="1" applyAlignment="1">
      <alignment vertical="center"/>
    </xf>
    <xf numFmtId="3" fontId="29" fillId="21" borderId="0" xfId="0" applyNumberFormat="1" applyFont="1" applyFill="1" applyAlignment="1">
      <alignment vertical="center"/>
    </xf>
    <xf numFmtId="0" fontId="29" fillId="21" borderId="0" xfId="0" applyFont="1" applyFill="1" applyAlignment="1">
      <alignment vertical="center" wrapText="1"/>
    </xf>
    <xf numFmtId="0" fontId="5" fillId="23" borderId="13" xfId="0" applyFont="1" applyFill="1" applyBorder="1" applyAlignment="1">
      <alignment vertical="center"/>
    </xf>
    <xf numFmtId="0" fontId="5" fillId="23" borderId="20" xfId="0" applyFont="1" applyFill="1" applyBorder="1" applyAlignment="1">
      <alignment vertical="center"/>
    </xf>
    <xf numFmtId="0" fontId="0" fillId="22" borderId="0" xfId="0" applyFill="1" applyBorder="1"/>
    <xf numFmtId="0" fontId="29" fillId="24" borderId="0" xfId="0" applyFont="1" applyFill="1" applyAlignment="1">
      <alignment vertical="center"/>
    </xf>
    <xf numFmtId="0" fontId="5" fillId="24" borderId="0" xfId="0" applyFont="1" applyFill="1" applyAlignment="1">
      <alignment vertical="center"/>
    </xf>
    <xf numFmtId="0" fontId="5" fillId="24" borderId="0" xfId="0" applyFont="1" applyFill="1"/>
    <xf numFmtId="0" fontId="28" fillId="24" borderId="0" xfId="0" applyFont="1" applyFill="1" applyAlignment="1">
      <alignment vertical="center"/>
    </xf>
    <xf numFmtId="0" fontId="28" fillId="21" borderId="21" xfId="0" applyFont="1" applyFill="1" applyBorder="1" applyAlignment="1">
      <alignment horizontal="center"/>
    </xf>
    <xf numFmtId="0" fontId="28" fillId="21" borderId="12" xfId="0" applyFont="1" applyFill="1" applyBorder="1" applyAlignment="1">
      <alignment horizontal="center"/>
    </xf>
    <xf numFmtId="0" fontId="0" fillId="21" borderId="0" xfId="0" applyFill="1" applyAlignment="1">
      <alignment horizontal="justify" vertical="center"/>
    </xf>
    <xf numFmtId="0" fontId="0" fillId="21" borderId="0" xfId="0" applyFill="1" applyAlignment="1">
      <alignment horizontal="center"/>
    </xf>
    <xf numFmtId="0" fontId="9" fillId="21" borderId="0" xfId="0" applyFont="1" applyFill="1" applyAlignment="1">
      <alignment horizontal="justify" vertical="center"/>
    </xf>
    <xf numFmtId="0" fontId="45" fillId="22" borderId="0" xfId="0" applyFont="1" applyFill="1" applyAlignment="1">
      <alignment vertical="center"/>
    </xf>
    <xf numFmtId="169" fontId="45" fillId="0" borderId="0" xfId="36" applyNumberFormat="1" applyFont="1" applyAlignment="1">
      <alignment horizontal="center" vertical="center"/>
    </xf>
    <xf numFmtId="0" fontId="40" fillId="22" borderId="0" xfId="0" applyFont="1" applyFill="1" applyAlignment="1">
      <alignment vertical="center"/>
    </xf>
    <xf numFmtId="0" fontId="40" fillId="22" borderId="0" xfId="0" applyFont="1" applyFill="1" applyAlignment="1">
      <alignment horizontal="justify" vertical="center"/>
    </xf>
    <xf numFmtId="0" fontId="45" fillId="0" borderId="0" xfId="0" applyFont="1" applyAlignment="1">
      <alignment vertical="center"/>
    </xf>
    <xf numFmtId="0" fontId="45" fillId="0" borderId="0" xfId="0" applyFont="1" applyAlignment="1">
      <alignment vertical="center" wrapText="1"/>
    </xf>
    <xf numFmtId="9" fontId="45" fillId="22" borderId="0" xfId="47" applyFont="1" applyFill="1" applyAlignment="1">
      <alignment vertical="center"/>
    </xf>
    <xf numFmtId="3" fontId="45" fillId="0" borderId="0" xfId="0" applyNumberFormat="1" applyFont="1" applyAlignment="1">
      <alignment vertical="center"/>
    </xf>
    <xf numFmtId="3" fontId="40" fillId="0" borderId="0" xfId="0" applyNumberFormat="1" applyFont="1" applyAlignment="1">
      <alignment vertical="center"/>
    </xf>
    <xf numFmtId="0" fontId="45" fillId="24" borderId="0" xfId="0" applyFont="1" applyFill="1" applyAlignment="1">
      <alignment vertical="center"/>
    </xf>
    <xf numFmtId="0" fontId="40" fillId="22" borderId="0" xfId="0" applyFont="1" applyFill="1" applyAlignment="1">
      <alignment vertical="center" wrapText="1"/>
    </xf>
    <xf numFmtId="165" fontId="40" fillId="22" borderId="0" xfId="36" applyFont="1" applyFill="1" applyAlignment="1">
      <alignment vertical="center"/>
    </xf>
    <xf numFmtId="0" fontId="40" fillId="22" borderId="0" xfId="0" applyFont="1" applyFill="1" applyAlignment="1">
      <alignment horizontal="center" vertical="center" wrapText="1"/>
    </xf>
    <xf numFmtId="0" fontId="40" fillId="0" borderId="0" xfId="0" applyFont="1" applyFill="1" applyAlignment="1">
      <alignment horizontal="center" vertical="center" wrapText="1"/>
    </xf>
    <xf numFmtId="0" fontId="40" fillId="0" borderId="0" xfId="0" applyFont="1" applyFill="1" applyAlignment="1">
      <alignment vertical="center" wrapText="1"/>
    </xf>
    <xf numFmtId="3" fontId="40" fillId="0" borderId="0" xfId="0" applyNumberFormat="1" applyFont="1" applyFill="1" applyAlignment="1">
      <alignment horizontal="center" vertical="center"/>
    </xf>
    <xf numFmtId="0" fontId="45" fillId="24" borderId="0" xfId="0" applyFont="1" applyFill="1"/>
    <xf numFmtId="0" fontId="45" fillId="0" borderId="0" xfId="0" applyFont="1" applyFill="1" applyAlignment="1">
      <alignment horizontal="center" vertical="center"/>
    </xf>
    <xf numFmtId="0" fontId="44" fillId="21" borderId="0" xfId="0" applyFont="1" applyFill="1"/>
    <xf numFmtId="0" fontId="44" fillId="22" borderId="0" xfId="0" applyFont="1" applyFill="1" applyBorder="1"/>
    <xf numFmtId="0" fontId="0" fillId="22" borderId="15" xfId="0" applyFill="1" applyBorder="1"/>
    <xf numFmtId="0" fontId="0" fillId="22" borderId="0" xfId="0" applyFill="1" applyBorder="1" applyAlignment="1">
      <alignment horizontal="center"/>
    </xf>
    <xf numFmtId="0" fontId="0" fillId="22" borderId="17" xfId="0" applyFill="1" applyBorder="1"/>
    <xf numFmtId="0" fontId="30" fillId="22" borderId="15" xfId="0" applyFont="1" applyFill="1" applyBorder="1"/>
    <xf numFmtId="0" fontId="44" fillId="22" borderId="0" xfId="0" applyFont="1" applyFill="1" applyBorder="1" applyAlignment="1">
      <alignment horizontal="center"/>
    </xf>
    <xf numFmtId="0" fontId="0" fillId="22" borderId="37" xfId="0" applyFill="1" applyBorder="1"/>
    <xf numFmtId="0" fontId="0" fillId="22" borderId="16" xfId="0" applyFill="1" applyBorder="1"/>
    <xf numFmtId="0" fontId="0" fillId="22" borderId="16" xfId="0" applyFill="1" applyBorder="1" applyAlignment="1">
      <alignment horizontal="center"/>
    </xf>
    <xf numFmtId="0" fontId="0" fillId="22" borderId="18" xfId="0" applyFill="1" applyBorder="1"/>
    <xf numFmtId="0" fontId="30" fillId="22" borderId="0" xfId="0" applyFont="1" applyFill="1" applyBorder="1"/>
    <xf numFmtId="0" fontId="44" fillId="22" borderId="15" xfId="0" applyFont="1" applyFill="1" applyBorder="1"/>
    <xf numFmtId="0" fontId="44" fillId="23" borderId="44" xfId="0" applyFont="1" applyFill="1" applyBorder="1"/>
    <xf numFmtId="0" fontId="44" fillId="23" borderId="19" xfId="0" applyFont="1" applyFill="1" applyBorder="1"/>
    <xf numFmtId="0" fontId="44" fillId="23" borderId="35" xfId="0" applyFont="1" applyFill="1" applyBorder="1"/>
    <xf numFmtId="0" fontId="0" fillId="24" borderId="0" xfId="0" applyFill="1"/>
    <xf numFmtId="0" fontId="0" fillId="23" borderId="0" xfId="0" applyFill="1"/>
    <xf numFmtId="0" fontId="47" fillId="23" borderId="12" xfId="0" applyFont="1" applyFill="1" applyBorder="1"/>
    <xf numFmtId="0" fontId="5" fillId="23" borderId="20" xfId="0" applyFont="1" applyFill="1" applyBorder="1"/>
    <xf numFmtId="0" fontId="0" fillId="24" borderId="0" xfId="0" applyFill="1" applyAlignment="1">
      <alignment vertical="center" wrapText="1"/>
    </xf>
    <xf numFmtId="0" fontId="45" fillId="22" borderId="44" xfId="0" applyFont="1" applyFill="1" applyBorder="1" applyAlignment="1">
      <alignment vertical="center"/>
    </xf>
    <xf numFmtId="0" fontId="45" fillId="22" borderId="19" xfId="0" applyFont="1" applyFill="1" applyBorder="1" applyAlignment="1">
      <alignment vertical="center"/>
    </xf>
    <xf numFmtId="169" fontId="45" fillId="22" borderId="19" xfId="36" applyNumberFormat="1" applyFont="1" applyFill="1" applyBorder="1" applyAlignment="1">
      <alignment horizontal="center" vertical="center"/>
    </xf>
    <xf numFmtId="0" fontId="45" fillId="22" borderId="19" xfId="0" applyFont="1" applyFill="1" applyBorder="1" applyAlignment="1">
      <alignment vertical="center" wrapText="1"/>
    </xf>
    <xf numFmtId="9" fontId="45" fillId="22" borderId="19" xfId="47" applyFont="1" applyFill="1" applyBorder="1" applyAlignment="1">
      <alignment vertical="center"/>
    </xf>
    <xf numFmtId="3" fontId="45" fillId="22" borderId="19" xfId="0" applyNumberFormat="1" applyFont="1" applyFill="1" applyBorder="1" applyAlignment="1">
      <alignment vertical="center"/>
    </xf>
    <xf numFmtId="0" fontId="40" fillId="22" borderId="15" xfId="0" applyFont="1" applyFill="1" applyBorder="1" applyAlignment="1">
      <alignment vertical="center"/>
    </xf>
    <xf numFmtId="0" fontId="40" fillId="22" borderId="0" xfId="0" applyFont="1" applyFill="1" applyBorder="1" applyAlignment="1">
      <alignment vertical="center"/>
    </xf>
    <xf numFmtId="49" fontId="40" fillId="22" borderId="0" xfId="0" applyNumberFormat="1" applyFont="1" applyFill="1" applyBorder="1" applyAlignment="1">
      <alignment vertical="center"/>
    </xf>
    <xf numFmtId="0" fontId="40" fillId="22" borderId="0" xfId="0" applyFont="1" applyFill="1" applyBorder="1" applyAlignment="1">
      <alignment horizontal="justify" vertical="center"/>
    </xf>
    <xf numFmtId="0" fontId="40" fillId="22" borderId="0" xfId="0" applyFont="1" applyFill="1" applyBorder="1" applyAlignment="1">
      <alignment vertical="center" wrapText="1"/>
    </xf>
    <xf numFmtId="165" fontId="40" fillId="22" borderId="0" xfId="36" applyFont="1" applyFill="1" applyBorder="1" applyAlignment="1">
      <alignment vertical="center"/>
    </xf>
    <xf numFmtId="0" fontId="40" fillId="22" borderId="0" xfId="0" applyFont="1" applyFill="1" applyBorder="1" applyAlignment="1">
      <alignment horizontal="center" vertical="center" wrapText="1"/>
    </xf>
    <xf numFmtId="3" fontId="40" fillId="22" borderId="0" xfId="0" applyNumberFormat="1" applyFont="1" applyFill="1" applyBorder="1" applyAlignment="1">
      <alignment vertical="center"/>
    </xf>
    <xf numFmtId="0" fontId="45" fillId="22" borderId="0" xfId="0" applyFont="1" applyFill="1" applyBorder="1" applyAlignment="1">
      <alignment vertical="center"/>
    </xf>
    <xf numFmtId="0" fontId="45" fillId="22" borderId="0" xfId="0" applyFont="1" applyFill="1" applyBorder="1" applyAlignment="1">
      <alignment horizontal="center" vertical="center"/>
    </xf>
    <xf numFmtId="0" fontId="40" fillId="22" borderId="37" xfId="0" applyFont="1" applyFill="1" applyBorder="1" applyAlignment="1">
      <alignment vertical="center"/>
    </xf>
    <xf numFmtId="0" fontId="40" fillId="22" borderId="16" xfId="0" applyFont="1" applyFill="1" applyBorder="1" applyAlignment="1">
      <alignment vertical="center"/>
    </xf>
    <xf numFmtId="49" fontId="40" fillId="22" borderId="16" xfId="0" applyNumberFormat="1" applyFont="1" applyFill="1" applyBorder="1" applyAlignment="1">
      <alignment vertical="center"/>
    </xf>
    <xf numFmtId="0" fontId="45" fillId="22" borderId="16" xfId="0" applyFont="1" applyFill="1" applyBorder="1" applyAlignment="1">
      <alignment horizontal="center" vertical="center"/>
    </xf>
    <xf numFmtId="0" fontId="40" fillId="22" borderId="16" xfId="0" applyFont="1" applyFill="1" applyBorder="1" applyAlignment="1">
      <alignment vertical="center" wrapText="1"/>
    </xf>
    <xf numFmtId="0" fontId="40" fillId="22" borderId="16" xfId="0" applyFont="1" applyFill="1" applyBorder="1" applyAlignment="1">
      <alignment horizontal="center" vertical="center" wrapText="1"/>
    </xf>
    <xf numFmtId="3" fontId="40" fillId="22" borderId="16" xfId="0" applyNumberFormat="1" applyFont="1" applyFill="1" applyBorder="1" applyAlignment="1">
      <alignment vertical="center"/>
    </xf>
    <xf numFmtId="3" fontId="32" fillId="22" borderId="27" xfId="0" applyNumberFormat="1" applyFont="1" applyFill="1" applyBorder="1" applyAlignment="1">
      <alignment horizontal="center"/>
    </xf>
    <xf numFmtId="3" fontId="32" fillId="22" borderId="28" xfId="0" applyNumberFormat="1" applyFont="1" applyFill="1" applyBorder="1" applyAlignment="1">
      <alignment horizontal="center"/>
    </xf>
    <xf numFmtId="0" fontId="32" fillId="22" borderId="26" xfId="0" applyFont="1" applyFill="1" applyBorder="1" applyAlignment="1">
      <alignment horizontal="left"/>
    </xf>
    <xf numFmtId="0" fontId="32" fillId="22" borderId="27" xfId="0" applyFont="1" applyFill="1" applyBorder="1" applyAlignment="1">
      <alignment horizontal="left"/>
    </xf>
    <xf numFmtId="0" fontId="32" fillId="22" borderId="27" xfId="0" applyFont="1" applyFill="1" applyBorder="1" applyAlignment="1" applyProtection="1">
      <alignment horizontal="left"/>
    </xf>
    <xf numFmtId="0" fontId="32" fillId="21" borderId="0" xfId="0" applyFont="1" applyFill="1"/>
    <xf numFmtId="0" fontId="31" fillId="21" borderId="0" xfId="0" applyFont="1" applyFill="1" applyBorder="1" applyAlignment="1">
      <alignment horizontal="center"/>
    </xf>
    <xf numFmtId="0" fontId="32" fillId="21" borderId="0" xfId="0" applyFont="1" applyFill="1" applyBorder="1"/>
    <xf numFmtId="0" fontId="33" fillId="21" borderId="12" xfId="0" applyFont="1" applyFill="1" applyBorder="1" applyAlignment="1">
      <alignment horizontal="center" vertical="center"/>
    </xf>
    <xf numFmtId="0" fontId="33" fillId="21" borderId="22" xfId="0" applyFont="1" applyFill="1" applyBorder="1" applyAlignment="1">
      <alignment horizontal="center" vertical="center"/>
    </xf>
    <xf numFmtId="3" fontId="33" fillId="21" borderId="22" xfId="0" applyNumberFormat="1" applyFont="1" applyFill="1" applyBorder="1" applyAlignment="1">
      <alignment horizontal="center" vertical="center" wrapText="1"/>
    </xf>
    <xf numFmtId="0" fontId="33" fillId="21" borderId="22" xfId="0" applyFont="1" applyFill="1" applyBorder="1" applyAlignment="1">
      <alignment horizontal="center" vertical="center" wrapText="1"/>
    </xf>
    <xf numFmtId="0" fontId="33" fillId="21" borderId="0" xfId="0" applyFont="1" applyFill="1" applyBorder="1" applyAlignment="1">
      <alignment horizontal="center" vertical="center" wrapText="1"/>
    </xf>
    <xf numFmtId="0" fontId="32" fillId="21" borderId="0" xfId="0" applyFont="1" applyFill="1" applyAlignment="1">
      <alignment horizontal="center" vertical="center"/>
    </xf>
    <xf numFmtId="3" fontId="32" fillId="21" borderId="0" xfId="0" applyNumberFormat="1" applyFont="1" applyFill="1" applyBorder="1" applyAlignment="1">
      <alignment horizontal="center"/>
    </xf>
    <xf numFmtId="3" fontId="32" fillId="21" borderId="46" xfId="0" applyNumberFormat="1" applyFont="1" applyFill="1" applyBorder="1" applyAlignment="1">
      <alignment horizontal="center"/>
    </xf>
    <xf numFmtId="3" fontId="32" fillId="21" borderId="47" xfId="0" applyNumberFormat="1" applyFont="1" applyFill="1" applyBorder="1" applyAlignment="1">
      <alignment horizontal="center"/>
    </xf>
    <xf numFmtId="3" fontId="32" fillId="21" borderId="0" xfId="0" applyNumberFormat="1" applyFont="1" applyFill="1"/>
    <xf numFmtId="3" fontId="33" fillId="21" borderId="0" xfId="0" applyNumberFormat="1" applyFont="1" applyFill="1" applyBorder="1" applyAlignment="1">
      <alignment horizontal="left"/>
    </xf>
    <xf numFmtId="3" fontId="33" fillId="21" borderId="22" xfId="0" applyNumberFormat="1" applyFont="1" applyFill="1" applyBorder="1" applyAlignment="1">
      <alignment horizontal="center"/>
    </xf>
    <xf numFmtId="3" fontId="33" fillId="21" borderId="0" xfId="0" applyNumberFormat="1" applyFont="1" applyFill="1" applyBorder="1" applyAlignment="1"/>
    <xf numFmtId="3" fontId="33" fillId="21" borderId="38" xfId="0" applyNumberFormat="1" applyFont="1" applyFill="1" applyBorder="1" applyAlignment="1">
      <alignment horizontal="center" vertical="center" wrapText="1"/>
    </xf>
    <xf numFmtId="0" fontId="35" fillId="21" borderId="0" xfId="0" applyFont="1" applyFill="1"/>
    <xf numFmtId="3" fontId="35" fillId="21" borderId="0" xfId="0" applyNumberFormat="1" applyFont="1" applyFill="1"/>
    <xf numFmtId="0" fontId="35" fillId="21" borderId="0" xfId="0" applyFont="1" applyFill="1" applyBorder="1"/>
    <xf numFmtId="3" fontId="35" fillId="21" borderId="0" xfId="0" applyNumberFormat="1" applyFont="1" applyFill="1" applyBorder="1"/>
    <xf numFmtId="3" fontId="36" fillId="21" borderId="0" xfId="0" applyNumberFormat="1" applyFont="1" applyFill="1" applyBorder="1"/>
    <xf numFmtId="3" fontId="37" fillId="21" borderId="0" xfId="0" applyNumberFormat="1" applyFont="1" applyFill="1" applyBorder="1" applyAlignment="1">
      <alignment horizontal="center"/>
    </xf>
    <xf numFmtId="0" fontId="33" fillId="21" borderId="0" xfId="0" applyFont="1" applyFill="1" applyBorder="1" applyAlignment="1">
      <alignment horizontal="right"/>
    </xf>
    <xf numFmtId="0" fontId="33" fillId="21" borderId="0" xfId="0" applyFont="1" applyFill="1" applyBorder="1" applyAlignment="1">
      <alignment horizontal="center" vertical="center"/>
    </xf>
    <xf numFmtId="0" fontId="32" fillId="21" borderId="0" xfId="0" applyFont="1" applyFill="1" applyBorder="1" applyAlignment="1">
      <alignment horizontal="left"/>
    </xf>
    <xf numFmtId="0" fontId="32" fillId="21" borderId="0" xfId="0" applyFont="1" applyFill="1" applyBorder="1" applyAlignment="1"/>
    <xf numFmtId="3" fontId="45" fillId="24" borderId="19" xfId="0" applyNumberFormat="1" applyFont="1" applyFill="1" applyBorder="1" applyAlignment="1">
      <alignment vertical="center"/>
    </xf>
    <xf numFmtId="0" fontId="45" fillId="24" borderId="19" xfId="0" applyFont="1" applyFill="1" applyBorder="1" applyAlignment="1">
      <alignment vertical="center"/>
    </xf>
    <xf numFmtId="4" fontId="45" fillId="24" borderId="19" xfId="0" applyNumberFormat="1" applyFont="1" applyFill="1" applyBorder="1" applyAlignment="1">
      <alignment vertical="center"/>
    </xf>
    <xf numFmtId="3" fontId="40" fillId="24" borderId="19" xfId="0" applyNumberFormat="1" applyFont="1" applyFill="1" applyBorder="1" applyAlignment="1">
      <alignment vertical="center"/>
    </xf>
    <xf numFmtId="3" fontId="40" fillId="24" borderId="0" xfId="0" applyNumberFormat="1" applyFont="1" applyFill="1" applyBorder="1" applyAlignment="1">
      <alignment vertical="center" wrapText="1"/>
    </xf>
    <xf numFmtId="4" fontId="40" fillId="24" borderId="0" xfId="0" applyNumberFormat="1" applyFont="1" applyFill="1" applyBorder="1" applyAlignment="1">
      <alignment vertical="center" wrapText="1"/>
    </xf>
    <xf numFmtId="0" fontId="40" fillId="24" borderId="0" xfId="0" applyFont="1" applyFill="1" applyBorder="1" applyAlignment="1">
      <alignment vertical="center"/>
    </xf>
    <xf numFmtId="0" fontId="40" fillId="24" borderId="0" xfId="0" applyFont="1" applyFill="1" applyBorder="1" applyAlignment="1">
      <alignment vertical="center" wrapText="1"/>
    </xf>
    <xf numFmtId="3" fontId="40" fillId="24" borderId="0" xfId="0" applyNumberFormat="1" applyFont="1" applyFill="1" applyBorder="1" applyAlignment="1">
      <alignment vertical="center"/>
    </xf>
    <xf numFmtId="3" fontId="40" fillId="24" borderId="0" xfId="0" applyNumberFormat="1" applyFont="1" applyFill="1" applyBorder="1" applyAlignment="1">
      <alignment horizontal="center" vertical="center"/>
    </xf>
    <xf numFmtId="0" fontId="45" fillId="24" borderId="0" xfId="0" applyFont="1" applyFill="1" applyBorder="1" applyAlignment="1">
      <alignment vertical="center"/>
    </xf>
    <xf numFmtId="0" fontId="45" fillId="24" borderId="0" xfId="0" applyFont="1" applyFill="1" applyBorder="1"/>
    <xf numFmtId="3" fontId="40" fillId="24" borderId="16" xfId="0" applyNumberFormat="1" applyFont="1" applyFill="1" applyBorder="1" applyAlignment="1">
      <alignment vertical="center" wrapText="1"/>
    </xf>
    <xf numFmtId="4" fontId="40" fillId="24" borderId="16" xfId="0" applyNumberFormat="1" applyFont="1" applyFill="1" applyBorder="1" applyAlignment="1">
      <alignment vertical="center" wrapText="1"/>
    </xf>
    <xf numFmtId="0" fontId="40" fillId="24" borderId="16" xfId="0" applyFont="1" applyFill="1" applyBorder="1" applyAlignment="1">
      <alignment vertical="center"/>
    </xf>
    <xf numFmtId="0" fontId="40" fillId="24" borderId="16" xfId="0" applyFont="1" applyFill="1" applyBorder="1" applyAlignment="1">
      <alignment vertical="center" wrapText="1"/>
    </xf>
    <xf numFmtId="3" fontId="40" fillId="24" borderId="16" xfId="0" applyNumberFormat="1" applyFont="1" applyFill="1" applyBorder="1" applyAlignment="1">
      <alignment vertical="center"/>
    </xf>
    <xf numFmtId="3" fontId="40" fillId="24" borderId="16" xfId="0" applyNumberFormat="1" applyFont="1" applyFill="1" applyBorder="1" applyAlignment="1">
      <alignment horizontal="center" vertical="center"/>
    </xf>
    <xf numFmtId="0" fontId="45" fillId="24" borderId="16" xfId="0" applyFont="1" applyFill="1" applyBorder="1" applyAlignment="1">
      <alignment vertical="center"/>
    </xf>
    <xf numFmtId="0" fontId="45" fillId="24" borderId="16" xfId="0" applyFont="1" applyFill="1" applyBorder="1"/>
    <xf numFmtId="0" fontId="32" fillId="24" borderId="0" xfId="0" applyFont="1" applyFill="1"/>
    <xf numFmtId="0" fontId="32" fillId="24" borderId="0" xfId="0" applyFont="1" applyFill="1" applyAlignment="1">
      <alignment horizontal="center" vertical="center"/>
    </xf>
    <xf numFmtId="0" fontId="40" fillId="24" borderId="0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32" fillId="24" borderId="0" xfId="0" applyFont="1" applyFill="1" applyBorder="1"/>
    <xf numFmtId="3" fontId="32" fillId="24" borderId="0" xfId="0" applyNumberFormat="1" applyFont="1" applyFill="1" applyBorder="1"/>
    <xf numFmtId="0" fontId="33" fillId="24" borderId="0" xfId="0" applyFont="1" applyFill="1" applyBorder="1" applyAlignment="1">
      <alignment horizontal="center" vertical="center"/>
    </xf>
    <xf numFmtId="0" fontId="33" fillId="24" borderId="0" xfId="0" applyFont="1" applyFill="1" applyBorder="1" applyAlignment="1">
      <alignment horizontal="center" vertical="center" wrapText="1"/>
    </xf>
    <xf numFmtId="3" fontId="33" fillId="24" borderId="0" xfId="0" applyNumberFormat="1" applyFont="1" applyFill="1" applyBorder="1" applyAlignment="1">
      <alignment horizontal="center" vertical="center" wrapText="1"/>
    </xf>
    <xf numFmtId="0" fontId="32" fillId="24" borderId="0" xfId="0" applyFont="1" applyFill="1" applyBorder="1" applyAlignment="1">
      <alignment horizontal="center" vertical="center"/>
    </xf>
    <xf numFmtId="0" fontId="32" fillId="24" borderId="0" xfId="0" applyFont="1" applyFill="1" applyBorder="1" applyAlignment="1">
      <alignment horizontal="left"/>
    </xf>
    <xf numFmtId="0" fontId="32" fillId="24" borderId="0" xfId="0" applyFont="1" applyFill="1" applyBorder="1" applyAlignment="1"/>
    <xf numFmtId="3" fontId="32" fillId="24" borderId="0" xfId="0" applyNumberFormat="1" applyFont="1" applyFill="1" applyBorder="1" applyAlignment="1">
      <alignment horizontal="center"/>
    </xf>
    <xf numFmtId="3" fontId="32" fillId="24" borderId="0" xfId="0" applyNumberFormat="1" applyFont="1" applyFill="1" applyBorder="1" applyAlignment="1"/>
    <xf numFmtId="0" fontId="33" fillId="24" borderId="0" xfId="0" applyFont="1" applyFill="1" applyBorder="1" applyAlignment="1">
      <alignment horizontal="left"/>
    </xf>
    <xf numFmtId="3" fontId="33" fillId="24" borderId="0" xfId="0" applyNumberFormat="1" applyFont="1" applyFill="1" applyBorder="1" applyAlignment="1"/>
    <xf numFmtId="3" fontId="33" fillId="24" borderId="0" xfId="0" applyNumberFormat="1" applyFont="1" applyFill="1" applyBorder="1" applyAlignment="1">
      <alignment horizontal="left"/>
    </xf>
    <xf numFmtId="0" fontId="31" fillId="21" borderId="0" xfId="0" applyFont="1" applyFill="1" applyBorder="1" applyAlignment="1"/>
    <xf numFmtId="0" fontId="31" fillId="24" borderId="0" xfId="0" applyFont="1" applyFill="1" applyBorder="1" applyAlignment="1"/>
    <xf numFmtId="0" fontId="0" fillId="21" borderId="0" xfId="0" applyFill="1" applyAlignment="1">
      <alignment vertical="center" wrapText="1"/>
    </xf>
    <xf numFmtId="0" fontId="44" fillId="24" borderId="0" xfId="0" applyFont="1" applyFill="1"/>
    <xf numFmtId="0" fontId="4" fillId="27" borderId="13" xfId="0" applyFont="1" applyFill="1" applyBorder="1" applyAlignment="1">
      <alignment horizontal="center" vertical="center" wrapText="1"/>
    </xf>
    <xf numFmtId="0" fontId="50" fillId="28" borderId="32" xfId="0" applyFont="1" applyFill="1" applyBorder="1"/>
    <xf numFmtId="0" fontId="50" fillId="28" borderId="50" xfId="0" applyFont="1" applyFill="1" applyBorder="1"/>
    <xf numFmtId="3" fontId="50" fillId="28" borderId="50" xfId="0" applyNumberFormat="1" applyFont="1" applyFill="1" applyBorder="1"/>
    <xf numFmtId="0" fontId="6" fillId="0" borderId="0" xfId="0" applyNumberFormat="1" applyFont="1" applyFill="1" applyAlignment="1">
      <alignment horizontal="left"/>
    </xf>
    <xf numFmtId="49" fontId="6" fillId="0" borderId="0" xfId="0" applyNumberFormat="1" applyFont="1" applyFill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29" fillId="24" borderId="0" xfId="0" applyFont="1" applyFill="1"/>
    <xf numFmtId="0" fontId="56" fillId="24" borderId="0" xfId="0" applyFont="1" applyFill="1"/>
    <xf numFmtId="3" fontId="29" fillId="24" borderId="0" xfId="0" applyNumberFormat="1" applyFont="1" applyFill="1"/>
    <xf numFmtId="0" fontId="9" fillId="24" borderId="0" xfId="0" applyFont="1" applyFill="1"/>
    <xf numFmtId="0" fontId="9" fillId="24" borderId="0" xfId="0" applyFont="1" applyFill="1" applyAlignment="1">
      <alignment vertical="center" wrapText="1"/>
    </xf>
    <xf numFmtId="0" fontId="29" fillId="26" borderId="13" xfId="0" applyFont="1" applyFill="1" applyBorder="1" applyAlignment="1">
      <alignment vertical="center"/>
    </xf>
    <xf numFmtId="3" fontId="29" fillId="26" borderId="13" xfId="0" applyNumberFormat="1" applyFont="1" applyFill="1" applyBorder="1" applyAlignment="1">
      <alignment vertical="center"/>
    </xf>
    <xf numFmtId="0" fontId="33" fillId="21" borderId="44" xfId="0" applyFont="1" applyFill="1" applyBorder="1" applyAlignment="1">
      <alignment horizontal="center" vertical="center"/>
    </xf>
    <xf numFmtId="0" fontId="32" fillId="22" borderId="54" xfId="0" applyFont="1" applyFill="1" applyBorder="1" applyAlignment="1">
      <alignment horizontal="left"/>
    </xf>
    <xf numFmtId="0" fontId="32" fillId="22" borderId="52" xfId="0" applyFont="1" applyFill="1" applyBorder="1" applyAlignment="1">
      <alignment horizontal="left"/>
    </xf>
    <xf numFmtId="0" fontId="32" fillId="22" borderId="52" xfId="0" applyFont="1" applyFill="1" applyBorder="1" applyAlignment="1" applyProtection="1">
      <alignment horizontal="left"/>
    </xf>
    <xf numFmtId="0" fontId="32" fillId="22" borderId="53" xfId="0" applyFont="1" applyFill="1" applyBorder="1" applyAlignment="1">
      <alignment horizontal="left"/>
    </xf>
    <xf numFmtId="0" fontId="29" fillId="26" borderId="0" xfId="0" applyFont="1" applyFill="1" applyAlignment="1">
      <alignment vertical="center"/>
    </xf>
    <xf numFmtId="0" fontId="29" fillId="21" borderId="19" xfId="0" applyFont="1" applyFill="1" applyBorder="1" applyAlignment="1">
      <alignment vertical="center"/>
    </xf>
    <xf numFmtId="3" fontId="29" fillId="21" borderId="19" xfId="0" applyNumberFormat="1" applyFont="1" applyFill="1" applyBorder="1" applyAlignment="1">
      <alignment vertical="center"/>
    </xf>
    <xf numFmtId="3" fontId="0" fillId="21" borderId="0" xfId="0" applyNumberFormat="1" applyFill="1"/>
    <xf numFmtId="3" fontId="50" fillId="28" borderId="33" xfId="0" applyNumberFormat="1" applyFont="1" applyFill="1" applyBorder="1"/>
    <xf numFmtId="0" fontId="32" fillId="0" borderId="0" xfId="0" applyFont="1"/>
    <xf numFmtId="0" fontId="33" fillId="0" borderId="0" xfId="0" applyFont="1"/>
    <xf numFmtId="9" fontId="33" fillId="0" borderId="0" xfId="0" applyNumberFormat="1" applyFont="1"/>
    <xf numFmtId="0" fontId="52" fillId="0" borderId="0" xfId="0" applyFont="1"/>
    <xf numFmtId="9" fontId="52" fillId="0" borderId="0" xfId="0" applyNumberFormat="1" applyFont="1"/>
    <xf numFmtId="0" fontId="32" fillId="0" borderId="0" xfId="0" applyFont="1" applyAlignment="1">
      <alignment horizontal="center" vertical="center"/>
    </xf>
    <xf numFmtId="0" fontId="8" fillId="0" borderId="38" xfId="0" applyFont="1" applyFill="1" applyBorder="1" applyAlignment="1">
      <alignment horizontal="left"/>
    </xf>
    <xf numFmtId="0" fontId="9" fillId="0" borderId="21" xfId="0" applyFont="1" applyBorder="1"/>
    <xf numFmtId="9" fontId="9" fillId="0" borderId="21" xfId="0" applyNumberFormat="1" applyFont="1" applyBorder="1"/>
    <xf numFmtId="3" fontId="9" fillId="0" borderId="15" xfId="0" applyNumberFormat="1" applyFont="1" applyBorder="1"/>
    <xf numFmtId="0" fontId="8" fillId="0" borderId="21" xfId="0" applyFont="1" applyFill="1" applyBorder="1" applyAlignment="1">
      <alignment horizontal="left"/>
    </xf>
    <xf numFmtId="0" fontId="7" fillId="0" borderId="21" xfId="0" applyNumberFormat="1" applyFont="1" applyFill="1" applyBorder="1" applyAlignment="1">
      <alignment horizontal="left"/>
    </xf>
    <xf numFmtId="169" fontId="9" fillId="0" borderId="21" xfId="36" applyNumberFormat="1" applyFont="1" applyBorder="1"/>
    <xf numFmtId="0" fontId="8" fillId="21" borderId="27" xfId="0" applyNumberFormat="1" applyFont="1" applyFill="1" applyBorder="1" applyAlignment="1">
      <alignment horizontal="left"/>
    </xf>
    <xf numFmtId="167" fontId="8" fillId="21" borderId="27" xfId="36" applyNumberFormat="1" applyFont="1" applyFill="1" applyBorder="1"/>
    <xf numFmtId="9" fontId="42" fillId="21" borderId="27" xfId="0" applyNumberFormat="1" applyFont="1" applyFill="1" applyBorder="1"/>
    <xf numFmtId="0" fontId="8" fillId="0" borderId="21" xfId="0" applyNumberFormat="1" applyFont="1" applyFill="1" applyBorder="1" applyAlignment="1">
      <alignment horizontal="left"/>
    </xf>
    <xf numFmtId="0" fontId="8" fillId="0" borderId="27" xfId="0" applyNumberFormat="1" applyFont="1" applyFill="1" applyBorder="1" applyAlignment="1">
      <alignment horizontal="left"/>
    </xf>
    <xf numFmtId="167" fontId="8" fillId="0" borderId="27" xfId="36" applyNumberFormat="1" applyFont="1" applyFill="1" applyBorder="1"/>
    <xf numFmtId="0" fontId="8" fillId="0" borderId="27" xfId="0" applyFont="1" applyFill="1" applyBorder="1" applyAlignment="1">
      <alignment horizontal="left"/>
    </xf>
    <xf numFmtId="0" fontId="8" fillId="21" borderId="27" xfId="0" applyFont="1" applyFill="1" applyBorder="1" applyAlignment="1">
      <alignment horizontal="left"/>
    </xf>
    <xf numFmtId="0" fontId="8" fillId="0" borderId="27" xfId="0" applyFont="1" applyFill="1" applyBorder="1" applyAlignment="1"/>
    <xf numFmtId="0" fontId="8" fillId="21" borderId="28" xfId="0" applyFont="1" applyFill="1" applyBorder="1" applyAlignment="1">
      <alignment horizontal="left"/>
    </xf>
    <xf numFmtId="167" fontId="8" fillId="21" borderId="28" xfId="36" applyNumberFormat="1" applyFont="1" applyFill="1" applyBorder="1"/>
    <xf numFmtId="0" fontId="8" fillId="0" borderId="0" xfId="0" applyFont="1" applyAlignment="1">
      <alignment horizontal="center"/>
    </xf>
    <xf numFmtId="9" fontId="33" fillId="0" borderId="0" xfId="0" applyNumberFormat="1" applyFont="1" applyAlignment="1">
      <alignment horizontal="center"/>
    </xf>
    <xf numFmtId="9" fontId="51" fillId="0" borderId="0" xfId="0" applyNumberFormat="1" applyFont="1"/>
    <xf numFmtId="0" fontId="51" fillId="0" borderId="0" xfId="0" applyFont="1" applyAlignment="1">
      <alignment horizontal="right"/>
    </xf>
    <xf numFmtId="9" fontId="32" fillId="0" borderId="0" xfId="0" applyNumberFormat="1" applyFont="1"/>
    <xf numFmtId="169" fontId="55" fillId="0" borderId="21" xfId="36" applyNumberFormat="1" applyFont="1" applyBorder="1"/>
    <xf numFmtId="169" fontId="55" fillId="26" borderId="21" xfId="36" applyNumberFormat="1" applyFont="1" applyFill="1" applyBorder="1"/>
    <xf numFmtId="0" fontId="29" fillId="0" borderId="0" xfId="0" applyFont="1" applyFill="1"/>
    <xf numFmtId="9" fontId="42" fillId="22" borderId="27" xfId="0" applyNumberFormat="1" applyFont="1" applyFill="1" applyBorder="1"/>
    <xf numFmtId="0" fontId="0" fillId="22" borderId="26" xfId="0" applyFill="1" applyBorder="1"/>
    <xf numFmtId="3" fontId="32" fillId="22" borderId="26" xfId="0" applyNumberFormat="1" applyFont="1" applyFill="1" applyBorder="1" applyAlignment="1">
      <alignment horizontal="center"/>
    </xf>
    <xf numFmtId="0" fontId="32" fillId="30" borderId="0" xfId="0" applyFont="1" applyFill="1"/>
    <xf numFmtId="0" fontId="32" fillId="33" borderId="0" xfId="0" applyFont="1" applyFill="1"/>
    <xf numFmtId="0" fontId="31" fillId="21" borderId="0" xfId="0" applyFont="1" applyFill="1" applyAlignment="1">
      <alignment horizontal="center"/>
    </xf>
    <xf numFmtId="0" fontId="31" fillId="24" borderId="0" xfId="0" applyFont="1" applyFill="1" applyBorder="1" applyAlignment="1">
      <alignment horizontal="center"/>
    </xf>
    <xf numFmtId="0" fontId="31" fillId="21" borderId="0" xfId="0" applyFont="1" applyFill="1" applyAlignment="1"/>
    <xf numFmtId="0" fontId="63" fillId="34" borderId="35" xfId="0" applyFont="1" applyFill="1" applyBorder="1" applyAlignment="1">
      <alignment horizontal="center" vertical="center"/>
    </xf>
    <xf numFmtId="0" fontId="0" fillId="30" borderId="0" xfId="0" applyFill="1"/>
    <xf numFmtId="0" fontId="0" fillId="32" borderId="21" xfId="0" applyFill="1" applyBorder="1"/>
    <xf numFmtId="0" fontId="0" fillId="30" borderId="27" xfId="0" applyFill="1" applyBorder="1"/>
    <xf numFmtId="0" fontId="0" fillId="32" borderId="26" xfId="0" applyFill="1" applyBorder="1" applyAlignment="1"/>
    <xf numFmtId="0" fontId="38" fillId="0" borderId="38" xfId="0" applyFont="1" applyBorder="1"/>
    <xf numFmtId="0" fontId="38" fillId="0" borderId="21" xfId="0" applyFont="1" applyBorder="1"/>
    <xf numFmtId="0" fontId="38" fillId="0" borderId="29" xfId="0" applyFont="1" applyBorder="1"/>
    <xf numFmtId="0" fontId="0" fillId="30" borderId="31" xfId="0" applyFill="1" applyBorder="1"/>
    <xf numFmtId="0" fontId="55" fillId="30" borderId="31" xfId="0" applyFont="1" applyFill="1" applyBorder="1"/>
    <xf numFmtId="0" fontId="28" fillId="30" borderId="31" xfId="0" applyFont="1" applyFill="1" applyBorder="1"/>
    <xf numFmtId="0" fontId="0" fillId="30" borderId="22" xfId="0" applyFill="1" applyBorder="1"/>
    <xf numFmtId="0" fontId="0" fillId="30" borderId="17" xfId="0" applyFill="1" applyBorder="1"/>
    <xf numFmtId="0" fontId="0" fillId="30" borderId="36" xfId="0" applyFill="1" applyBorder="1"/>
    <xf numFmtId="0" fontId="0" fillId="30" borderId="28" xfId="0" applyFill="1" applyBorder="1"/>
    <xf numFmtId="0" fontId="29" fillId="33" borderId="0" xfId="0" applyFont="1" applyFill="1"/>
    <xf numFmtId="0" fontId="0" fillId="33" borderId="0" xfId="0" applyFill="1"/>
    <xf numFmtId="3" fontId="38" fillId="22" borderId="62" xfId="0" applyNumberFormat="1" applyFont="1" applyFill="1" applyBorder="1"/>
    <xf numFmtId="3" fontId="38" fillId="22" borderId="40" xfId="0" applyNumberFormat="1" applyFont="1" applyFill="1" applyBorder="1"/>
    <xf numFmtId="0" fontId="50" fillId="28" borderId="64" xfId="0" applyFont="1" applyFill="1" applyBorder="1"/>
    <xf numFmtId="0" fontId="58" fillId="35" borderId="44" xfId="34" applyFont="1" applyFill="1" applyBorder="1" applyAlignment="1" applyProtection="1">
      <alignment horizontal="right" vertical="center" wrapText="1"/>
    </xf>
    <xf numFmtId="0" fontId="58" fillId="26" borderId="44" xfId="34" applyFont="1" applyFill="1" applyBorder="1" applyAlignment="1" applyProtection="1">
      <alignment horizontal="right" vertical="center" wrapText="1"/>
    </xf>
    <xf numFmtId="0" fontId="57" fillId="26" borderId="15" xfId="34" applyFont="1" applyFill="1" applyBorder="1" applyAlignment="1" applyProtection="1">
      <alignment horizontal="right"/>
    </xf>
    <xf numFmtId="0" fontId="19" fillId="26" borderId="17" xfId="34" applyFill="1" applyBorder="1" applyAlignment="1" applyProtection="1"/>
    <xf numFmtId="0" fontId="19" fillId="26" borderId="15" xfId="34" applyFill="1" applyBorder="1" applyAlignment="1" applyProtection="1">
      <alignment horizontal="right"/>
    </xf>
    <xf numFmtId="0" fontId="19" fillId="26" borderId="44" xfId="34" applyFill="1" applyBorder="1" applyAlignment="1" applyProtection="1">
      <alignment horizontal="right"/>
    </xf>
    <xf numFmtId="0" fontId="19" fillId="26" borderId="37" xfId="34" applyFill="1" applyBorder="1" applyAlignment="1" applyProtection="1">
      <alignment horizontal="right"/>
    </xf>
    <xf numFmtId="0" fontId="0" fillId="26" borderId="35" xfId="0" applyFill="1" applyBorder="1"/>
    <xf numFmtId="0" fontId="0" fillId="26" borderId="17" xfId="0" applyFill="1" applyBorder="1"/>
    <xf numFmtId="0" fontId="0" fillId="26" borderId="18" xfId="0" applyFill="1" applyBorder="1"/>
    <xf numFmtId="3" fontId="0" fillId="30" borderId="0" xfId="0" applyNumberFormat="1" applyFill="1"/>
    <xf numFmtId="3" fontId="0" fillId="32" borderId="26" xfId="0" applyNumberFormat="1" applyFill="1" applyBorder="1" applyAlignment="1"/>
    <xf numFmtId="3" fontId="0" fillId="32" borderId="21" xfId="0" applyNumberFormat="1" applyFill="1" applyBorder="1"/>
    <xf numFmtId="3" fontId="0" fillId="0" borderId="27" xfId="0" applyNumberFormat="1" applyBorder="1"/>
    <xf numFmtId="3" fontId="0" fillId="30" borderId="27" xfId="0" applyNumberFormat="1" applyFill="1" applyBorder="1"/>
    <xf numFmtId="3" fontId="0" fillId="32" borderId="27" xfId="0" applyNumberFormat="1" applyFill="1" applyBorder="1" applyAlignment="1"/>
    <xf numFmtId="3" fontId="0" fillId="32" borderId="27" xfId="0" applyNumberFormat="1" applyFill="1" applyBorder="1"/>
    <xf numFmtId="3" fontId="0" fillId="30" borderId="21" xfId="0" applyNumberFormat="1" applyFill="1" applyBorder="1"/>
    <xf numFmtId="3" fontId="0" fillId="32" borderId="28" xfId="0" applyNumberFormat="1" applyFill="1" applyBorder="1" applyAlignment="1"/>
    <xf numFmtId="3" fontId="0" fillId="32" borderId="29" xfId="0" applyNumberFormat="1" applyFill="1" applyBorder="1"/>
    <xf numFmtId="3" fontId="0" fillId="33" borderId="0" xfId="0" applyNumberFormat="1" applyFill="1"/>
    <xf numFmtId="3" fontId="0" fillId="0" borderId="0" xfId="0" applyNumberFormat="1"/>
    <xf numFmtId="3" fontId="50" fillId="29" borderId="33" xfId="0" applyNumberFormat="1" applyFont="1" applyFill="1" applyBorder="1"/>
    <xf numFmtId="3" fontId="29" fillId="30" borderId="27" xfId="0" applyNumberFormat="1" applyFont="1" applyFill="1" applyBorder="1"/>
    <xf numFmtId="3" fontId="0" fillId="22" borderId="27" xfId="0" applyNumberFormat="1" applyFill="1" applyBorder="1"/>
    <xf numFmtId="3" fontId="0" fillId="32" borderId="28" xfId="0" applyNumberFormat="1" applyFill="1" applyBorder="1"/>
    <xf numFmtId="3" fontId="0" fillId="32" borderId="43" xfId="0" applyNumberFormat="1" applyFill="1" applyBorder="1"/>
    <xf numFmtId="3" fontId="0" fillId="32" borderId="33" xfId="0" applyNumberFormat="1" applyFill="1" applyBorder="1"/>
    <xf numFmtId="0" fontId="30" fillId="21" borderId="2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9" fillId="21" borderId="22" xfId="0" applyFont="1" applyFill="1" applyBorder="1" applyAlignment="1">
      <alignment horizontal="justify" vertical="center"/>
    </xf>
    <xf numFmtId="0" fontId="39" fillId="21" borderId="0" xfId="0" applyFont="1" applyFill="1" applyBorder="1" applyAlignment="1">
      <alignment horizontal="justify" vertical="center"/>
    </xf>
    <xf numFmtId="0" fontId="39" fillId="21" borderId="22" xfId="0" applyFont="1" applyFill="1" applyBorder="1" applyAlignment="1">
      <alignment horizontal="center" vertical="center"/>
    </xf>
    <xf numFmtId="3" fontId="29" fillId="0" borderId="27" xfId="0" applyNumberFormat="1" applyFont="1" applyBorder="1"/>
    <xf numFmtId="3" fontId="9" fillId="32" borderId="26" xfId="0" applyNumberFormat="1" applyFont="1" applyFill="1" applyBorder="1" applyAlignment="1">
      <alignment vertical="top" wrapText="1"/>
    </xf>
    <xf numFmtId="3" fontId="9" fillId="22" borderId="26" xfId="0" applyNumberFormat="1" applyFont="1" applyFill="1" applyBorder="1" applyAlignment="1">
      <alignment vertical="top" wrapText="1"/>
    </xf>
    <xf numFmtId="3" fontId="9" fillId="0" borderId="27" xfId="0" applyNumberFormat="1" applyFont="1" applyBorder="1"/>
    <xf numFmtId="172" fontId="9" fillId="0" borderId="27" xfId="0" applyNumberFormat="1" applyFont="1" applyBorder="1"/>
    <xf numFmtId="3" fontId="9" fillId="22" borderId="27" xfId="0" applyNumberFormat="1" applyFont="1" applyFill="1" applyBorder="1"/>
    <xf numFmtId="3" fontId="9" fillId="32" borderId="27" xfId="0" applyNumberFormat="1" applyFont="1" applyFill="1" applyBorder="1"/>
    <xf numFmtId="3" fontId="9" fillId="0" borderId="27" xfId="0" applyNumberFormat="1" applyFont="1" applyBorder="1" applyAlignment="1">
      <alignment vertical="top" wrapText="1"/>
    </xf>
    <xf numFmtId="0" fontId="38" fillId="0" borderId="39" xfId="0" applyFont="1" applyBorder="1" applyAlignment="1">
      <alignment vertical="top" wrapText="1"/>
    </xf>
    <xf numFmtId="3" fontId="38" fillId="22" borderId="40" xfId="0" applyNumberFormat="1" applyFont="1" applyFill="1" applyBorder="1" applyAlignment="1">
      <alignment vertical="top" wrapText="1"/>
    </xf>
    <xf numFmtId="0" fontId="0" fillId="21" borderId="0" xfId="0" applyFill="1" applyAlignment="1">
      <alignment vertical="top" wrapText="1"/>
    </xf>
    <xf numFmtId="3" fontId="38" fillId="22" borderId="62" xfId="0" applyNumberFormat="1" applyFont="1" applyFill="1" applyBorder="1" applyAlignment="1">
      <alignment vertical="top" wrapText="1"/>
    </xf>
    <xf numFmtId="3" fontId="7" fillId="22" borderId="40" xfId="0" applyNumberFormat="1" applyFont="1" applyFill="1" applyBorder="1" applyAlignment="1">
      <alignment vertical="top" wrapText="1"/>
    </xf>
    <xf numFmtId="0" fontId="9" fillId="21" borderId="0" xfId="0" applyFont="1" applyFill="1" applyAlignment="1">
      <alignment vertical="top" wrapText="1"/>
    </xf>
    <xf numFmtId="3" fontId="7" fillId="22" borderId="62" xfId="0" applyNumberFormat="1" applyFont="1" applyFill="1" applyBorder="1" applyAlignment="1">
      <alignment vertical="top" wrapText="1"/>
    </xf>
    <xf numFmtId="3" fontId="29" fillId="22" borderId="27" xfId="0" applyNumberFormat="1" applyFont="1" applyFill="1" applyBorder="1"/>
    <xf numFmtId="3" fontId="0" fillId="0" borderId="27" xfId="0" applyNumberFormat="1" applyFill="1" applyBorder="1"/>
    <xf numFmtId="3" fontId="29" fillId="32" borderId="28" xfId="0" applyNumberFormat="1" applyFont="1" applyFill="1" applyBorder="1"/>
    <xf numFmtId="0" fontId="55" fillId="30" borderId="31" xfId="0" applyFont="1" applyFill="1" applyBorder="1" applyAlignment="1">
      <alignment vertical="top"/>
    </xf>
    <xf numFmtId="3" fontId="9" fillId="0" borderId="27" xfId="0" applyNumberFormat="1" applyFont="1" applyBorder="1" applyAlignment="1">
      <alignment vertical="top"/>
    </xf>
    <xf numFmtId="3" fontId="66" fillId="22" borderId="27" xfId="0" applyNumberFormat="1" applyFont="1" applyFill="1" applyBorder="1"/>
    <xf numFmtId="3" fontId="39" fillId="32" borderId="26" xfId="0" applyNumberFormat="1" applyFont="1" applyFill="1" applyBorder="1" applyAlignment="1">
      <alignment vertical="top" wrapText="1"/>
    </xf>
    <xf numFmtId="0" fontId="0" fillId="39" borderId="27" xfId="0" applyFill="1" applyBorder="1"/>
    <xf numFmtId="3" fontId="32" fillId="39" borderId="27" xfId="0" applyNumberFormat="1" applyFont="1" applyFill="1" applyBorder="1" applyAlignment="1">
      <alignment horizontal="center"/>
    </xf>
    <xf numFmtId="3" fontId="32" fillId="39" borderId="46" xfId="0" applyNumberFormat="1" applyFont="1" applyFill="1" applyBorder="1" applyAlignment="1">
      <alignment horizontal="center"/>
    </xf>
    <xf numFmtId="165" fontId="9" fillId="0" borderId="27" xfId="36" applyFont="1" applyBorder="1"/>
    <xf numFmtId="3" fontId="29" fillId="0" borderId="27" xfId="0" applyNumberFormat="1" applyFont="1" applyFill="1" applyBorder="1"/>
    <xf numFmtId="169" fontId="55" fillId="39" borderId="21" xfId="36" applyNumberFormat="1" applyFont="1" applyFill="1" applyBorder="1"/>
    <xf numFmtId="0" fontId="7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49" fontId="7" fillId="0" borderId="0" xfId="0" applyNumberFormat="1" applyFont="1" applyFill="1" applyBorder="1"/>
    <xf numFmtId="0" fontId="7" fillId="0" borderId="0" xfId="0" applyFont="1" applyFill="1" applyBorder="1" applyAlignment="1">
      <alignment horizontal="left"/>
    </xf>
    <xf numFmtId="49" fontId="6" fillId="0" borderId="0" xfId="40" applyNumberFormat="1" applyFont="1" applyFill="1" applyAlignment="1">
      <alignment horizontal="left"/>
    </xf>
    <xf numFmtId="9" fontId="0" fillId="0" borderId="21" xfId="0" applyNumberFormat="1" applyBorder="1"/>
    <xf numFmtId="3" fontId="31" fillId="39" borderId="0" xfId="0" applyNumberFormat="1" applyFont="1" applyFill="1" applyBorder="1" applyAlignment="1">
      <alignment horizontal="center"/>
    </xf>
    <xf numFmtId="3" fontId="31" fillId="39" borderId="57" xfId="0" applyNumberFormat="1" applyFont="1" applyFill="1" applyBorder="1" applyAlignment="1">
      <alignment horizontal="center"/>
    </xf>
    <xf numFmtId="3" fontId="0" fillId="42" borderId="27" xfId="0" applyNumberFormat="1" applyFill="1" applyBorder="1"/>
    <xf numFmtId="0" fontId="29" fillId="42" borderId="0" xfId="0" applyFont="1" applyFill="1"/>
    <xf numFmtId="0" fontId="29" fillId="42" borderId="19" xfId="0" applyFont="1" applyFill="1" applyBorder="1"/>
    <xf numFmtId="0" fontId="29" fillId="42" borderId="0" xfId="0" applyFont="1" applyFill="1" applyBorder="1"/>
    <xf numFmtId="0" fontId="29" fillId="42" borderId="16" xfId="0" applyFont="1" applyFill="1" applyBorder="1"/>
    <xf numFmtId="3" fontId="29" fillId="42" borderId="0" xfId="0" applyNumberFormat="1" applyFont="1" applyFill="1" applyBorder="1"/>
    <xf numFmtId="0" fontId="29" fillId="42" borderId="35" xfId="0" applyFont="1" applyFill="1" applyBorder="1"/>
    <xf numFmtId="0" fontId="29" fillId="42" borderId="15" xfId="0" applyFont="1" applyFill="1" applyBorder="1"/>
    <xf numFmtId="0" fontId="29" fillId="42" borderId="17" xfId="0" applyFont="1" applyFill="1" applyBorder="1"/>
    <xf numFmtId="0" fontId="29" fillId="42" borderId="37" xfId="0" applyFont="1" applyFill="1" applyBorder="1"/>
    <xf numFmtId="3" fontId="29" fillId="42" borderId="19" xfId="0" applyNumberFormat="1" applyFont="1" applyFill="1" applyBorder="1"/>
    <xf numFmtId="0" fontId="9" fillId="42" borderId="35" xfId="0" applyFont="1" applyFill="1" applyBorder="1"/>
    <xf numFmtId="0" fontId="9" fillId="42" borderId="17" xfId="0" applyFont="1" applyFill="1" applyBorder="1" applyAlignment="1">
      <alignment vertical="center" wrapText="1"/>
    </xf>
    <xf numFmtId="3" fontId="29" fillId="42" borderId="16" xfId="0" applyNumberFormat="1" applyFont="1" applyFill="1" applyBorder="1"/>
    <xf numFmtId="0" fontId="9" fillId="42" borderId="18" xfId="0" applyFont="1" applyFill="1" applyBorder="1" applyAlignment="1">
      <alignment vertical="center" wrapText="1"/>
    </xf>
    <xf numFmtId="3" fontId="29" fillId="42" borderId="44" xfId="0" applyNumberFormat="1" applyFont="1" applyFill="1" applyBorder="1"/>
    <xf numFmtId="0" fontId="39" fillId="42" borderId="19" xfId="0" applyFont="1" applyFill="1" applyBorder="1" applyAlignment="1">
      <alignment vertical="center" wrapText="1"/>
    </xf>
    <xf numFmtId="0" fontId="29" fillId="42" borderId="0" xfId="0" applyFont="1" applyFill="1" applyBorder="1" applyAlignment="1">
      <alignment vertical="center" wrapText="1"/>
    </xf>
    <xf numFmtId="3" fontId="29" fillId="42" borderId="15" xfId="0" applyNumberFormat="1" applyFont="1" applyFill="1" applyBorder="1"/>
    <xf numFmtId="0" fontId="9" fillId="42" borderId="0" xfId="0" applyFont="1" applyFill="1" applyBorder="1" applyAlignment="1">
      <alignment vertical="center" wrapText="1"/>
    </xf>
    <xf numFmtId="0" fontId="9" fillId="42" borderId="16" xfId="0" applyFont="1" applyFill="1" applyBorder="1" applyAlignment="1">
      <alignment vertical="center" wrapText="1"/>
    </xf>
    <xf numFmtId="15" fontId="29" fillId="42" borderId="0" xfId="0" applyNumberFormat="1" applyFont="1" applyFill="1" applyBorder="1"/>
    <xf numFmtId="0" fontId="29" fillId="22" borderId="0" xfId="0" applyFont="1" applyFill="1"/>
    <xf numFmtId="0" fontId="29" fillId="42" borderId="15" xfId="0" applyFont="1" applyFill="1" applyBorder="1" applyAlignment="1">
      <alignment horizontal="center"/>
    </xf>
    <xf numFmtId="0" fontId="29" fillId="42" borderId="37" xfId="0" applyFont="1" applyFill="1" applyBorder="1" applyAlignment="1">
      <alignment horizontal="center"/>
    </xf>
    <xf numFmtId="0" fontId="29" fillId="0" borderId="57" xfId="0" applyFont="1" applyFill="1" applyBorder="1"/>
    <xf numFmtId="0" fontId="29" fillId="42" borderId="57" xfId="0" applyFont="1" applyFill="1" applyBorder="1"/>
    <xf numFmtId="0" fontId="0" fillId="0" borderId="19" xfId="0" applyBorder="1"/>
    <xf numFmtId="0" fontId="0" fillId="45" borderId="19" xfId="0" applyFill="1" applyBorder="1"/>
    <xf numFmtId="0" fontId="0" fillId="0" borderId="0" xfId="0" applyBorder="1"/>
    <xf numFmtId="0" fontId="0" fillId="45" borderId="0" xfId="0" applyFill="1" applyBorder="1"/>
    <xf numFmtId="0" fontId="0" fillId="0" borderId="16" xfId="0" applyBorder="1"/>
    <xf numFmtId="0" fontId="0" fillId="45" borderId="16" xfId="0" applyFill="1" applyBorder="1"/>
    <xf numFmtId="0" fontId="29" fillId="46" borderId="0" xfId="0" applyFont="1" applyFill="1" applyAlignment="1">
      <alignment vertical="center"/>
    </xf>
    <xf numFmtId="0" fontId="5" fillId="46" borderId="13" xfId="0" applyFont="1" applyFill="1" applyBorder="1" applyAlignment="1">
      <alignment vertical="center"/>
    </xf>
    <xf numFmtId="3" fontId="40" fillId="0" borderId="0" xfId="0" applyNumberFormat="1" applyFont="1" applyFill="1" applyAlignment="1">
      <alignment vertical="center" wrapText="1"/>
    </xf>
    <xf numFmtId="3" fontId="5" fillId="23" borderId="13" xfId="0" applyNumberFormat="1" applyFont="1" applyFill="1" applyBorder="1" applyAlignment="1">
      <alignment vertical="center"/>
    </xf>
    <xf numFmtId="3" fontId="28" fillId="20" borderId="13" xfId="0" applyNumberFormat="1" applyFont="1" applyFill="1" applyBorder="1" applyAlignment="1">
      <alignment horizontal="right" vertical="center"/>
    </xf>
    <xf numFmtId="0" fontId="69" fillId="43" borderId="0" xfId="0" applyFont="1" applyFill="1" applyBorder="1" applyAlignment="1">
      <alignment horizontal="center" vertical="center"/>
    </xf>
    <xf numFmtId="0" fontId="68" fillId="24" borderId="0" xfId="0" applyFont="1" applyFill="1"/>
    <xf numFmtId="0" fontId="45" fillId="22" borderId="0" xfId="0" applyNumberFormat="1" applyFont="1" applyFill="1" applyAlignment="1">
      <alignment vertical="center"/>
    </xf>
    <xf numFmtId="0" fontId="40" fillId="22" borderId="0" xfId="0" applyNumberFormat="1" applyFont="1" applyFill="1" applyAlignment="1">
      <alignment vertical="center"/>
    </xf>
    <xf numFmtId="0" fontId="40" fillId="0" borderId="0" xfId="0" applyNumberFormat="1" applyFont="1" applyFill="1" applyAlignment="1">
      <alignment vertical="center"/>
    </xf>
    <xf numFmtId="0" fontId="29" fillId="0" borderId="0" xfId="0" applyNumberFormat="1" applyFont="1" applyAlignment="1">
      <alignment vertical="center"/>
    </xf>
    <xf numFmtId="0" fontId="29" fillId="21" borderId="0" xfId="0" applyNumberFormat="1" applyFont="1" applyFill="1" applyAlignment="1">
      <alignment vertical="center"/>
    </xf>
    <xf numFmtId="0" fontId="28" fillId="20" borderId="13" xfId="0" applyNumberFormat="1" applyFont="1" applyFill="1" applyBorder="1" applyAlignment="1">
      <alignment horizontal="right" vertical="center"/>
    </xf>
    <xf numFmtId="0" fontId="3" fillId="21" borderId="0" xfId="0" applyFont="1" applyFill="1" applyAlignment="1">
      <alignment vertical="center"/>
    </xf>
    <xf numFmtId="0" fontId="4" fillId="44" borderId="13" xfId="0" applyFont="1" applyFill="1" applyBorder="1" applyAlignment="1">
      <alignment horizontal="center" vertical="center" wrapText="1"/>
    </xf>
    <xf numFmtId="1" fontId="29" fillId="21" borderId="0" xfId="0" applyNumberFormat="1" applyFont="1" applyFill="1" applyAlignment="1">
      <alignment horizontal="center" vertical="center"/>
    </xf>
    <xf numFmtId="0" fontId="28" fillId="21" borderId="0" xfId="0" applyFont="1" applyFill="1" applyAlignment="1">
      <alignment horizontal="right" vertical="center"/>
    </xf>
    <xf numFmtId="1" fontId="28" fillId="21" borderId="0" xfId="0" applyNumberFormat="1" applyFont="1" applyFill="1" applyAlignment="1">
      <alignment horizontal="center" vertical="center"/>
    </xf>
    <xf numFmtId="174" fontId="29" fillId="21" borderId="0" xfId="0" applyNumberFormat="1" applyFont="1" applyFill="1" applyAlignment="1">
      <alignment horizontal="left" vertical="center" wrapText="1"/>
    </xf>
    <xf numFmtId="0" fontId="28" fillId="21" borderId="0" xfId="0" applyFont="1" applyFill="1" applyAlignment="1">
      <alignment horizontal="center" vertical="center"/>
    </xf>
    <xf numFmtId="174" fontId="29" fillId="21" borderId="0" xfId="0" applyNumberFormat="1" applyFont="1" applyFill="1" applyAlignment="1">
      <alignment horizontal="left" vertical="center"/>
    </xf>
    <xf numFmtId="0" fontId="4" fillId="40" borderId="0" xfId="0" applyFont="1" applyFill="1" applyBorder="1" applyAlignment="1">
      <alignment horizontal="justify" vertical="center" wrapText="1"/>
    </xf>
    <xf numFmtId="0" fontId="4" fillId="23" borderId="0" xfId="0" applyFont="1" applyFill="1" applyBorder="1" applyAlignment="1">
      <alignment horizontal="center" vertical="center" wrapText="1"/>
    </xf>
    <xf numFmtId="0" fontId="4" fillId="45" borderId="0" xfId="0" applyFont="1" applyFill="1" applyBorder="1" applyAlignment="1">
      <alignment horizontal="center" vertical="center" wrapText="1"/>
    </xf>
    <xf numFmtId="0" fontId="4" fillId="45" borderId="19" xfId="0" applyFont="1" applyFill="1" applyBorder="1" applyAlignment="1">
      <alignment vertical="center" wrapText="1"/>
    </xf>
    <xf numFmtId="0" fontId="4" fillId="23" borderId="0" xfId="0" applyFont="1" applyFill="1" applyBorder="1" applyAlignment="1">
      <alignment horizontal="justify" vertical="center"/>
    </xf>
    <xf numFmtId="0" fontId="28" fillId="26" borderId="0" xfId="0" applyFont="1" applyFill="1" applyBorder="1" applyAlignment="1">
      <alignment horizontal="justify" vertical="center"/>
    </xf>
    <xf numFmtId="3" fontId="28" fillId="26" borderId="0" xfId="0" applyNumberFormat="1" applyFont="1" applyFill="1" applyBorder="1" applyAlignment="1">
      <alignment horizontal="justify" vertical="center"/>
    </xf>
    <xf numFmtId="3" fontId="4" fillId="23" borderId="0" xfId="0" applyNumberFormat="1" applyFont="1" applyFill="1" applyBorder="1" applyAlignment="1">
      <alignment horizontal="justify" vertical="center"/>
    </xf>
    <xf numFmtId="0" fontId="3" fillId="24" borderId="0" xfId="0" applyFont="1" applyFill="1"/>
    <xf numFmtId="0" fontId="4" fillId="23" borderId="0" xfId="0" applyFont="1" applyFill="1" applyBorder="1" applyAlignment="1">
      <alignment horizontal="center" vertical="center"/>
    </xf>
    <xf numFmtId="0" fontId="4" fillId="44" borderId="0" xfId="0" applyFont="1" applyFill="1" applyBorder="1" applyAlignment="1">
      <alignment horizontal="center" vertical="center" wrapText="1"/>
    </xf>
    <xf numFmtId="0" fontId="4" fillId="23" borderId="13" xfId="0" applyFont="1" applyFill="1" applyBorder="1" applyAlignment="1">
      <alignment horizontal="center" vertical="center"/>
    </xf>
    <xf numFmtId="0" fontId="29" fillId="40" borderId="0" xfId="0" applyFont="1" applyFill="1" applyAlignment="1">
      <alignment vertical="center"/>
    </xf>
    <xf numFmtId="3" fontId="29" fillId="0" borderId="19" xfId="0" applyNumberFormat="1" applyFont="1" applyBorder="1" applyAlignment="1">
      <alignment vertical="center"/>
    </xf>
    <xf numFmtId="0" fontId="29" fillId="0" borderId="19" xfId="0" applyFont="1" applyBorder="1" applyAlignment="1">
      <alignment vertical="center"/>
    </xf>
    <xf numFmtId="3" fontId="29" fillId="0" borderId="16" xfId="0" applyNumberFormat="1" applyFont="1" applyBorder="1" applyAlignment="1">
      <alignment vertical="center"/>
    </xf>
    <xf numFmtId="49" fontId="29" fillId="26" borderId="21" xfId="0" applyNumberFormat="1" applyFont="1" applyFill="1" applyBorder="1" applyAlignment="1">
      <alignment vertical="center"/>
    </xf>
    <xf numFmtId="0" fontId="5" fillId="23" borderId="22" xfId="0" applyFont="1" applyFill="1" applyBorder="1" applyAlignment="1">
      <alignment vertical="center"/>
    </xf>
    <xf numFmtId="0" fontId="5" fillId="46" borderId="22" xfId="0" applyFont="1" applyFill="1" applyBorder="1" applyAlignment="1">
      <alignment vertical="center"/>
    </xf>
    <xf numFmtId="0" fontId="5" fillId="23" borderId="38" xfId="0" applyFont="1" applyFill="1" applyBorder="1" applyAlignment="1">
      <alignment vertical="center"/>
    </xf>
    <xf numFmtId="0" fontId="0" fillId="0" borderId="0" xfId="0" applyFill="1" applyBorder="1"/>
    <xf numFmtId="3" fontId="5" fillId="46" borderId="13" xfId="0" applyNumberFormat="1" applyFont="1" applyFill="1" applyBorder="1" applyAlignment="1">
      <alignment vertical="center"/>
    </xf>
    <xf numFmtId="0" fontId="0" fillId="0" borderId="16" xfId="0" applyFill="1" applyBorder="1"/>
    <xf numFmtId="0" fontId="29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/>
    </xf>
    <xf numFmtId="0" fontId="29" fillId="40" borderId="0" xfId="0" applyFont="1" applyFill="1" applyBorder="1" applyAlignment="1">
      <alignment vertical="center"/>
    </xf>
    <xf numFmtId="0" fontId="29" fillId="40" borderId="16" xfId="0" applyFont="1" applyFill="1" applyBorder="1" applyAlignment="1">
      <alignment vertical="center"/>
    </xf>
    <xf numFmtId="0" fontId="29" fillId="40" borderId="19" xfId="0" applyFont="1" applyFill="1" applyBorder="1" applyAlignment="1">
      <alignment vertical="center"/>
    </xf>
    <xf numFmtId="0" fontId="0" fillId="40" borderId="15" xfId="0" applyFill="1" applyBorder="1"/>
    <xf numFmtId="3" fontId="29" fillId="0" borderId="0" xfId="0" applyNumberFormat="1" applyFont="1" applyFill="1" applyBorder="1" applyAlignment="1">
      <alignment vertical="center"/>
    </xf>
    <xf numFmtId="3" fontId="29" fillId="0" borderId="44" xfId="0" applyNumberFormat="1" applyFont="1" applyBorder="1" applyAlignment="1">
      <alignment vertical="center"/>
    </xf>
    <xf numFmtId="3" fontId="29" fillId="0" borderId="35" xfId="0" applyNumberFormat="1" applyFont="1" applyBorder="1" applyAlignment="1">
      <alignment vertical="center"/>
    </xf>
    <xf numFmtId="3" fontId="29" fillId="0" borderId="15" xfId="0" applyNumberFormat="1" applyFont="1" applyBorder="1" applyAlignment="1">
      <alignment vertical="center"/>
    </xf>
    <xf numFmtId="3" fontId="29" fillId="0" borderId="17" xfId="0" applyNumberFormat="1" applyFont="1" applyBorder="1" applyAlignment="1">
      <alignment vertical="center"/>
    </xf>
    <xf numFmtId="3" fontId="29" fillId="0" borderId="37" xfId="0" applyNumberFormat="1" applyFont="1" applyBorder="1" applyAlignment="1">
      <alignment vertical="center"/>
    </xf>
    <xf numFmtId="3" fontId="29" fillId="0" borderId="18" xfId="0" applyNumberFormat="1" applyFont="1" applyBorder="1" applyAlignment="1">
      <alignment vertical="center"/>
    </xf>
    <xf numFmtId="3" fontId="29" fillId="26" borderId="12" xfId="0" applyNumberFormat="1" applyFont="1" applyFill="1" applyBorder="1" applyAlignment="1">
      <alignment vertical="center"/>
    </xf>
    <xf numFmtId="3" fontId="29" fillId="26" borderId="20" xfId="0" applyNumberFormat="1" applyFont="1" applyFill="1" applyBorder="1" applyAlignment="1">
      <alignment vertical="center"/>
    </xf>
    <xf numFmtId="0" fontId="0" fillId="0" borderId="38" xfId="0" applyBorder="1"/>
    <xf numFmtId="0" fontId="0" fillId="0" borderId="21" xfId="0" applyBorder="1"/>
    <xf numFmtId="0" fontId="0" fillId="0" borderId="29" xfId="0" applyBorder="1"/>
    <xf numFmtId="0" fontId="0" fillId="0" borderId="29" xfId="0" applyFill="1" applyBorder="1"/>
    <xf numFmtId="0" fontId="0" fillId="0" borderId="60" xfId="0" applyBorder="1"/>
    <xf numFmtId="0" fontId="3" fillId="0" borderId="38" xfId="0" applyFont="1" applyFill="1" applyBorder="1"/>
    <xf numFmtId="0" fontId="0" fillId="0" borderId="21" xfId="0" applyFill="1" applyBorder="1"/>
    <xf numFmtId="0" fontId="29" fillId="0" borderId="21" xfId="0" applyFont="1" applyFill="1" applyBorder="1" applyAlignment="1">
      <alignment vertical="center"/>
    </xf>
    <xf numFmtId="0" fontId="29" fillId="0" borderId="29" xfId="0" applyFont="1" applyFill="1" applyBorder="1" applyAlignment="1">
      <alignment vertical="center"/>
    </xf>
    <xf numFmtId="0" fontId="4" fillId="23" borderId="22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/>
    </xf>
    <xf numFmtId="0" fontId="0" fillId="0" borderId="38" xfId="0" applyFill="1" applyBorder="1"/>
    <xf numFmtId="0" fontId="5" fillId="46" borderId="22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 wrapText="1"/>
    </xf>
    <xf numFmtId="0" fontId="29" fillId="0" borderId="15" xfId="0" applyFont="1" applyFill="1" applyBorder="1" applyAlignment="1">
      <alignment horizontal="center" vertical="center" wrapText="1"/>
    </xf>
    <xf numFmtId="0" fontId="29" fillId="0" borderId="37" xfId="0" applyFont="1" applyFill="1" applyBorder="1" applyAlignment="1">
      <alignment horizontal="center" vertical="center" wrapText="1"/>
    </xf>
    <xf numFmtId="0" fontId="29" fillId="0" borderId="44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5" fillId="46" borderId="12" xfId="0" applyFont="1" applyFill="1" applyBorder="1" applyAlignment="1">
      <alignment vertical="center" wrapText="1"/>
    </xf>
    <xf numFmtId="0" fontId="0" fillId="0" borderId="15" xfId="0" applyFill="1" applyBorder="1" applyAlignment="1">
      <alignment horizontal="center"/>
    </xf>
    <xf numFmtId="0" fontId="29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8" fillId="26" borderId="44" xfId="0" applyFont="1" applyFill="1" applyBorder="1" applyAlignment="1">
      <alignment vertical="center"/>
    </xf>
    <xf numFmtId="0" fontId="29" fillId="26" borderId="38" xfId="0" applyFont="1" applyFill="1" applyBorder="1" applyAlignment="1">
      <alignment vertical="center"/>
    </xf>
    <xf numFmtId="0" fontId="29" fillId="40" borderId="15" xfId="0" applyFont="1" applyFill="1" applyBorder="1" applyAlignment="1">
      <alignment vertical="center"/>
    </xf>
    <xf numFmtId="0" fontId="3" fillId="22" borderId="44" xfId="0" applyFont="1" applyFill="1" applyBorder="1"/>
    <xf numFmtId="0" fontId="3" fillId="22" borderId="15" xfId="0" applyFont="1" applyFill="1" applyBorder="1"/>
    <xf numFmtId="0" fontId="3" fillId="22" borderId="37" xfId="0" applyFont="1" applyFill="1" applyBorder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10" xfId="0" applyFill="1" applyBorder="1" applyAlignment="1">
      <alignment horizontal="center"/>
    </xf>
    <xf numFmtId="0" fontId="0" fillId="0" borderId="67" xfId="0" applyFill="1" applyBorder="1" applyAlignment="1">
      <alignment horizontal="center"/>
    </xf>
    <xf numFmtId="0" fontId="29" fillId="0" borderId="54" xfId="0" applyFont="1" applyFill="1" applyBorder="1" applyAlignment="1">
      <alignment horizontal="center" vertical="center" wrapText="1"/>
    </xf>
    <xf numFmtId="0" fontId="3" fillId="0" borderId="72" xfId="0" applyFont="1" applyBorder="1"/>
    <xf numFmtId="0" fontId="3" fillId="0" borderId="73" xfId="0" applyFont="1" applyBorder="1"/>
    <xf numFmtId="0" fontId="3" fillId="0" borderId="10" xfId="0" applyFont="1" applyBorder="1"/>
    <xf numFmtId="0" fontId="0" fillId="0" borderId="63" xfId="0" applyBorder="1"/>
    <xf numFmtId="0" fontId="3" fillId="0" borderId="67" xfId="0" applyFont="1" applyBorder="1"/>
    <xf numFmtId="0" fontId="0" fillId="0" borderId="66" xfId="0" applyBorder="1"/>
    <xf numFmtId="0" fontId="0" fillId="0" borderId="72" xfId="0" applyFill="1" applyBorder="1" applyAlignment="1">
      <alignment horizontal="center"/>
    </xf>
    <xf numFmtId="0" fontId="29" fillId="0" borderId="60" xfId="0" applyFont="1" applyFill="1" applyBorder="1" applyAlignment="1">
      <alignment horizontal="center" vertical="center"/>
    </xf>
    <xf numFmtId="0" fontId="0" fillId="0" borderId="60" xfId="0" applyFill="1" applyBorder="1"/>
    <xf numFmtId="10" fontId="0" fillId="0" borderId="73" xfId="0" applyNumberFormat="1" applyBorder="1"/>
    <xf numFmtId="0" fontId="3" fillId="0" borderId="67" xfId="0" applyFont="1" applyFill="1" applyBorder="1"/>
    <xf numFmtId="0" fontId="3" fillId="0" borderId="54" xfId="0" applyFont="1" applyFill="1" applyBorder="1"/>
    <xf numFmtId="0" fontId="0" fillId="0" borderId="54" xfId="0" applyFill="1" applyBorder="1"/>
    <xf numFmtId="10" fontId="0" fillId="0" borderId="73" xfId="0" applyNumberFormat="1" applyFill="1" applyBorder="1"/>
    <xf numFmtId="10" fontId="3" fillId="0" borderId="66" xfId="0" applyNumberFormat="1" applyFont="1" applyFill="1" applyBorder="1"/>
    <xf numFmtId="10" fontId="0" fillId="0" borderId="63" xfId="0" applyNumberFormat="1" applyFill="1" applyBorder="1"/>
    <xf numFmtId="2" fontId="0" fillId="0" borderId="73" xfId="0" applyNumberFormat="1" applyBorder="1"/>
    <xf numFmtId="0" fontId="29" fillId="0" borderId="10" xfId="0" applyFont="1" applyFill="1" applyBorder="1" applyAlignment="1">
      <alignment vertical="center"/>
    </xf>
    <xf numFmtId="2" fontId="0" fillId="0" borderId="63" xfId="0" applyNumberFormat="1" applyBorder="1"/>
    <xf numFmtId="0" fontId="3" fillId="0" borderId="67" xfId="0" applyFont="1" applyFill="1" applyBorder="1" applyAlignment="1">
      <alignment vertical="center"/>
    </xf>
    <xf numFmtId="0" fontId="0" fillId="0" borderId="54" xfId="0" applyBorder="1"/>
    <xf numFmtId="10" fontId="0" fillId="0" borderId="66" xfId="0" applyNumberFormat="1" applyBorder="1"/>
    <xf numFmtId="2" fontId="0" fillId="0" borderId="66" xfId="0" applyNumberFormat="1" applyBorder="1"/>
    <xf numFmtId="0" fontId="3" fillId="0" borderId="10" xfId="0" applyFont="1" applyFill="1" applyBorder="1" applyAlignment="1">
      <alignment vertical="center"/>
    </xf>
    <xf numFmtId="0" fontId="3" fillId="35" borderId="38" xfId="0" applyFont="1" applyFill="1" applyBorder="1" applyAlignment="1">
      <alignment vertical="center" wrapText="1"/>
    </xf>
    <xf numFmtId="0" fontId="0" fillId="45" borderId="21" xfId="0" applyFill="1" applyBorder="1"/>
    <xf numFmtId="3" fontId="29" fillId="45" borderId="0" xfId="0" applyNumberFormat="1" applyFont="1" applyFill="1" applyBorder="1" applyAlignment="1">
      <alignment vertical="center"/>
    </xf>
    <xf numFmtId="3" fontId="29" fillId="45" borderId="16" xfId="0" applyNumberFormat="1" applyFont="1" applyFill="1" applyBorder="1" applyAlignment="1">
      <alignment vertical="center"/>
    </xf>
    <xf numFmtId="3" fontId="29" fillId="42" borderId="19" xfId="0" applyNumberFormat="1" applyFont="1" applyFill="1" applyBorder="1" applyAlignment="1">
      <alignment vertical="center"/>
    </xf>
    <xf numFmtId="3" fontId="29" fillId="42" borderId="0" xfId="0" applyNumberFormat="1" applyFont="1" applyFill="1" applyBorder="1" applyAlignment="1">
      <alignment vertical="center"/>
    </xf>
    <xf numFmtId="3" fontId="29" fillId="42" borderId="16" xfId="0" applyNumberFormat="1" applyFont="1" applyFill="1" applyBorder="1" applyAlignment="1">
      <alignment vertical="center"/>
    </xf>
    <xf numFmtId="0" fontId="4" fillId="23" borderId="13" xfId="0" applyFont="1" applyFill="1" applyBorder="1" applyAlignment="1">
      <alignment horizontal="center" vertical="center" wrapText="1"/>
    </xf>
    <xf numFmtId="0" fontId="3" fillId="26" borderId="38" xfId="0" applyFont="1" applyFill="1" applyBorder="1" applyAlignment="1">
      <alignment vertical="center" wrapText="1"/>
    </xf>
    <xf numFmtId="0" fontId="3" fillId="21" borderId="21" xfId="55" applyFill="1" applyBorder="1" applyAlignment="1">
      <alignment horizontal="center"/>
    </xf>
    <xf numFmtId="0" fontId="28" fillId="26" borderId="17" xfId="0" applyFont="1" applyFill="1" applyBorder="1" applyAlignment="1">
      <alignment vertical="center"/>
    </xf>
    <xf numFmtId="0" fontId="0" fillId="45" borderId="38" xfId="0" applyFill="1" applyBorder="1"/>
    <xf numFmtId="0" fontId="0" fillId="0" borderId="38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29" fillId="0" borderId="35" xfId="0" applyFont="1" applyFill="1" applyBorder="1" applyAlignment="1">
      <alignment horizontal="center" vertical="center"/>
    </xf>
    <xf numFmtId="3" fontId="29" fillId="45" borderId="19" xfId="0" applyNumberFormat="1" applyFont="1" applyFill="1" applyBorder="1" applyAlignment="1">
      <alignment vertical="center"/>
    </xf>
    <xf numFmtId="3" fontId="29" fillId="0" borderId="19" xfId="0" applyNumberFormat="1" applyFont="1" applyFill="1" applyBorder="1" applyAlignment="1">
      <alignment vertical="center"/>
    </xf>
    <xf numFmtId="0" fontId="0" fillId="0" borderId="29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1" fontId="28" fillId="26" borderId="0" xfId="0" applyNumberFormat="1" applyFont="1" applyFill="1" applyBorder="1" applyAlignment="1">
      <alignment vertical="center"/>
    </xf>
    <xf numFmtId="3" fontId="29" fillId="26" borderId="0" xfId="0" applyNumberFormat="1" applyFont="1" applyFill="1" applyBorder="1" applyAlignment="1">
      <alignment vertical="center"/>
    </xf>
    <xf numFmtId="3" fontId="29" fillId="26" borderId="15" xfId="0" applyNumberFormat="1" applyFont="1" applyFill="1" applyBorder="1" applyAlignment="1">
      <alignment vertical="center"/>
    </xf>
    <xf numFmtId="3" fontId="29" fillId="26" borderId="17" xfId="0" applyNumberFormat="1" applyFont="1" applyFill="1" applyBorder="1" applyAlignment="1">
      <alignment vertical="center"/>
    </xf>
    <xf numFmtId="0" fontId="5" fillId="23" borderId="22" xfId="0" applyFont="1" applyFill="1" applyBorder="1" applyAlignment="1">
      <alignment horizontal="center" vertical="center"/>
    </xf>
    <xf numFmtId="0" fontId="5" fillId="23" borderId="12" xfId="0" applyFont="1" applyFill="1" applyBorder="1" applyAlignment="1">
      <alignment horizontal="center" vertical="center" wrapText="1"/>
    </xf>
    <xf numFmtId="0" fontId="5" fillId="23" borderId="12" xfId="0" applyFont="1" applyFill="1" applyBorder="1" applyAlignment="1">
      <alignment vertical="center"/>
    </xf>
    <xf numFmtId="0" fontId="29" fillId="26" borderId="0" xfId="0" applyFont="1" applyFill="1" applyBorder="1" applyAlignment="1">
      <alignment vertical="center"/>
    </xf>
    <xf numFmtId="0" fontId="28" fillId="26" borderId="19" xfId="0" applyFont="1" applyFill="1" applyBorder="1" applyAlignment="1">
      <alignment vertical="center"/>
    </xf>
    <xf numFmtId="1" fontId="28" fillId="26" borderId="19" xfId="0" applyNumberFormat="1" applyFont="1" applyFill="1" applyBorder="1" applyAlignment="1">
      <alignment vertical="center"/>
    </xf>
    <xf numFmtId="3" fontId="29" fillId="26" borderId="19" xfId="0" applyNumberFormat="1" applyFont="1" applyFill="1" applyBorder="1" applyAlignment="1">
      <alignment vertical="center"/>
    </xf>
    <xf numFmtId="0" fontId="29" fillId="26" borderId="19" xfId="0" applyFont="1" applyFill="1" applyBorder="1" applyAlignment="1">
      <alignment vertical="center"/>
    </xf>
    <xf numFmtId="3" fontId="29" fillId="26" borderId="44" xfId="0" applyNumberFormat="1" applyFont="1" applyFill="1" applyBorder="1" applyAlignment="1">
      <alignment vertical="center"/>
    </xf>
    <xf numFmtId="3" fontId="29" fillId="26" borderId="35" xfId="0" applyNumberFormat="1" applyFont="1" applyFill="1" applyBorder="1" applyAlignment="1">
      <alignment vertical="center"/>
    </xf>
    <xf numFmtId="0" fontId="41" fillId="46" borderId="22" xfId="0" applyFont="1" applyFill="1" applyBorder="1" applyAlignment="1">
      <alignment horizontal="center" vertical="center"/>
    </xf>
    <xf numFmtId="0" fontId="5" fillId="46" borderId="12" xfId="0" applyFont="1" applyFill="1" applyBorder="1" applyAlignment="1">
      <alignment vertical="center"/>
    </xf>
    <xf numFmtId="0" fontId="5" fillId="46" borderId="20" xfId="0" applyFont="1" applyFill="1" applyBorder="1" applyAlignment="1">
      <alignment horizontal="center" vertical="center"/>
    </xf>
    <xf numFmtId="0" fontId="29" fillId="46" borderId="12" xfId="0" applyFont="1" applyFill="1" applyBorder="1" applyAlignment="1">
      <alignment vertical="center"/>
    </xf>
    <xf numFmtId="0" fontId="29" fillId="46" borderId="13" xfId="0" applyFont="1" applyFill="1" applyBorder="1" applyAlignment="1">
      <alignment vertical="center"/>
    </xf>
    <xf numFmtId="3" fontId="29" fillId="46" borderId="13" xfId="0" applyNumberFormat="1" applyFont="1" applyFill="1" applyBorder="1" applyAlignment="1">
      <alignment vertical="center"/>
    </xf>
    <xf numFmtId="3" fontId="29" fillId="46" borderId="20" xfId="0" applyNumberFormat="1" applyFont="1" applyFill="1" applyBorder="1" applyAlignment="1">
      <alignment vertical="center"/>
    </xf>
    <xf numFmtId="1" fontId="29" fillId="26" borderId="13" xfId="0" applyNumberFormat="1" applyFont="1" applyFill="1" applyBorder="1" applyAlignment="1">
      <alignment vertical="center"/>
    </xf>
    <xf numFmtId="0" fontId="3" fillId="21" borderId="27" xfId="0" applyFont="1" applyFill="1" applyBorder="1" applyAlignment="1" applyProtection="1">
      <alignment horizontal="center"/>
    </xf>
    <xf numFmtId="0" fontId="3" fillId="21" borderId="28" xfId="0" applyFont="1" applyFill="1" applyBorder="1" applyAlignment="1" applyProtection="1">
      <alignment horizontal="center"/>
    </xf>
    <xf numFmtId="0" fontId="29" fillId="45" borderId="19" xfId="0" applyFont="1" applyFill="1" applyBorder="1" applyAlignment="1">
      <alignment vertical="center"/>
    </xf>
    <xf numFmtId="0" fontId="29" fillId="45" borderId="0" xfId="0" applyFont="1" applyFill="1" applyBorder="1" applyAlignment="1">
      <alignment vertical="center"/>
    </xf>
    <xf numFmtId="3" fontId="39" fillId="32" borderId="26" xfId="0" applyNumberFormat="1" applyFont="1" applyFill="1" applyBorder="1" applyAlignment="1">
      <alignment horizontal="center" vertical="top" wrapText="1"/>
    </xf>
    <xf numFmtId="0" fontId="3" fillId="26" borderId="22" xfId="0" applyFont="1" applyFill="1" applyBorder="1" applyAlignment="1">
      <alignment vertical="center" wrapText="1"/>
    </xf>
    <xf numFmtId="0" fontId="32" fillId="47" borderId="0" xfId="0" applyFont="1" applyFill="1"/>
    <xf numFmtId="0" fontId="0" fillId="47" borderId="0" xfId="0" applyFill="1"/>
    <xf numFmtId="9" fontId="3" fillId="0" borderId="21" xfId="0" applyNumberFormat="1" applyFont="1" applyBorder="1"/>
    <xf numFmtId="0" fontId="29" fillId="45" borderId="16" xfId="0" applyFont="1" applyFill="1" applyBorder="1" applyAlignment="1">
      <alignment vertical="center"/>
    </xf>
    <xf numFmtId="0" fontId="3" fillId="0" borderId="21" xfId="0" applyFont="1" applyBorder="1"/>
    <xf numFmtId="4" fontId="3" fillId="42" borderId="17" xfId="0" applyNumberFormat="1" applyFont="1" applyFill="1" applyBorder="1"/>
    <xf numFmtId="4" fontId="3" fillId="42" borderId="18" xfId="0" applyNumberFormat="1" applyFont="1" applyFill="1" applyBorder="1"/>
    <xf numFmtId="3" fontId="3" fillId="42" borderId="0" xfId="0" applyNumberFormat="1" applyFont="1" applyFill="1" applyBorder="1"/>
    <xf numFmtId="0" fontId="32" fillId="22" borderId="61" xfId="0" applyFont="1" applyFill="1" applyBorder="1" applyAlignment="1">
      <alignment horizontal="center"/>
    </xf>
    <xf numFmtId="0" fontId="32" fillId="22" borderId="30" xfId="0" applyFont="1" applyFill="1" applyBorder="1" applyAlignment="1">
      <alignment horizontal="center"/>
    </xf>
    <xf numFmtId="0" fontId="32" fillId="39" borderId="61" xfId="0" applyFont="1" applyFill="1" applyBorder="1" applyAlignment="1">
      <alignment horizontal="center"/>
    </xf>
    <xf numFmtId="0" fontId="33" fillId="21" borderId="13" xfId="0" applyFont="1" applyFill="1" applyBorder="1" applyAlignment="1">
      <alignment horizontal="center" vertical="center" wrapText="1"/>
    </xf>
    <xf numFmtId="0" fontId="37" fillId="21" borderId="0" xfId="0" applyFont="1" applyFill="1" applyBorder="1" applyAlignment="1">
      <alignment horizontal="center"/>
    </xf>
    <xf numFmtId="0" fontId="32" fillId="22" borderId="32" xfId="0" applyFont="1" applyFill="1" applyBorder="1" applyAlignment="1">
      <alignment horizontal="center"/>
    </xf>
    <xf numFmtId="0" fontId="32" fillId="22" borderId="66" xfId="0" applyFont="1" applyFill="1" applyBorder="1" applyAlignment="1">
      <alignment horizontal="center"/>
    </xf>
    <xf numFmtId="0" fontId="32" fillId="0" borderId="61" xfId="0" applyFont="1" applyFill="1" applyBorder="1" applyAlignment="1">
      <alignment horizontal="center"/>
    </xf>
    <xf numFmtId="167" fontId="8" fillId="21" borderId="42" xfId="36" applyNumberFormat="1" applyFont="1" applyFill="1" applyBorder="1"/>
    <xf numFmtId="167" fontId="8" fillId="21" borderId="46" xfId="36" applyNumberFormat="1" applyFont="1" applyFill="1" applyBorder="1"/>
    <xf numFmtId="9" fontId="0" fillId="0" borderId="27" xfId="0" applyNumberFormat="1" applyBorder="1"/>
    <xf numFmtId="0" fontId="32" fillId="0" borderId="0" xfId="0" applyFont="1" applyAlignment="1">
      <alignment wrapText="1"/>
    </xf>
    <xf numFmtId="0" fontId="0" fillId="47" borderId="0" xfId="0" applyFill="1" applyAlignment="1">
      <alignment wrapText="1"/>
    </xf>
    <xf numFmtId="0" fontId="32" fillId="47" borderId="0" xfId="0" applyFont="1" applyFill="1" applyAlignment="1">
      <alignment wrapText="1"/>
    </xf>
    <xf numFmtId="0" fontId="54" fillId="31" borderId="0" xfId="0" applyFont="1" applyFill="1" applyAlignment="1"/>
    <xf numFmtId="0" fontId="3" fillId="42" borderId="27" xfId="0" applyFont="1" applyFill="1" applyBorder="1" applyAlignment="1" applyProtection="1">
      <alignment horizontal="center"/>
    </xf>
    <xf numFmtId="0" fontId="3" fillId="42" borderId="28" xfId="0" applyFont="1" applyFill="1" applyBorder="1" applyAlignment="1" applyProtection="1">
      <alignment horizontal="center"/>
    </xf>
    <xf numFmtId="0" fontId="28" fillId="48" borderId="74" xfId="0" applyFont="1" applyFill="1" applyBorder="1" applyAlignment="1">
      <alignment horizontal="center" vertical="center"/>
    </xf>
    <xf numFmtId="174" fontId="28" fillId="48" borderId="57" xfId="0" applyNumberFormat="1" applyFont="1" applyFill="1" applyBorder="1" applyAlignment="1">
      <alignment horizontal="center" vertical="center"/>
    </xf>
    <xf numFmtId="0" fontId="28" fillId="48" borderId="57" xfId="0" applyFont="1" applyFill="1" applyBorder="1" applyAlignment="1">
      <alignment horizontal="center" vertical="center"/>
    </xf>
    <xf numFmtId="0" fontId="0" fillId="48" borderId="57" xfId="0" applyFill="1" applyBorder="1" applyAlignment="1">
      <alignment horizontal="center"/>
    </xf>
    <xf numFmtId="10" fontId="28" fillId="48" borderId="57" xfId="0" applyNumberFormat="1" applyFont="1" applyFill="1" applyBorder="1" applyAlignment="1">
      <alignment horizontal="center" vertical="center"/>
    </xf>
    <xf numFmtId="0" fontId="3" fillId="48" borderId="57" xfId="0" applyFont="1" applyFill="1" applyBorder="1" applyAlignment="1">
      <alignment horizontal="center"/>
    </xf>
    <xf numFmtId="3" fontId="0" fillId="41" borderId="27" xfId="0" applyNumberFormat="1" applyFill="1" applyBorder="1"/>
    <xf numFmtId="0" fontId="3" fillId="33" borderId="0" xfId="0" applyFont="1" applyFill="1"/>
    <xf numFmtId="0" fontId="38" fillId="0" borderId="57" xfId="0" applyFont="1" applyBorder="1"/>
    <xf numFmtId="3" fontId="38" fillId="0" borderId="57" xfId="0" applyNumberFormat="1" applyFont="1" applyBorder="1"/>
    <xf numFmtId="3" fontId="38" fillId="22" borderId="75" xfId="0" applyNumberFormat="1" applyFont="1" applyFill="1" applyBorder="1"/>
    <xf numFmtId="3" fontId="38" fillId="22" borderId="27" xfId="0" applyNumberFormat="1" applyFont="1" applyFill="1" applyBorder="1"/>
    <xf numFmtId="3" fontId="38" fillId="22" borderId="31" xfId="0" applyNumberFormat="1" applyFont="1" applyFill="1" applyBorder="1"/>
    <xf numFmtId="3" fontId="38" fillId="41" borderId="62" xfId="0" applyNumberFormat="1" applyFont="1" applyFill="1" applyBorder="1"/>
    <xf numFmtId="3" fontId="38" fillId="41" borderId="71" xfId="0" applyNumberFormat="1" applyFont="1" applyFill="1" applyBorder="1"/>
    <xf numFmtId="3" fontId="50" fillId="28" borderId="47" xfId="0" applyNumberFormat="1" applyFont="1" applyFill="1" applyBorder="1"/>
    <xf numFmtId="0" fontId="38" fillId="0" borderId="65" xfId="0" applyFont="1" applyBorder="1" applyAlignment="1">
      <alignment vertical="top" wrapText="1"/>
    </xf>
    <xf numFmtId="3" fontId="38" fillId="22" borderId="71" xfId="0" applyNumberFormat="1" applyFont="1" applyFill="1" applyBorder="1"/>
    <xf numFmtId="3" fontId="38" fillId="41" borderId="57" xfId="0" applyNumberFormat="1" applyFont="1" applyFill="1" applyBorder="1"/>
    <xf numFmtId="0" fontId="7" fillId="0" borderId="57" xfId="0" applyFont="1" applyBorder="1" applyAlignment="1">
      <alignment vertical="top" wrapText="1"/>
    </xf>
    <xf numFmtId="37" fontId="0" fillId="0" borderId="27" xfId="38" applyNumberFormat="1" applyFont="1" applyFill="1" applyBorder="1"/>
    <xf numFmtId="171" fontId="3" fillId="22" borderId="0" xfId="0" applyNumberFormat="1" applyFont="1" applyFill="1"/>
    <xf numFmtId="0" fontId="32" fillId="22" borderId="36" xfId="0" applyFont="1" applyFill="1" applyBorder="1" applyAlignment="1">
      <alignment horizontal="left"/>
    </xf>
    <xf numFmtId="0" fontId="32" fillId="22" borderId="28" xfId="0" applyFont="1" applyFill="1" applyBorder="1" applyAlignment="1">
      <alignment horizontal="left"/>
    </xf>
    <xf numFmtId="0" fontId="0" fillId="45" borderId="0" xfId="0" applyFill="1"/>
    <xf numFmtId="0" fontId="31" fillId="21" borderId="0" xfId="0" applyFont="1" applyFill="1" applyAlignment="1">
      <alignment horizontal="center"/>
    </xf>
    <xf numFmtId="0" fontId="31" fillId="24" borderId="0" xfId="0" applyFont="1" applyFill="1" applyBorder="1" applyAlignment="1">
      <alignment horizontal="center"/>
    </xf>
    <xf numFmtId="0" fontId="4" fillId="23" borderId="0" xfId="0" applyFont="1" applyFill="1" applyBorder="1" applyAlignment="1">
      <alignment horizontal="center" vertical="center" wrapText="1"/>
    </xf>
    <xf numFmtId="0" fontId="4" fillId="40" borderId="19" xfId="0" applyFont="1" applyFill="1" applyBorder="1" applyAlignment="1">
      <alignment horizontal="center" vertical="center" wrapText="1"/>
    </xf>
    <xf numFmtId="0" fontId="7" fillId="42" borderId="21" xfId="58" applyNumberFormat="1" applyFont="1" applyFill="1" applyBorder="1" applyAlignment="1">
      <alignment horizontal="left"/>
    </xf>
    <xf numFmtId="3" fontId="3" fillId="42" borderId="17" xfId="0" applyNumberFormat="1" applyFont="1" applyFill="1" applyBorder="1"/>
    <xf numFmtId="3" fontId="3" fillId="42" borderId="18" xfId="0" applyNumberFormat="1" applyFont="1" applyFill="1" applyBorder="1"/>
    <xf numFmtId="0" fontId="28" fillId="26" borderId="20" xfId="0" applyFont="1" applyFill="1" applyBorder="1" applyAlignment="1">
      <alignment vertical="center"/>
    </xf>
    <xf numFmtId="1" fontId="28" fillId="26" borderId="13" xfId="0" applyNumberFormat="1" applyFont="1" applyFill="1" applyBorder="1" applyAlignment="1">
      <alignment vertical="center"/>
    </xf>
    <xf numFmtId="0" fontId="70" fillId="20" borderId="13" xfId="0" applyFont="1" applyFill="1" applyBorder="1" applyAlignment="1">
      <alignment horizontal="center" vertical="center"/>
    </xf>
    <xf numFmtId="0" fontId="58" fillId="26" borderId="22" xfId="34" applyFont="1" applyFill="1" applyBorder="1" applyAlignment="1" applyProtection="1">
      <alignment horizontal="right" vertical="center" wrapText="1"/>
    </xf>
    <xf numFmtId="0" fontId="19" fillId="39" borderId="22" xfId="34" applyFill="1" applyBorder="1" applyAlignment="1" applyProtection="1">
      <alignment horizontal="right" vertical="center" wrapText="1"/>
    </xf>
    <xf numFmtId="0" fontId="3" fillId="45" borderId="38" xfId="0" applyFont="1" applyFill="1" applyBorder="1"/>
    <xf numFmtId="0" fontId="3" fillId="45" borderId="21" xfId="0" applyFont="1" applyFill="1" applyBorder="1"/>
    <xf numFmtId="0" fontId="3" fillId="0" borderId="15" xfId="0" applyFont="1" applyFill="1" applyBorder="1" applyAlignment="1">
      <alignment horizontal="center"/>
    </xf>
    <xf numFmtId="0" fontId="3" fillId="0" borderId="37" xfId="0" applyFont="1" applyFill="1" applyBorder="1" applyAlignment="1">
      <alignment horizontal="center"/>
    </xf>
    <xf numFmtId="0" fontId="3" fillId="0" borderId="21" xfId="0" applyFont="1" applyFill="1" applyBorder="1" applyAlignment="1">
      <alignment vertical="center"/>
    </xf>
    <xf numFmtId="0" fontId="0" fillId="0" borderId="0" xfId="0" applyNumberFormat="1" applyAlignment="1">
      <alignment horizontal="left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/>
    <xf numFmtId="0" fontId="0" fillId="0" borderId="72" xfId="0" applyBorder="1"/>
    <xf numFmtId="0" fontId="3" fillId="0" borderId="77" xfId="0" applyFont="1" applyFill="1" applyBorder="1"/>
    <xf numFmtId="0" fontId="3" fillId="0" borderId="14" xfId="0" applyFont="1" applyFill="1" applyBorder="1"/>
    <xf numFmtId="0" fontId="3" fillId="0" borderId="74" xfId="0" applyFont="1" applyFill="1" applyBorder="1"/>
    <xf numFmtId="3" fontId="3" fillId="21" borderId="21" xfId="55" applyNumberFormat="1" applyFill="1" applyBorder="1" applyAlignment="1">
      <alignment horizontal="center"/>
    </xf>
    <xf numFmtId="1" fontId="29" fillId="42" borderId="0" xfId="0" applyNumberFormat="1" applyFont="1" applyFill="1" applyBorder="1"/>
    <xf numFmtId="0" fontId="0" fillId="0" borderId="0" xfId="0" applyFont="1" applyFill="1" applyBorder="1"/>
    <xf numFmtId="0" fontId="3" fillId="0" borderId="0" xfId="0" applyFont="1" applyAlignment="1">
      <alignment horizontal="center"/>
    </xf>
    <xf numFmtId="3" fontId="28" fillId="21" borderId="0" xfId="0" applyNumberFormat="1" applyFont="1" applyFill="1" applyBorder="1" applyAlignment="1">
      <alignment horizontal="center" vertical="center"/>
    </xf>
    <xf numFmtId="3" fontId="29" fillId="26" borderId="0" xfId="0" applyNumberFormat="1" applyFont="1" applyFill="1" applyBorder="1" applyAlignment="1">
      <alignment horizontal="center" vertical="center"/>
    </xf>
    <xf numFmtId="3" fontId="29" fillId="26" borderId="19" xfId="0" applyNumberFormat="1" applyFont="1" applyFill="1" applyBorder="1" applyAlignment="1">
      <alignment horizontal="center" vertical="center"/>
    </xf>
    <xf numFmtId="0" fontId="5" fillId="23" borderId="0" xfId="0" applyFont="1" applyFill="1" applyBorder="1" applyAlignment="1">
      <alignment horizontal="center" vertical="center"/>
    </xf>
    <xf numFmtId="0" fontId="5" fillId="46" borderId="16" xfId="0" applyFont="1" applyFill="1" applyBorder="1" applyAlignment="1">
      <alignment horizontal="center" vertical="center"/>
    </xf>
    <xf numFmtId="9" fontId="28" fillId="21" borderId="0" xfId="47" applyFont="1" applyFill="1" applyBorder="1" applyAlignment="1">
      <alignment horizontal="center" vertical="center"/>
    </xf>
    <xf numFmtId="169" fontId="55" fillId="0" borderId="21" xfId="36" applyNumberFormat="1" applyFont="1" applyFill="1" applyBorder="1"/>
    <xf numFmtId="0" fontId="6" fillId="50" borderId="0" xfId="0" applyFont="1" applyFill="1" applyAlignment="1">
      <alignment horizontal="left"/>
    </xf>
    <xf numFmtId="169" fontId="55" fillId="0" borderId="17" xfId="36" applyNumberFormat="1" applyFont="1" applyBorder="1"/>
    <xf numFmtId="0" fontId="6" fillId="50" borderId="0" xfId="0" applyNumberFormat="1" applyFont="1" applyFill="1" applyAlignment="1">
      <alignment horizontal="left"/>
    </xf>
    <xf numFmtId="0" fontId="54" fillId="31" borderId="0" xfId="0" applyFont="1" applyFill="1" applyAlignment="1">
      <alignment horizontal="center" vertical="center"/>
    </xf>
    <xf numFmtId="0" fontId="28" fillId="26" borderId="13" xfId="0" applyFont="1" applyFill="1" applyBorder="1" applyAlignment="1">
      <alignment horizontal="center" vertical="center"/>
    </xf>
    <xf numFmtId="175" fontId="38" fillId="52" borderId="23" xfId="0" applyNumberFormat="1" applyFont="1" applyFill="1" applyBorder="1" applyAlignment="1">
      <alignment horizontal="center"/>
    </xf>
    <xf numFmtId="176" fontId="38" fillId="50" borderId="24" xfId="0" applyNumberFormat="1" applyFont="1" applyFill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55" borderId="44" xfId="0" applyFont="1" applyFill="1" applyBorder="1" applyAlignment="1">
      <alignment horizontal="center"/>
    </xf>
    <xf numFmtId="0" fontId="8" fillId="55" borderId="15" xfId="0" applyFont="1" applyFill="1" applyBorder="1" applyAlignment="1">
      <alignment horizontal="center"/>
    </xf>
    <xf numFmtId="0" fontId="8" fillId="55" borderId="37" xfId="0" applyFont="1" applyFill="1" applyBorder="1" applyAlignment="1">
      <alignment horizontal="center"/>
    </xf>
    <xf numFmtId="0" fontId="9" fillId="0" borderId="38" xfId="0" applyFont="1" applyBorder="1"/>
    <xf numFmtId="175" fontId="38" fillId="0" borderId="0" xfId="0" applyNumberFormat="1" applyFont="1" applyFill="1" applyBorder="1" applyAlignment="1">
      <alignment horizontal="center"/>
    </xf>
    <xf numFmtId="176" fontId="38" fillId="0" borderId="0" xfId="0" applyNumberFormat="1" applyFont="1" applyFill="1" applyBorder="1" applyAlignment="1">
      <alignment horizontal="center"/>
    </xf>
    <xf numFmtId="0" fontId="3" fillId="30" borderId="0" xfId="0" applyFont="1" applyFill="1"/>
    <xf numFmtId="3" fontId="29" fillId="45" borderId="17" xfId="0" applyNumberFormat="1" applyFont="1" applyFill="1" applyBorder="1" applyAlignment="1">
      <alignment vertical="center"/>
    </xf>
    <xf numFmtId="0" fontId="32" fillId="45" borderId="0" xfId="0" applyFont="1" applyFill="1"/>
    <xf numFmtId="3" fontId="33" fillId="45" borderId="0" xfId="0" applyNumberFormat="1" applyFont="1" applyFill="1" applyBorder="1" applyAlignment="1"/>
    <xf numFmtId="0" fontId="37" fillId="45" borderId="0" xfId="0" applyFont="1" applyFill="1" applyBorder="1" applyAlignment="1">
      <alignment horizontal="center" vertical="center" wrapText="1"/>
    </xf>
    <xf numFmtId="3" fontId="32" fillId="45" borderId="0" xfId="0" applyNumberFormat="1" applyFont="1" applyFill="1" applyBorder="1" applyAlignment="1">
      <alignment horizontal="center"/>
    </xf>
    <xf numFmtId="0" fontId="32" fillId="45" borderId="0" xfId="0" applyFont="1" applyFill="1" applyBorder="1" applyAlignment="1">
      <alignment horizontal="left"/>
    </xf>
    <xf numFmtId="0" fontId="32" fillId="45" borderId="0" xfId="0" applyFont="1" applyFill="1" applyBorder="1" applyAlignment="1"/>
    <xf numFmtId="3" fontId="32" fillId="45" borderId="0" xfId="0" applyNumberFormat="1" applyFont="1" applyFill="1" applyBorder="1" applyAlignment="1"/>
    <xf numFmtId="0" fontId="32" fillId="45" borderId="0" xfId="0" applyFont="1" applyFill="1" applyBorder="1"/>
    <xf numFmtId="3" fontId="32" fillId="45" borderId="0" xfId="0" applyNumberFormat="1" applyFont="1" applyFill="1" applyBorder="1"/>
    <xf numFmtId="0" fontId="33" fillId="45" borderId="0" xfId="0" applyFont="1" applyFill="1" applyBorder="1" applyAlignment="1">
      <alignment horizontal="left"/>
    </xf>
    <xf numFmtId="3" fontId="33" fillId="45" borderId="0" xfId="0" applyNumberFormat="1" applyFont="1" applyFill="1" applyBorder="1" applyAlignment="1">
      <alignment horizontal="left"/>
    </xf>
    <xf numFmtId="3" fontId="32" fillId="45" borderId="0" xfId="0" applyNumberFormat="1" applyFont="1" applyFill="1"/>
    <xf numFmtId="3" fontId="32" fillId="45" borderId="22" xfId="0" applyNumberFormat="1" applyFont="1" applyFill="1" applyBorder="1"/>
    <xf numFmtId="0" fontId="71" fillId="54" borderId="11" xfId="0" applyFont="1" applyFill="1" applyBorder="1" applyAlignment="1">
      <alignment horizontal="justify" vertical="justify" wrapText="1"/>
    </xf>
    <xf numFmtId="0" fontId="71" fillId="54" borderId="11" xfId="0" applyFont="1" applyFill="1" applyBorder="1" applyAlignment="1">
      <alignment horizontal="left" vertical="justify" wrapText="1"/>
    </xf>
    <xf numFmtId="0" fontId="71" fillId="54" borderId="11" xfId="0" applyFont="1" applyFill="1" applyBorder="1" applyAlignment="1">
      <alignment horizontal="left" wrapText="1"/>
    </xf>
    <xf numFmtId="0" fontId="71" fillId="54" borderId="11" xfId="0" applyFont="1" applyFill="1" applyBorder="1" applyAlignment="1">
      <alignment horizontal="left"/>
    </xf>
    <xf numFmtId="169" fontId="72" fillId="0" borderId="21" xfId="36" applyNumberFormat="1" applyFont="1" applyBorder="1" applyAlignment="1">
      <alignment horizontal="center"/>
    </xf>
    <xf numFmtId="3" fontId="28" fillId="26" borderId="13" xfId="0" applyNumberFormat="1" applyFont="1" applyFill="1" applyBorder="1" applyAlignment="1">
      <alignment horizontal="center" vertical="center"/>
    </xf>
    <xf numFmtId="0" fontId="29" fillId="0" borderId="0" xfId="0" applyFont="1" applyFill="1" applyBorder="1"/>
    <xf numFmtId="0" fontId="73" fillId="51" borderId="44" xfId="0" applyFont="1" applyFill="1" applyBorder="1"/>
    <xf numFmtId="0" fontId="28" fillId="42" borderId="19" xfId="0" applyFont="1" applyFill="1" applyBorder="1"/>
    <xf numFmtId="0" fontId="29" fillId="42" borderId="78" xfId="0" applyFont="1" applyFill="1" applyBorder="1"/>
    <xf numFmtId="0" fontId="29" fillId="42" borderId="79" xfId="0" applyFont="1" applyFill="1" applyBorder="1"/>
    <xf numFmtId="0" fontId="0" fillId="0" borderId="15" xfId="0" applyBorder="1"/>
    <xf numFmtId="0" fontId="0" fillId="0" borderId="17" xfId="0" applyBorder="1"/>
    <xf numFmtId="0" fontId="3" fillId="0" borderId="15" xfId="0" applyFont="1" applyBorder="1"/>
    <xf numFmtId="3" fontId="0" fillId="0" borderId="0" xfId="0" applyNumberFormat="1" applyBorder="1"/>
    <xf numFmtId="3" fontId="29" fillId="42" borderId="17" xfId="0" applyNumberFormat="1" applyFont="1" applyFill="1" applyBorder="1"/>
    <xf numFmtId="3" fontId="0" fillId="0" borderId="17" xfId="0" applyNumberFormat="1" applyBorder="1"/>
    <xf numFmtId="0" fontId="3" fillId="0" borderId="37" xfId="0" applyFont="1" applyBorder="1"/>
    <xf numFmtId="3" fontId="0" fillId="0" borderId="78" xfId="0" applyNumberFormat="1" applyBorder="1"/>
    <xf numFmtId="3" fontId="0" fillId="0" borderId="79" xfId="0" applyNumberFormat="1" applyBorder="1"/>
    <xf numFmtId="0" fontId="28" fillId="0" borderId="19" xfId="0" applyFont="1" applyBorder="1"/>
    <xf numFmtId="0" fontId="28" fillId="0" borderId="35" xfId="0" applyFont="1" applyBorder="1" applyAlignment="1">
      <alignment horizontal="center"/>
    </xf>
    <xf numFmtId="0" fontId="9" fillId="42" borderId="0" xfId="0" applyFont="1" applyFill="1" applyBorder="1"/>
    <xf numFmtId="0" fontId="28" fillId="51" borderId="19" xfId="0" applyFont="1" applyFill="1" applyBorder="1"/>
    <xf numFmtId="0" fontId="28" fillId="42" borderId="35" xfId="0" applyFont="1" applyFill="1" applyBorder="1"/>
    <xf numFmtId="173" fontId="29" fillId="42" borderId="17" xfId="0" applyNumberFormat="1" applyFont="1" applyFill="1" applyBorder="1"/>
    <xf numFmtId="10" fontId="0" fillId="0" borderId="0" xfId="0" applyNumberFormat="1" applyBorder="1"/>
    <xf numFmtId="10" fontId="0" fillId="0" borderId="0" xfId="47" applyNumberFormat="1" applyFont="1" applyBorder="1"/>
    <xf numFmtId="10" fontId="0" fillId="0" borderId="78" xfId="47" applyNumberFormat="1" applyFont="1" applyBorder="1"/>
    <xf numFmtId="0" fontId="28" fillId="0" borderId="0" xfId="0" applyFont="1" applyBorder="1"/>
    <xf numFmtId="0" fontId="73" fillId="42" borderId="19" xfId="0" applyFont="1" applyFill="1" applyBorder="1" applyAlignment="1"/>
    <xf numFmtId="0" fontId="73" fillId="42" borderId="35" xfId="0" applyFont="1" applyFill="1" applyBorder="1" applyAlignment="1"/>
    <xf numFmtId="15" fontId="29" fillId="42" borderId="78" xfId="0" applyNumberFormat="1" applyFont="1" applyFill="1" applyBorder="1"/>
    <xf numFmtId="3" fontId="38" fillId="45" borderId="27" xfId="0" applyNumberFormat="1" applyFont="1" applyFill="1" applyBorder="1"/>
    <xf numFmtId="3" fontId="38" fillId="45" borderId="31" xfId="0" applyNumberFormat="1" applyFont="1" applyFill="1" applyBorder="1"/>
    <xf numFmtId="0" fontId="50" fillId="28" borderId="37" xfId="0" applyFont="1" applyFill="1" applyBorder="1"/>
    <xf numFmtId="0" fontId="28" fillId="45" borderId="0" xfId="0" applyFont="1" applyFill="1" applyBorder="1" applyAlignment="1">
      <alignment horizontal="center"/>
    </xf>
    <xf numFmtId="3" fontId="29" fillId="45" borderId="0" xfId="0" applyNumberFormat="1" applyFont="1" applyFill="1" applyBorder="1"/>
    <xf numFmtId="3" fontId="0" fillId="45" borderId="0" xfId="0" applyNumberFormat="1" applyFill="1" applyBorder="1"/>
    <xf numFmtId="9" fontId="28" fillId="21" borderId="0" xfId="0" applyNumberFormat="1" applyFont="1" applyFill="1" applyBorder="1" applyAlignment="1">
      <alignment horizontal="center" vertical="center"/>
    </xf>
    <xf numFmtId="9" fontId="29" fillId="26" borderId="0" xfId="0" applyNumberFormat="1" applyFont="1" applyFill="1" applyBorder="1" applyAlignment="1">
      <alignment horizontal="center" vertical="center"/>
    </xf>
    <xf numFmtId="9" fontId="29" fillId="26" borderId="13" xfId="0" applyNumberFormat="1" applyFont="1" applyFill="1" applyBorder="1" applyAlignment="1">
      <alignment horizontal="center" vertical="center"/>
    </xf>
    <xf numFmtId="10" fontId="33" fillId="0" borderId="0" xfId="0" applyNumberFormat="1" applyFont="1" applyAlignment="1">
      <alignment horizontal="center"/>
    </xf>
    <xf numFmtId="10" fontId="32" fillId="0" borderId="0" xfId="0" applyNumberFormat="1" applyFont="1"/>
    <xf numFmtId="10" fontId="32" fillId="55" borderId="19" xfId="0" applyNumberFormat="1" applyFont="1" applyFill="1" applyBorder="1"/>
    <xf numFmtId="10" fontId="32" fillId="55" borderId="35" xfId="0" applyNumberFormat="1" applyFont="1" applyFill="1" applyBorder="1"/>
    <xf numFmtId="10" fontId="32" fillId="0" borderId="0" xfId="0" applyNumberFormat="1" applyFont="1" applyBorder="1"/>
    <xf numFmtId="10" fontId="32" fillId="0" borderId="17" xfId="0" applyNumberFormat="1" applyFont="1" applyBorder="1"/>
    <xf numFmtId="10" fontId="32" fillId="55" borderId="0" xfId="0" applyNumberFormat="1" applyFont="1" applyFill="1" applyBorder="1"/>
    <xf numFmtId="10" fontId="32" fillId="55" borderId="17" xfId="0" applyNumberFormat="1" applyFont="1" applyFill="1" applyBorder="1"/>
    <xf numFmtId="10" fontId="32" fillId="55" borderId="78" xfId="0" applyNumberFormat="1" applyFont="1" applyFill="1" applyBorder="1"/>
    <xf numFmtId="10" fontId="32" fillId="55" borderId="79" xfId="0" applyNumberFormat="1" applyFont="1" applyFill="1" applyBorder="1"/>
    <xf numFmtId="10" fontId="32" fillId="0" borderId="19" xfId="0" applyNumberFormat="1" applyFont="1" applyBorder="1"/>
    <xf numFmtId="10" fontId="32" fillId="0" borderId="35" xfId="0" applyNumberFormat="1" applyFont="1" applyBorder="1"/>
    <xf numFmtId="3" fontId="3" fillId="21" borderId="54" xfId="0" applyNumberFormat="1" applyFont="1" applyFill="1" applyBorder="1"/>
    <xf numFmtId="3" fontId="3" fillId="21" borderId="52" xfId="0" applyNumberFormat="1" applyFont="1" applyFill="1" applyBorder="1"/>
    <xf numFmtId="3" fontId="3" fillId="21" borderId="45" xfId="0" applyNumberFormat="1" applyFont="1" applyFill="1" applyBorder="1"/>
    <xf numFmtId="3" fontId="3" fillId="21" borderId="46" xfId="0" applyNumberFormat="1" applyFont="1" applyFill="1" applyBorder="1"/>
    <xf numFmtId="3" fontId="3" fillId="21" borderId="36" xfId="0" applyNumberFormat="1" applyFont="1" applyFill="1" applyBorder="1"/>
    <xf numFmtId="0" fontId="3" fillId="21" borderId="0" xfId="0" applyFont="1" applyFill="1" applyBorder="1"/>
    <xf numFmtId="0" fontId="3" fillId="42" borderId="38" xfId="0" applyFont="1" applyFill="1" applyBorder="1" applyAlignment="1">
      <alignment horizontal="center"/>
    </xf>
    <xf numFmtId="3" fontId="3" fillId="21" borderId="27" xfId="0" applyNumberFormat="1" applyFont="1" applyFill="1" applyBorder="1"/>
    <xf numFmtId="0" fontId="3" fillId="42" borderId="27" xfId="0" applyFont="1" applyFill="1" applyBorder="1" applyAlignment="1">
      <alignment horizontal="center"/>
    </xf>
    <xf numFmtId="3" fontId="3" fillId="21" borderId="28" xfId="0" applyNumberFormat="1" applyFont="1" applyFill="1" applyBorder="1"/>
    <xf numFmtId="0" fontId="3" fillId="21" borderId="16" xfId="0" applyFont="1" applyFill="1" applyBorder="1"/>
    <xf numFmtId="3" fontId="3" fillId="21" borderId="26" xfId="0" applyNumberFormat="1" applyFont="1" applyFill="1" applyBorder="1"/>
    <xf numFmtId="3" fontId="3" fillId="21" borderId="0" xfId="0" applyNumberFormat="1" applyFont="1" applyFill="1" applyBorder="1"/>
    <xf numFmtId="3" fontId="3" fillId="21" borderId="16" xfId="0" applyNumberFormat="1" applyFont="1" applyFill="1" applyBorder="1"/>
    <xf numFmtId="3" fontId="28" fillId="21" borderId="22" xfId="0" applyNumberFormat="1" applyFont="1" applyFill="1" applyBorder="1" applyAlignment="1">
      <alignment horizontal="center"/>
    </xf>
    <xf numFmtId="3" fontId="3" fillId="21" borderId="20" xfId="0" applyNumberFormat="1" applyFont="1" applyFill="1" applyBorder="1"/>
    <xf numFmtId="0" fontId="28" fillId="21" borderId="19" xfId="0" applyFont="1" applyFill="1" applyBorder="1" applyAlignment="1"/>
    <xf numFmtId="0" fontId="3" fillId="21" borderId="19" xfId="0" applyFont="1" applyFill="1" applyBorder="1"/>
    <xf numFmtId="0" fontId="28" fillId="21" borderId="22" xfId="0" applyFont="1" applyFill="1" applyBorder="1" applyAlignment="1">
      <alignment horizontal="center" wrapText="1"/>
    </xf>
    <xf numFmtId="0" fontId="28" fillId="21" borderId="38" xfId="0" applyFont="1" applyFill="1" applyBorder="1" applyAlignment="1">
      <alignment horizontal="center" wrapText="1"/>
    </xf>
    <xf numFmtId="0" fontId="28" fillId="21" borderId="0" xfId="0" applyFont="1" applyFill="1" applyBorder="1" applyAlignment="1">
      <alignment horizontal="center" wrapText="1"/>
    </xf>
    <xf numFmtId="0" fontId="28" fillId="21" borderId="39" xfId="0" applyFont="1" applyFill="1" applyBorder="1" applyAlignment="1">
      <alignment horizontal="center" vertical="center"/>
    </xf>
    <xf numFmtId="0" fontId="54" fillId="31" borderId="0" xfId="0" applyFont="1" applyFill="1" applyAlignment="1">
      <alignment horizontal="center" vertical="center"/>
    </xf>
    <xf numFmtId="3" fontId="3" fillId="21" borderId="15" xfId="0" applyNumberFormat="1" applyFont="1" applyFill="1" applyBorder="1" applyAlignment="1">
      <alignment horizontal="right"/>
    </xf>
    <xf numFmtId="3" fontId="3" fillId="25" borderId="21" xfId="0" applyNumberFormat="1" applyFont="1" applyFill="1" applyBorder="1" applyAlignment="1">
      <alignment horizontal="right"/>
    </xf>
    <xf numFmtId="3" fontId="28" fillId="21" borderId="22" xfId="0" applyNumberFormat="1" applyFont="1" applyFill="1" applyBorder="1" applyAlignment="1">
      <alignment horizontal="right"/>
    </xf>
    <xf numFmtId="3" fontId="28" fillId="25" borderId="22" xfId="0" applyNumberFormat="1" applyFont="1" applyFill="1" applyBorder="1" applyAlignment="1">
      <alignment horizontal="right"/>
    </xf>
    <xf numFmtId="0" fontId="5" fillId="22" borderId="0" xfId="0" applyFont="1" applyFill="1"/>
    <xf numFmtId="0" fontId="3" fillId="21" borderId="0" xfId="0" applyFont="1" applyFill="1"/>
    <xf numFmtId="0" fontId="28" fillId="21" borderId="19" xfId="0" applyFont="1" applyFill="1" applyBorder="1" applyAlignment="1">
      <alignment horizontal="center"/>
    </xf>
    <xf numFmtId="0" fontId="3" fillId="21" borderId="35" xfId="0" applyFont="1" applyFill="1" applyBorder="1"/>
    <xf numFmtId="0" fontId="28" fillId="21" borderId="23" xfId="0" applyFont="1" applyFill="1" applyBorder="1" applyAlignment="1">
      <alignment horizontal="center" wrapText="1"/>
    </xf>
    <xf numFmtId="0" fontId="28" fillId="21" borderId="25" xfId="0" applyFont="1" applyFill="1" applyBorder="1" applyAlignment="1">
      <alignment horizontal="center" wrapText="1"/>
    </xf>
    <xf numFmtId="0" fontId="28" fillId="21" borderId="23" xfId="0" applyFont="1" applyFill="1" applyBorder="1" applyAlignment="1">
      <alignment horizontal="center" vertical="center"/>
    </xf>
    <xf numFmtId="0" fontId="28" fillId="21" borderId="24" xfId="0" applyFont="1" applyFill="1" applyBorder="1" applyAlignment="1">
      <alignment horizontal="center" vertical="center"/>
    </xf>
    <xf numFmtId="0" fontId="3" fillId="21" borderId="0" xfId="0" applyFont="1" applyFill="1" applyAlignment="1">
      <alignment wrapText="1"/>
    </xf>
    <xf numFmtId="0" fontId="3" fillId="24" borderId="0" xfId="0" applyFont="1" applyFill="1" applyAlignment="1">
      <alignment wrapText="1"/>
    </xf>
    <xf numFmtId="0" fontId="28" fillId="21" borderId="55" xfId="0" applyFont="1" applyFill="1" applyBorder="1" applyAlignment="1">
      <alignment horizontal="center"/>
    </xf>
    <xf numFmtId="0" fontId="3" fillId="21" borderId="57" xfId="0" applyFont="1" applyFill="1" applyBorder="1" applyAlignment="1">
      <alignment horizontal="center"/>
    </xf>
    <xf numFmtId="3" fontId="3" fillId="21" borderId="57" xfId="0" applyNumberFormat="1" applyFont="1" applyFill="1" applyBorder="1" applyAlignment="1">
      <alignment horizontal="center"/>
    </xf>
    <xf numFmtId="0" fontId="3" fillId="42" borderId="58" xfId="0" applyFont="1" applyFill="1" applyBorder="1"/>
    <xf numFmtId="0" fontId="28" fillId="21" borderId="42" xfId="0" applyFont="1" applyFill="1" applyBorder="1" applyAlignment="1">
      <alignment horizontal="center"/>
    </xf>
    <xf numFmtId="0" fontId="3" fillId="42" borderId="31" xfId="0" applyFont="1" applyFill="1" applyBorder="1"/>
    <xf numFmtId="0" fontId="28" fillId="21" borderId="59" xfId="0" applyFont="1" applyFill="1" applyBorder="1" applyAlignment="1">
      <alignment horizontal="center"/>
    </xf>
    <xf numFmtId="3" fontId="3" fillId="21" borderId="77" xfId="0" applyNumberFormat="1" applyFont="1" applyFill="1" applyBorder="1" applyAlignment="1">
      <alignment horizontal="center"/>
    </xf>
    <xf numFmtId="3" fontId="3" fillId="21" borderId="47" xfId="0" applyNumberFormat="1" applyFont="1" applyFill="1" applyBorder="1"/>
    <xf numFmtId="0" fontId="3" fillId="42" borderId="33" xfId="0" applyFont="1" applyFill="1" applyBorder="1"/>
    <xf numFmtId="3" fontId="28" fillId="21" borderId="13" xfId="0" applyNumberFormat="1" applyFont="1" applyFill="1" applyBorder="1" applyAlignment="1">
      <alignment horizontal="center"/>
    </xf>
    <xf numFmtId="3" fontId="3" fillId="21" borderId="18" xfId="0" applyNumberFormat="1" applyFont="1" applyFill="1" applyBorder="1"/>
    <xf numFmtId="0" fontId="28" fillId="21" borderId="0" xfId="0" applyFont="1" applyFill="1" applyBorder="1" applyAlignment="1">
      <alignment horizontal="center"/>
    </xf>
    <xf numFmtId="0" fontId="3" fillId="22" borderId="35" xfId="0" applyFont="1" applyFill="1" applyBorder="1"/>
    <xf numFmtId="0" fontId="28" fillId="21" borderId="12" xfId="0" applyFont="1" applyFill="1" applyBorder="1" applyAlignment="1">
      <alignment horizontal="center" wrapText="1"/>
    </xf>
    <xf numFmtId="0" fontId="28" fillId="21" borderId="56" xfId="0" applyFont="1" applyFill="1" applyBorder="1" applyAlignment="1">
      <alignment horizontal="center" wrapText="1"/>
    </xf>
    <xf numFmtId="0" fontId="28" fillId="21" borderId="24" xfId="0" applyFont="1" applyFill="1" applyBorder="1" applyAlignment="1">
      <alignment horizontal="center" wrapText="1"/>
    </xf>
    <xf numFmtId="0" fontId="28" fillId="21" borderId="40" xfId="0" applyFont="1" applyFill="1" applyBorder="1" applyAlignment="1">
      <alignment horizontal="center" vertical="center"/>
    </xf>
    <xf numFmtId="0" fontId="3" fillId="22" borderId="0" xfId="0" applyFont="1" applyFill="1" applyBorder="1"/>
    <xf numFmtId="0" fontId="3" fillId="22" borderId="17" xfId="0" applyFont="1" applyFill="1" applyBorder="1"/>
    <xf numFmtId="0" fontId="3" fillId="21" borderId="38" xfId="0" applyFont="1" applyFill="1" applyBorder="1" applyAlignment="1">
      <alignment horizontal="center"/>
    </xf>
    <xf numFmtId="0" fontId="3" fillId="42" borderId="36" xfId="0" applyFont="1" applyFill="1" applyBorder="1"/>
    <xf numFmtId="0" fontId="3" fillId="21" borderId="27" xfId="0" applyFont="1" applyFill="1" applyBorder="1" applyAlignment="1">
      <alignment horizontal="center"/>
    </xf>
    <xf numFmtId="0" fontId="3" fillId="42" borderId="27" xfId="0" applyFont="1" applyFill="1" applyBorder="1"/>
    <xf numFmtId="0" fontId="28" fillId="21" borderId="43" xfId="0" applyFont="1" applyFill="1" applyBorder="1" applyAlignment="1">
      <alignment horizontal="center"/>
    </xf>
    <xf numFmtId="0" fontId="3" fillId="42" borderId="28" xfId="0" applyFont="1" applyFill="1" applyBorder="1"/>
    <xf numFmtId="0" fontId="28" fillId="21" borderId="37" xfId="0" applyFont="1" applyFill="1" applyBorder="1" applyAlignment="1">
      <alignment horizontal="center"/>
    </xf>
    <xf numFmtId="3" fontId="28" fillId="21" borderId="29" xfId="0" applyNumberFormat="1" applyFont="1" applyFill="1" applyBorder="1" applyAlignment="1">
      <alignment horizontal="center"/>
    </xf>
    <xf numFmtId="3" fontId="3" fillId="21" borderId="22" xfId="0" applyNumberFormat="1" applyFont="1" applyFill="1" applyBorder="1"/>
    <xf numFmtId="3" fontId="28" fillId="21" borderId="37" xfId="0" applyNumberFormat="1" applyFont="1" applyFill="1" applyBorder="1" applyAlignment="1">
      <alignment horizontal="center"/>
    </xf>
    <xf numFmtId="0" fontId="3" fillId="22" borderId="16" xfId="0" applyFont="1" applyFill="1" applyBorder="1"/>
    <xf numFmtId="0" fontId="3" fillId="22" borderId="18" xfId="0" applyFont="1" applyFill="1" applyBorder="1"/>
    <xf numFmtId="3" fontId="3" fillId="21" borderId="74" xfId="0" applyNumberFormat="1" applyFont="1" applyFill="1" applyBorder="1" applyAlignment="1">
      <alignment horizontal="center"/>
    </xf>
    <xf numFmtId="0" fontId="28" fillId="21" borderId="80" xfId="0" applyFont="1" applyFill="1" applyBorder="1" applyAlignment="1">
      <alignment horizontal="center" wrapText="1"/>
    </xf>
    <xf numFmtId="3" fontId="32" fillId="39" borderId="61" xfId="0" applyNumberFormat="1" applyFont="1" applyFill="1" applyBorder="1" applyAlignment="1">
      <alignment horizontal="center"/>
    </xf>
    <xf numFmtId="3" fontId="38" fillId="41" borderId="57" xfId="0" applyNumberFormat="1" applyFont="1" applyFill="1" applyBorder="1" applyAlignment="1">
      <alignment vertical="top" wrapText="1"/>
    </xf>
    <xf numFmtId="10" fontId="32" fillId="55" borderId="19" xfId="0" applyNumberFormat="1" applyFont="1" applyFill="1" applyBorder="1" applyAlignment="1">
      <alignment horizontal="center"/>
    </xf>
    <xf numFmtId="10" fontId="32" fillId="55" borderId="35" xfId="0" applyNumberFormat="1" applyFont="1" applyFill="1" applyBorder="1" applyAlignment="1">
      <alignment horizontal="center"/>
    </xf>
    <xf numFmtId="10" fontId="32" fillId="0" borderId="0" xfId="0" applyNumberFormat="1" applyFont="1" applyBorder="1" applyAlignment="1">
      <alignment horizontal="center"/>
    </xf>
    <xf numFmtId="10" fontId="32" fillId="0" borderId="17" xfId="0" applyNumberFormat="1" applyFont="1" applyBorder="1" applyAlignment="1">
      <alignment horizontal="center"/>
    </xf>
    <xf numFmtId="10" fontId="32" fillId="55" borderId="0" xfId="0" applyNumberFormat="1" applyFont="1" applyFill="1" applyBorder="1" applyAlignment="1">
      <alignment horizontal="center"/>
    </xf>
    <xf numFmtId="10" fontId="32" fillId="55" borderId="17" xfId="0" applyNumberFormat="1" applyFont="1" applyFill="1" applyBorder="1" applyAlignment="1">
      <alignment horizontal="center"/>
    </xf>
    <xf numFmtId="10" fontId="32" fillId="55" borderId="78" xfId="0" applyNumberFormat="1" applyFont="1" applyFill="1" applyBorder="1" applyAlignment="1">
      <alignment horizontal="center"/>
    </xf>
    <xf numFmtId="10" fontId="32" fillId="55" borderId="79" xfId="0" applyNumberFormat="1" applyFont="1" applyFill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169" fontId="55" fillId="26" borderId="21" xfId="36" applyNumberFormat="1" applyFont="1" applyFill="1" applyBorder="1" applyAlignment="1">
      <alignment horizontal="center"/>
    </xf>
    <xf numFmtId="169" fontId="55" fillId="0" borderId="21" xfId="36" applyNumberFormat="1" applyFont="1" applyFill="1" applyBorder="1" applyAlignment="1">
      <alignment horizontal="center"/>
    </xf>
    <xf numFmtId="169" fontId="55" fillId="0" borderId="21" xfId="36" applyNumberFormat="1" applyFont="1" applyBorder="1" applyAlignment="1">
      <alignment horizontal="center"/>
    </xf>
    <xf numFmtId="167" fontId="8" fillId="21" borderId="27" xfId="36" applyNumberFormat="1" applyFont="1" applyFill="1" applyBorder="1" applyAlignment="1">
      <alignment horizontal="center"/>
    </xf>
    <xf numFmtId="169" fontId="9" fillId="0" borderId="21" xfId="36" applyNumberFormat="1" applyFont="1" applyBorder="1" applyAlignment="1">
      <alignment horizontal="center"/>
    </xf>
    <xf numFmtId="167" fontId="8" fillId="0" borderId="27" xfId="36" applyNumberFormat="1" applyFont="1" applyFill="1" applyBorder="1" applyAlignment="1">
      <alignment horizontal="center"/>
    </xf>
    <xf numFmtId="169" fontId="55" fillId="39" borderId="21" xfId="36" applyNumberFormat="1" applyFont="1" applyFill="1" applyBorder="1" applyAlignment="1">
      <alignment horizontal="center"/>
    </xf>
    <xf numFmtId="167" fontId="8" fillId="21" borderId="28" xfId="36" applyNumberFormat="1" applyFont="1" applyFill="1" applyBorder="1" applyAlignment="1">
      <alignment horizontal="center"/>
    </xf>
    <xf numFmtId="9" fontId="0" fillId="0" borderId="21" xfId="0" applyNumberFormat="1" applyFill="1" applyBorder="1"/>
    <xf numFmtId="169" fontId="55" fillId="61" borderId="21" xfId="36" applyNumberFormat="1" applyFont="1" applyFill="1" applyBorder="1"/>
    <xf numFmtId="0" fontId="8" fillId="0" borderId="0" xfId="0" applyFont="1" applyAlignment="1">
      <alignment horizontal="center" wrapText="1"/>
    </xf>
    <xf numFmtId="10" fontId="33" fillId="0" borderId="0" xfId="0" applyNumberFormat="1" applyFont="1" applyAlignment="1">
      <alignment horizontal="center" vertical="center"/>
    </xf>
    <xf numFmtId="10" fontId="32" fillId="0" borderId="0" xfId="0" applyNumberFormat="1" applyFont="1" applyAlignment="1">
      <alignment vertical="center"/>
    </xf>
    <xf numFmtId="10" fontId="33" fillId="0" borderId="0" xfId="47" applyNumberFormat="1" applyFont="1" applyAlignment="1">
      <alignment horizontal="center"/>
    </xf>
    <xf numFmtId="0" fontId="71" fillId="0" borderId="0" xfId="59" applyFont="1"/>
    <xf numFmtId="9" fontId="28" fillId="0" borderId="0" xfId="0" applyNumberFormat="1" applyFont="1"/>
    <xf numFmtId="0" fontId="71" fillId="0" borderId="0" xfId="59" applyFont="1" applyAlignment="1">
      <alignment vertical="center"/>
    </xf>
    <xf numFmtId="0" fontId="71" fillId="0" borderId="0" xfId="59" applyFont="1" applyAlignment="1">
      <alignment horizontal="center"/>
    </xf>
    <xf numFmtId="169" fontId="71" fillId="0" borderId="0" xfId="36" applyNumberFormat="1" applyFont="1" applyAlignment="1">
      <alignment horizontal="center"/>
    </xf>
    <xf numFmtId="169" fontId="71" fillId="0" borderId="0" xfId="59" applyNumberFormat="1" applyFont="1" applyAlignment="1">
      <alignment horizontal="center"/>
    </xf>
    <xf numFmtId="0" fontId="71" fillId="0" borderId="0" xfId="59" applyFont="1" applyBorder="1" applyAlignment="1">
      <alignment horizontal="center"/>
    </xf>
    <xf numFmtId="0" fontId="77" fillId="53" borderId="11" xfId="59" applyFont="1" applyFill="1" applyBorder="1" applyAlignment="1">
      <alignment vertical="center" wrapText="1"/>
    </xf>
    <xf numFmtId="0" fontId="77" fillId="53" borderId="11" xfId="59" applyFont="1" applyFill="1" applyBorder="1" applyAlignment="1">
      <alignment horizontal="left" vertical="center" wrapText="1"/>
    </xf>
    <xf numFmtId="0" fontId="77" fillId="53" borderId="77" xfId="59" applyFont="1" applyFill="1" applyBorder="1" applyAlignment="1">
      <alignment horizontal="left" vertical="center" wrapText="1"/>
    </xf>
    <xf numFmtId="0" fontId="77" fillId="53" borderId="72" xfId="59" applyFont="1" applyFill="1" applyBorder="1" applyAlignment="1">
      <alignment horizontal="left" vertical="center" wrapText="1"/>
    </xf>
    <xf numFmtId="0" fontId="77" fillId="50" borderId="11" xfId="59" applyFont="1" applyFill="1" applyBorder="1" applyAlignment="1">
      <alignment horizontal="left" vertical="center" wrapText="1"/>
    </xf>
    <xf numFmtId="0" fontId="77" fillId="50" borderId="11" xfId="59" applyFont="1" applyFill="1" applyBorder="1" applyAlignment="1">
      <alignment vertical="center" wrapText="1"/>
    </xf>
    <xf numFmtId="0" fontId="77" fillId="51" borderId="11" xfId="59" applyFont="1" applyFill="1" applyBorder="1" applyAlignment="1">
      <alignment vertical="center" wrapText="1"/>
    </xf>
    <xf numFmtId="169" fontId="71" fillId="0" borderId="0" xfId="36" applyNumberFormat="1" applyFont="1"/>
    <xf numFmtId="169" fontId="71" fillId="0" borderId="0" xfId="59" applyNumberFormat="1" applyFont="1"/>
    <xf numFmtId="3" fontId="71" fillId="0" borderId="0" xfId="59" applyNumberFormat="1" applyFont="1"/>
    <xf numFmtId="3" fontId="78" fillId="0" borderId="0" xfId="59" applyNumberFormat="1" applyFont="1"/>
    <xf numFmtId="0" fontId="79" fillId="0" borderId="0" xfId="59" applyFont="1" applyAlignment="1">
      <alignment vertical="center"/>
    </xf>
    <xf numFmtId="0" fontId="19" fillId="26" borderId="15" xfId="34" applyFill="1" applyBorder="1" applyAlignment="1" applyProtection="1">
      <alignment horizontal="right" vertical="center"/>
    </xf>
    <xf numFmtId="0" fontId="19" fillId="26" borderId="37" xfId="34" applyFill="1" applyBorder="1" applyAlignment="1" applyProtection="1">
      <alignment horizontal="right" vertical="center"/>
    </xf>
    <xf numFmtId="0" fontId="19" fillId="35" borderId="44" xfId="34" applyFill="1" applyBorder="1" applyAlignment="1" applyProtection="1">
      <alignment horizontal="right" vertical="center" wrapText="1"/>
    </xf>
    <xf numFmtId="0" fontId="71" fillId="0" borderId="0" xfId="59" applyFont="1" applyFill="1" applyAlignment="1">
      <alignment horizontal="center" vertical="center"/>
    </xf>
    <xf numFmtId="3" fontId="71" fillId="0" borderId="0" xfId="59" applyNumberFormat="1" applyFont="1" applyFill="1" applyAlignment="1">
      <alignment horizontal="center" vertical="center"/>
    </xf>
    <xf numFmtId="10" fontId="71" fillId="0" borderId="0" xfId="59" applyNumberFormat="1" applyFont="1" applyFill="1" applyAlignment="1">
      <alignment horizontal="center" vertical="center"/>
    </xf>
    <xf numFmtId="10" fontId="83" fillId="62" borderId="20" xfId="47" applyNumberFormat="1" applyFont="1" applyFill="1" applyBorder="1" applyAlignment="1">
      <alignment horizontal="center" vertical="center"/>
    </xf>
    <xf numFmtId="0" fontId="75" fillId="49" borderId="23" xfId="59" applyFont="1" applyFill="1" applyBorder="1" applyAlignment="1">
      <alignment horizontal="center" wrapText="1"/>
    </xf>
    <xf numFmtId="3" fontId="83" fillId="62" borderId="24" xfId="59" applyNumberFormat="1" applyFont="1" applyFill="1" applyBorder="1" applyAlignment="1">
      <alignment horizontal="center" vertical="center"/>
    </xf>
    <xf numFmtId="0" fontId="75" fillId="49" borderId="81" xfId="59" applyFont="1" applyFill="1" applyBorder="1" applyAlignment="1">
      <alignment horizontal="center" wrapText="1"/>
    </xf>
    <xf numFmtId="0" fontId="75" fillId="49" borderId="82" xfId="59" applyFont="1" applyFill="1" applyBorder="1" applyAlignment="1">
      <alignment horizontal="center" vertical="center" wrapText="1"/>
    </xf>
    <xf numFmtId="0" fontId="75" fillId="49" borderId="83" xfId="59" applyFont="1" applyFill="1" applyBorder="1" applyAlignment="1">
      <alignment horizontal="center" vertical="center" wrapText="1"/>
    </xf>
    <xf numFmtId="0" fontId="75" fillId="49" borderId="30" xfId="59" applyFont="1" applyFill="1" applyBorder="1" applyAlignment="1">
      <alignment horizontal="center" wrapText="1"/>
    </xf>
    <xf numFmtId="0" fontId="75" fillId="59" borderId="30" xfId="59" applyFont="1" applyFill="1" applyBorder="1" applyAlignment="1">
      <alignment horizontal="center" wrapText="1"/>
    </xf>
    <xf numFmtId="3" fontId="71" fillId="0" borderId="31" xfId="59" applyNumberFormat="1" applyFont="1" applyFill="1" applyBorder="1" applyAlignment="1">
      <alignment horizontal="center" vertical="center"/>
    </xf>
    <xf numFmtId="3" fontId="71" fillId="0" borderId="62" xfId="59" applyNumberFormat="1" applyFont="1" applyFill="1" applyBorder="1" applyAlignment="1">
      <alignment horizontal="center" vertical="center"/>
    </xf>
    <xf numFmtId="0" fontId="75" fillId="49" borderId="32" xfId="59" applyFont="1" applyFill="1" applyBorder="1" applyAlignment="1">
      <alignment horizontal="center" wrapText="1"/>
    </xf>
    <xf numFmtId="3" fontId="82" fillId="62" borderId="86" xfId="59" applyNumberFormat="1" applyFont="1" applyFill="1" applyBorder="1" applyAlignment="1">
      <alignment horizontal="center" vertical="center"/>
    </xf>
    <xf numFmtId="0" fontId="75" fillId="57" borderId="0" xfId="59" applyFont="1" applyFill="1" applyBorder="1" applyAlignment="1">
      <alignment horizontal="center" wrapText="1"/>
    </xf>
    <xf numFmtId="0" fontId="75" fillId="57" borderId="0" xfId="59" applyFont="1" applyFill="1" applyBorder="1" applyAlignment="1">
      <alignment horizontal="center" vertical="center" wrapText="1"/>
    </xf>
    <xf numFmtId="3" fontId="71" fillId="0" borderId="0" xfId="59" applyNumberFormat="1" applyFont="1" applyFill="1" applyBorder="1" applyAlignment="1">
      <alignment horizontal="center" vertical="center"/>
    </xf>
    <xf numFmtId="0" fontId="71" fillId="0" borderId="0" xfId="59" applyFont="1" applyBorder="1"/>
    <xf numFmtId="0" fontId="71" fillId="0" borderId="0" xfId="59" applyFont="1" applyBorder="1" applyAlignment="1">
      <alignment vertical="center"/>
    </xf>
    <xf numFmtId="3" fontId="71" fillId="62" borderId="75" xfId="59" applyNumberFormat="1" applyFont="1" applyFill="1" applyBorder="1" applyAlignment="1">
      <alignment horizontal="center" vertical="center"/>
    </xf>
    <xf numFmtId="3" fontId="78" fillId="53" borderId="31" xfId="59" applyNumberFormat="1" applyFont="1" applyFill="1" applyBorder="1" applyAlignment="1">
      <alignment horizontal="center" vertical="center"/>
    </xf>
    <xf numFmtId="3" fontId="78" fillId="50" borderId="31" xfId="59" applyNumberFormat="1" applyFont="1" applyFill="1" applyBorder="1" applyAlignment="1">
      <alignment horizontal="center" vertical="center"/>
    </xf>
    <xf numFmtId="3" fontId="78" fillId="51" borderId="31" xfId="59" applyNumberFormat="1" applyFont="1" applyFill="1" applyBorder="1" applyAlignment="1">
      <alignment horizontal="center" vertical="center"/>
    </xf>
    <xf numFmtId="3" fontId="83" fillId="62" borderId="31" xfId="59" applyNumberFormat="1" applyFont="1" applyFill="1" applyBorder="1" applyAlignment="1">
      <alignment horizontal="center" vertical="center"/>
    </xf>
    <xf numFmtId="3" fontId="83" fillId="62" borderId="86" xfId="59" applyNumberFormat="1" applyFont="1" applyFill="1" applyBorder="1" applyAlignment="1">
      <alignment horizontal="center" vertical="center"/>
    </xf>
    <xf numFmtId="3" fontId="28" fillId="21" borderId="0" xfId="0" applyNumberFormat="1" applyFont="1" applyFill="1" applyBorder="1" applyAlignment="1">
      <alignment horizontal="center" vertical="center"/>
    </xf>
    <xf numFmtId="3" fontId="28" fillId="21" borderId="17" xfId="0" applyNumberFormat="1" applyFont="1" applyFill="1" applyBorder="1" applyAlignment="1">
      <alignment horizontal="center" vertical="center"/>
    </xf>
    <xf numFmtId="3" fontId="28" fillId="21" borderId="16" xfId="0" applyNumberFormat="1" applyFont="1" applyFill="1" applyBorder="1" applyAlignment="1">
      <alignment horizontal="center" vertical="center"/>
    </xf>
    <xf numFmtId="3" fontId="28" fillId="21" borderId="18" xfId="0" applyNumberFormat="1" applyFont="1" applyFill="1" applyBorder="1" applyAlignment="1">
      <alignment horizontal="center" vertical="center"/>
    </xf>
    <xf numFmtId="3" fontId="29" fillId="26" borderId="13" xfId="0" applyNumberFormat="1" applyFont="1" applyFill="1" applyBorder="1" applyAlignment="1">
      <alignment horizontal="center" vertical="center"/>
    </xf>
    <xf numFmtId="3" fontId="29" fillId="26" borderId="19" xfId="0" applyNumberFormat="1" applyFont="1" applyFill="1" applyBorder="1" applyAlignment="1">
      <alignment horizontal="center" vertical="center"/>
    </xf>
    <xf numFmtId="0" fontId="5" fillId="46" borderId="13" xfId="0" applyFont="1" applyFill="1" applyBorder="1" applyAlignment="1">
      <alignment horizontal="center" vertical="center"/>
    </xf>
    <xf numFmtId="3" fontId="28" fillId="21" borderId="19" xfId="0" applyNumberFormat="1" applyFont="1" applyFill="1" applyBorder="1" applyAlignment="1">
      <alignment horizontal="center" vertical="center"/>
    </xf>
    <xf numFmtId="3" fontId="28" fillId="21" borderId="35" xfId="0" applyNumberFormat="1" applyFont="1" applyFill="1" applyBorder="1" applyAlignment="1">
      <alignment horizontal="center" vertical="center"/>
    </xf>
    <xf numFmtId="0" fontId="5" fillId="23" borderId="13" xfId="0" applyFont="1" applyFill="1" applyBorder="1" applyAlignment="1">
      <alignment horizontal="center" vertical="center"/>
    </xf>
    <xf numFmtId="3" fontId="29" fillId="26" borderId="0" xfId="0" applyNumberFormat="1" applyFont="1" applyFill="1" applyBorder="1" applyAlignment="1">
      <alignment horizontal="center" vertical="center"/>
    </xf>
    <xf numFmtId="3" fontId="84" fillId="63" borderId="71" xfId="0" applyNumberFormat="1" applyFont="1" applyFill="1" applyBorder="1"/>
    <xf numFmtId="0" fontId="85" fillId="21" borderId="0" xfId="0" applyFont="1" applyFill="1"/>
    <xf numFmtId="0" fontId="85" fillId="21" borderId="0" xfId="0" applyFont="1" applyFill="1" applyAlignment="1">
      <alignment horizontal="center"/>
    </xf>
    <xf numFmtId="0" fontId="85" fillId="21" borderId="0" xfId="0" applyFont="1" applyFill="1" applyAlignment="1">
      <alignment horizontal="justify" vertical="center"/>
    </xf>
    <xf numFmtId="0" fontId="85" fillId="22" borderId="0" xfId="0" applyFont="1" applyFill="1" applyBorder="1"/>
    <xf numFmtId="0" fontId="85" fillId="22" borderId="0" xfId="0" applyFont="1" applyFill="1" applyBorder="1" applyAlignment="1">
      <alignment horizontal="center"/>
    </xf>
    <xf numFmtId="0" fontId="68" fillId="22" borderId="15" xfId="0" applyFont="1" applyFill="1" applyBorder="1"/>
    <xf numFmtId="0" fontId="68" fillId="22" borderId="0" xfId="0" applyFont="1" applyFill="1" applyBorder="1"/>
    <xf numFmtId="0" fontId="44" fillId="45" borderId="15" xfId="0" applyFont="1" applyFill="1" applyBorder="1"/>
    <xf numFmtId="0" fontId="0" fillId="45" borderId="15" xfId="0" applyFill="1" applyBorder="1"/>
    <xf numFmtId="0" fontId="85" fillId="45" borderId="15" xfId="0" applyFont="1" applyFill="1" applyBorder="1"/>
    <xf numFmtId="0" fontId="3" fillId="21" borderId="0" xfId="0" applyFont="1" applyFill="1" applyAlignment="1">
      <alignment horizontal="center"/>
    </xf>
    <xf numFmtId="1" fontId="3" fillId="21" borderId="34" xfId="0" applyNumberFormat="1" applyFont="1" applyFill="1" applyBorder="1" applyAlignment="1">
      <alignment horizontal="center"/>
    </xf>
    <xf numFmtId="1" fontId="3" fillId="21" borderId="30" xfId="0" applyNumberFormat="1" applyFont="1" applyFill="1" applyBorder="1" applyAlignment="1">
      <alignment horizontal="center"/>
    </xf>
    <xf numFmtId="1" fontId="3" fillId="21" borderId="32" xfId="0" applyNumberFormat="1" applyFont="1" applyFill="1" applyBorder="1" applyAlignment="1">
      <alignment horizontal="center"/>
    </xf>
    <xf numFmtId="1" fontId="3" fillId="21" borderId="41" xfId="0" applyNumberFormat="1" applyFont="1" applyFill="1" applyBorder="1" applyAlignment="1">
      <alignment horizontal="center"/>
    </xf>
    <xf numFmtId="1" fontId="3" fillId="21" borderId="42" xfId="0" applyNumberFormat="1" applyFont="1" applyFill="1" applyBorder="1" applyAlignment="1">
      <alignment horizontal="center"/>
    </xf>
    <xf numFmtId="1" fontId="3" fillId="21" borderId="43" xfId="0" applyNumberFormat="1" applyFont="1" applyFill="1" applyBorder="1" applyAlignment="1">
      <alignment horizontal="center"/>
    </xf>
    <xf numFmtId="3" fontId="4" fillId="23" borderId="13" xfId="0" applyNumberFormat="1" applyFont="1" applyFill="1" applyBorder="1" applyAlignment="1">
      <alignment horizontal="center" vertical="center" wrapText="1"/>
    </xf>
    <xf numFmtId="0" fontId="3" fillId="42" borderId="78" xfId="0" applyFont="1" applyFill="1" applyBorder="1"/>
    <xf numFmtId="177" fontId="29" fillId="42" borderId="0" xfId="0" applyNumberFormat="1" applyFont="1" applyFill="1" applyBorder="1"/>
    <xf numFmtId="0" fontId="3" fillId="42" borderId="15" xfId="0" applyFont="1" applyFill="1" applyBorder="1" applyAlignment="1">
      <alignment horizontal="center"/>
    </xf>
    <xf numFmtId="15" fontId="85" fillId="42" borderId="0" xfId="0" applyNumberFormat="1" applyFont="1" applyFill="1" applyBorder="1"/>
    <xf numFmtId="0" fontId="3" fillId="22" borderId="0" xfId="0" applyFont="1" applyFill="1" applyAlignment="1">
      <alignment horizontal="center"/>
    </xf>
    <xf numFmtId="169" fontId="3" fillId="22" borderId="0" xfId="36" applyNumberFormat="1" applyFont="1" applyFill="1" applyAlignment="1">
      <alignment horizontal="center"/>
    </xf>
    <xf numFmtId="170" fontId="3" fillId="22" borderId="38" xfId="38" applyNumberFormat="1" applyFont="1" applyFill="1" applyBorder="1" applyAlignment="1">
      <alignment horizontal="center"/>
    </xf>
    <xf numFmtId="170" fontId="3" fillId="22" borderId="21" xfId="38" applyNumberFormat="1" applyFont="1" applyFill="1" applyBorder="1" applyAlignment="1">
      <alignment horizontal="center"/>
    </xf>
    <xf numFmtId="9" fontId="3" fillId="22" borderId="21" xfId="47" applyFont="1" applyFill="1" applyBorder="1" applyAlignment="1">
      <alignment horizontal="center"/>
    </xf>
    <xf numFmtId="3" fontId="3" fillId="22" borderId="21" xfId="0" applyNumberFormat="1" applyFont="1" applyFill="1" applyBorder="1" applyAlignment="1">
      <alignment horizontal="center"/>
    </xf>
    <xf numFmtId="169" fontId="3" fillId="22" borderId="21" xfId="36" applyNumberFormat="1" applyFont="1" applyFill="1" applyBorder="1" applyAlignment="1">
      <alignment horizontal="center"/>
    </xf>
    <xf numFmtId="0" fontId="3" fillId="22" borderId="21" xfId="0" applyFont="1" applyFill="1" applyBorder="1" applyAlignment="1">
      <alignment horizontal="center"/>
    </xf>
    <xf numFmtId="0" fontId="3" fillId="22" borderId="29" xfId="0" applyFont="1" applyFill="1" applyBorder="1" applyAlignment="1">
      <alignment horizontal="center"/>
    </xf>
    <xf numFmtId="3" fontId="3" fillId="22" borderId="38" xfId="0" applyNumberFormat="1" applyFont="1" applyFill="1" applyBorder="1" applyAlignment="1">
      <alignment horizontal="center"/>
    </xf>
    <xf numFmtId="3" fontId="3" fillId="22" borderId="29" xfId="0" applyNumberFormat="1" applyFont="1" applyFill="1" applyBorder="1" applyAlignment="1">
      <alignment horizontal="center"/>
    </xf>
    <xf numFmtId="3" fontId="87" fillId="21" borderId="48" xfId="0" applyNumberFormat="1" applyFont="1" applyFill="1" applyBorder="1" applyAlignment="1">
      <alignment horizontal="center"/>
    </xf>
    <xf numFmtId="0" fontId="3" fillId="40" borderId="0" xfId="0" applyFont="1" applyFill="1"/>
    <xf numFmtId="0" fontId="0" fillId="40" borderId="0" xfId="0" applyFill="1"/>
    <xf numFmtId="3" fontId="0" fillId="40" borderId="0" xfId="0" applyNumberFormat="1" applyFill="1"/>
    <xf numFmtId="0" fontId="3" fillId="0" borderId="10" xfId="0" applyFont="1" applyFill="1" applyBorder="1" applyAlignment="1">
      <alignment horizontal="center"/>
    </xf>
    <xf numFmtId="0" fontId="28" fillId="0" borderId="72" xfId="0" applyFont="1" applyBorder="1" applyAlignment="1">
      <alignment horizontal="center"/>
    </xf>
    <xf numFmtId="0" fontId="28" fillId="0" borderId="60" xfId="0" applyFont="1" applyBorder="1" applyAlignment="1">
      <alignment horizontal="center"/>
    </xf>
    <xf numFmtId="0" fontId="0" fillId="21" borderId="29" xfId="0" applyFill="1" applyBorder="1"/>
    <xf numFmtId="0" fontId="50" fillId="28" borderId="78" xfId="0" applyFont="1" applyFill="1" applyBorder="1" applyAlignment="1">
      <alignment horizontal="center"/>
    </xf>
    <xf numFmtId="0" fontId="38" fillId="0" borderId="81" xfId="0" applyFont="1" applyBorder="1"/>
    <xf numFmtId="0" fontId="38" fillId="0" borderId="30" xfId="0" applyFont="1" applyBorder="1"/>
    <xf numFmtId="0" fontId="38" fillId="0" borderId="32" xfId="0" applyFont="1" applyBorder="1"/>
    <xf numFmtId="0" fontId="38" fillId="0" borderId="50" xfId="0" applyFont="1" applyBorder="1"/>
    <xf numFmtId="3" fontId="38" fillId="0" borderId="50" xfId="0" applyNumberFormat="1" applyFont="1" applyBorder="1"/>
    <xf numFmtId="0" fontId="50" fillId="28" borderId="69" xfId="0" applyFont="1" applyFill="1" applyBorder="1"/>
    <xf numFmtId="0" fontId="38" fillId="0" borderId="81" xfId="0" applyFont="1" applyBorder="1" applyAlignment="1">
      <alignment vertical="top" wrapText="1"/>
    </xf>
    <xf numFmtId="0" fontId="38" fillId="0" borderId="30" xfId="0" applyFont="1" applyBorder="1" applyAlignment="1">
      <alignment vertical="top" wrapText="1"/>
    </xf>
    <xf numFmtId="3" fontId="0" fillId="32" borderId="91" xfId="0" applyNumberFormat="1" applyFill="1" applyBorder="1"/>
    <xf numFmtId="3" fontId="0" fillId="32" borderId="26" xfId="0" applyNumberFormat="1" applyFill="1" applyBorder="1"/>
    <xf numFmtId="0" fontId="38" fillId="0" borderId="36" xfId="0" applyFont="1" applyBorder="1"/>
    <xf numFmtId="0" fontId="55" fillId="30" borderId="75" xfId="0" applyFont="1" applyFill="1" applyBorder="1"/>
    <xf numFmtId="3" fontId="0" fillId="0" borderId="36" xfId="0" applyNumberFormat="1" applyFill="1" applyBorder="1"/>
    <xf numFmtId="3" fontId="0" fillId="0" borderId="36" xfId="0" applyNumberFormat="1" applyBorder="1"/>
    <xf numFmtId="3" fontId="0" fillId="41" borderId="36" xfId="0" applyNumberFormat="1" applyFill="1" applyBorder="1"/>
    <xf numFmtId="0" fontId="38" fillId="0" borderId="27" xfId="0" applyFont="1" applyBorder="1"/>
    <xf numFmtId="0" fontId="38" fillId="0" borderId="28" xfId="0" applyFont="1" applyBorder="1"/>
    <xf numFmtId="0" fontId="28" fillId="30" borderId="33" xfId="0" applyFont="1" applyFill="1" applyBorder="1"/>
    <xf numFmtId="3" fontId="0" fillId="41" borderId="28" xfId="0" applyNumberFormat="1" applyFill="1" applyBorder="1"/>
    <xf numFmtId="0" fontId="3" fillId="30" borderId="36" xfId="0" applyFont="1" applyFill="1" applyBorder="1"/>
    <xf numFmtId="0" fontId="3" fillId="30" borderId="22" xfId="0" applyFont="1" applyFill="1" applyBorder="1"/>
    <xf numFmtId="0" fontId="72" fillId="0" borderId="36" xfId="0" applyFont="1" applyBorder="1"/>
    <xf numFmtId="0" fontId="72" fillId="0" borderId="27" xfId="0" applyFont="1" applyBorder="1"/>
    <xf numFmtId="0" fontId="72" fillId="0" borderId="28" xfId="0" applyFont="1" applyBorder="1"/>
    <xf numFmtId="3" fontId="0" fillId="30" borderId="36" xfId="0" applyNumberFormat="1" applyFill="1" applyBorder="1"/>
    <xf numFmtId="0" fontId="55" fillId="30" borderId="33" xfId="0" applyFont="1" applyFill="1" applyBorder="1"/>
    <xf numFmtId="3" fontId="29" fillId="0" borderId="28" xfId="0" applyNumberFormat="1" applyFont="1" applyFill="1" applyBorder="1"/>
    <xf numFmtId="3" fontId="0" fillId="0" borderId="28" xfId="0" applyNumberFormat="1" applyBorder="1"/>
    <xf numFmtId="3" fontId="0" fillId="30" borderId="28" xfId="0" applyNumberFormat="1" applyFill="1" applyBorder="1"/>
    <xf numFmtId="3" fontId="9" fillId="32" borderId="91" xfId="0" applyNumberFormat="1" applyFont="1" applyFill="1" applyBorder="1"/>
    <xf numFmtId="3" fontId="29" fillId="32" borderId="29" xfId="0" applyNumberFormat="1" applyFont="1" applyFill="1" applyBorder="1"/>
    <xf numFmtId="3" fontId="0" fillId="32" borderId="37" xfId="0" applyNumberFormat="1" applyFill="1" applyBorder="1"/>
    <xf numFmtId="3" fontId="0" fillId="32" borderId="92" xfId="0" applyNumberFormat="1" applyFill="1" applyBorder="1"/>
    <xf numFmtId="3" fontId="29" fillId="0" borderId="36" xfId="0" applyNumberFormat="1" applyFont="1" applyBorder="1"/>
    <xf numFmtId="3" fontId="29" fillId="0" borderId="28" xfId="0" applyNumberFormat="1" applyFont="1" applyBorder="1"/>
    <xf numFmtId="9" fontId="0" fillId="45" borderId="27" xfId="0" applyNumberFormat="1" applyFill="1" applyBorder="1"/>
    <xf numFmtId="9" fontId="0" fillId="45" borderId="21" xfId="0" applyNumberFormat="1" applyFill="1" applyBorder="1"/>
    <xf numFmtId="9" fontId="0" fillId="45" borderId="28" xfId="0" applyNumberFormat="1" applyFill="1" applyBorder="1"/>
    <xf numFmtId="0" fontId="54" fillId="31" borderId="0" xfId="0" applyFont="1" applyFill="1" applyAlignment="1">
      <alignment vertical="center"/>
    </xf>
    <xf numFmtId="0" fontId="88" fillId="64" borderId="0" xfId="0" applyFont="1" applyFill="1" applyAlignment="1">
      <alignment horizontal="left" vertical="top" wrapText="1"/>
    </xf>
    <xf numFmtId="3" fontId="89" fillId="64" borderId="0" xfId="0" applyNumberFormat="1" applyFont="1" applyFill="1" applyAlignment="1">
      <alignment horizontal="left" vertical="top" wrapText="1"/>
    </xf>
    <xf numFmtId="0" fontId="90" fillId="0" borderId="0" xfId="0" applyFont="1"/>
    <xf numFmtId="0" fontId="88" fillId="47" borderId="0" xfId="0" applyFont="1" applyFill="1" applyAlignment="1">
      <alignment vertical="top" wrapText="1"/>
    </xf>
    <xf numFmtId="3" fontId="88" fillId="47" borderId="0" xfId="0" applyNumberFormat="1" applyFont="1" applyFill="1" applyAlignment="1">
      <alignment vertical="top" wrapText="1"/>
    </xf>
    <xf numFmtId="3" fontId="89" fillId="47" borderId="0" xfId="0" applyNumberFormat="1" applyFont="1" applyFill="1" applyAlignment="1">
      <alignment vertical="top" wrapText="1"/>
    </xf>
    <xf numFmtId="14" fontId="88" fillId="47" borderId="0" xfId="0" applyNumberFormat="1" applyFont="1" applyFill="1" applyAlignment="1">
      <alignment horizontal="left" vertical="top" wrapText="1"/>
    </xf>
    <xf numFmtId="0" fontId="88" fillId="47" borderId="0" xfId="0" applyFont="1" applyFill="1" applyAlignment="1">
      <alignment horizontal="left" vertical="top" wrapText="1"/>
    </xf>
    <xf numFmtId="0" fontId="91" fillId="65" borderId="93" xfId="0" applyFont="1" applyFill="1" applyBorder="1" applyAlignment="1">
      <alignment horizontal="center" wrapText="1"/>
    </xf>
    <xf numFmtId="0" fontId="91" fillId="65" borderId="94" xfId="0" applyFont="1" applyFill="1" applyBorder="1" applyAlignment="1">
      <alignment horizontal="center" wrapText="1"/>
    </xf>
    <xf numFmtId="3" fontId="91" fillId="65" borderId="94" xfId="0" applyNumberFormat="1" applyFont="1" applyFill="1" applyBorder="1" applyAlignment="1">
      <alignment horizontal="center" wrapText="1"/>
    </xf>
    <xf numFmtId="3" fontId="91" fillId="65" borderId="93" xfId="0" applyNumberFormat="1" applyFont="1" applyFill="1" applyBorder="1" applyAlignment="1">
      <alignment horizontal="center" wrapText="1"/>
    </xf>
    <xf numFmtId="0" fontId="90" fillId="0" borderId="0" xfId="0" applyFont="1" applyAlignment="1">
      <alignment horizontal="center"/>
    </xf>
    <xf numFmtId="0" fontId="92" fillId="66" borderId="95" xfId="0" applyFont="1" applyFill="1" applyBorder="1" applyAlignment="1">
      <alignment vertical="top" wrapText="1"/>
    </xf>
    <xf numFmtId="0" fontId="92" fillId="66" borderId="96" xfId="0" applyFont="1" applyFill="1" applyBorder="1" applyAlignment="1">
      <alignment vertical="top" wrapText="1"/>
    </xf>
    <xf numFmtId="3" fontId="92" fillId="66" borderId="96" xfId="0" applyNumberFormat="1" applyFont="1" applyFill="1" applyBorder="1" applyAlignment="1">
      <alignment vertical="top" wrapText="1"/>
    </xf>
    <xf numFmtId="3" fontId="92" fillId="66" borderId="95" xfId="0" applyNumberFormat="1" applyFont="1" applyFill="1" applyBorder="1" applyAlignment="1">
      <alignment vertical="top" wrapText="1"/>
    </xf>
    <xf numFmtId="0" fontId="92" fillId="66" borderId="97" xfId="0" applyFont="1" applyFill="1" applyBorder="1" applyAlignment="1">
      <alignment vertical="top" wrapText="1"/>
    </xf>
    <xf numFmtId="0" fontId="92" fillId="66" borderId="98" xfId="0" applyFont="1" applyFill="1" applyBorder="1" applyAlignment="1">
      <alignment vertical="top" wrapText="1"/>
    </xf>
    <xf numFmtId="3" fontId="92" fillId="66" borderId="98" xfId="0" applyNumberFormat="1" applyFont="1" applyFill="1" applyBorder="1" applyAlignment="1">
      <alignment vertical="top" wrapText="1"/>
    </xf>
    <xf numFmtId="3" fontId="92" fillId="66" borderId="97" xfId="0" applyNumberFormat="1" applyFont="1" applyFill="1" applyBorder="1" applyAlignment="1">
      <alignment vertical="top" wrapText="1"/>
    </xf>
    <xf numFmtId="3" fontId="92" fillId="66" borderId="97" xfId="0" applyNumberFormat="1" applyFont="1" applyFill="1" applyBorder="1" applyAlignment="1">
      <alignment horizontal="right" vertical="top" wrapText="1"/>
    </xf>
    <xf numFmtId="0" fontId="88" fillId="66" borderId="97" xfId="0" applyFont="1" applyFill="1" applyBorder="1" applyAlignment="1">
      <alignment vertical="top" wrapText="1"/>
    </xf>
    <xf numFmtId="0" fontId="88" fillId="66" borderId="98" xfId="0" applyFont="1" applyFill="1" applyBorder="1" applyAlignment="1">
      <alignment vertical="top" wrapText="1"/>
    </xf>
    <xf numFmtId="3" fontId="88" fillId="66" borderId="98" xfId="0" applyNumberFormat="1" applyFont="1" applyFill="1" applyBorder="1" applyAlignment="1">
      <alignment vertical="top" wrapText="1"/>
    </xf>
    <xf numFmtId="3" fontId="88" fillId="66" borderId="97" xfId="0" applyNumberFormat="1" applyFont="1" applyFill="1" applyBorder="1" applyAlignment="1">
      <alignment horizontal="right" vertical="top" wrapText="1"/>
    </xf>
    <xf numFmtId="3" fontId="88" fillId="66" borderId="95" xfId="0" applyNumberFormat="1" applyFont="1" applyFill="1" applyBorder="1" applyAlignment="1">
      <alignment vertical="top" wrapText="1"/>
    </xf>
    <xf numFmtId="0" fontId="89" fillId="0" borderId="0" xfId="0" applyFont="1"/>
    <xf numFmtId="0" fontId="92" fillId="67" borderId="97" xfId="0" applyFont="1" applyFill="1" applyBorder="1" applyAlignment="1">
      <alignment vertical="top" wrapText="1"/>
    </xf>
    <xf numFmtId="0" fontId="92" fillId="67" borderId="98" xfId="0" applyFont="1" applyFill="1" applyBorder="1" applyAlignment="1">
      <alignment vertical="top" wrapText="1"/>
    </xf>
    <xf numFmtId="3" fontId="92" fillId="67" borderId="98" xfId="0" applyNumberFormat="1" applyFont="1" applyFill="1" applyBorder="1" applyAlignment="1">
      <alignment vertical="top" wrapText="1"/>
    </xf>
    <xf numFmtId="3" fontId="92" fillId="67" borderId="97" xfId="0" applyNumberFormat="1" applyFont="1" applyFill="1" applyBorder="1" applyAlignment="1">
      <alignment horizontal="right" vertical="top" wrapText="1"/>
    </xf>
    <xf numFmtId="3" fontId="92" fillId="67" borderId="95" xfId="0" applyNumberFormat="1" applyFont="1" applyFill="1" applyBorder="1" applyAlignment="1">
      <alignment vertical="top" wrapText="1"/>
    </xf>
    <xf numFmtId="0" fontId="88" fillId="66" borderId="95" xfId="0" applyFont="1" applyFill="1" applyBorder="1" applyAlignment="1">
      <alignment vertical="top" wrapText="1"/>
    </xf>
    <xf numFmtId="0" fontId="88" fillId="66" borderId="96" xfId="0" applyFont="1" applyFill="1" applyBorder="1" applyAlignment="1">
      <alignment vertical="top" wrapText="1"/>
    </xf>
    <xf numFmtId="3" fontId="88" fillId="66" borderId="96" xfId="0" applyNumberFormat="1" applyFont="1" applyFill="1" applyBorder="1" applyAlignment="1">
      <alignment vertical="top" wrapText="1"/>
    </xf>
    <xf numFmtId="3" fontId="88" fillId="66" borderId="95" xfId="0" applyNumberFormat="1" applyFont="1" applyFill="1" applyBorder="1" applyAlignment="1">
      <alignment horizontal="right" vertical="top" wrapText="1"/>
    </xf>
    <xf numFmtId="0" fontId="90" fillId="66" borderId="99" xfId="0" applyFont="1" applyFill="1" applyBorder="1" applyAlignment="1">
      <alignment vertical="top" wrapText="1"/>
    </xf>
    <xf numFmtId="0" fontId="90" fillId="66" borderId="100" xfId="0" applyFont="1" applyFill="1" applyBorder="1" applyAlignment="1">
      <alignment vertical="top" wrapText="1"/>
    </xf>
    <xf numFmtId="3" fontId="90" fillId="66" borderId="100" xfId="0" applyNumberFormat="1" applyFont="1" applyFill="1" applyBorder="1" applyAlignment="1">
      <alignment vertical="top" wrapText="1"/>
    </xf>
    <xf numFmtId="3" fontId="90" fillId="66" borderId="99" xfId="0" applyNumberFormat="1" applyFont="1" applyFill="1" applyBorder="1" applyAlignment="1">
      <alignment vertical="top" wrapText="1"/>
    </xf>
    <xf numFmtId="3" fontId="90" fillId="0" borderId="0" xfId="0" applyNumberFormat="1" applyFont="1"/>
    <xf numFmtId="0" fontId="3" fillId="0" borderId="0" xfId="0" applyFont="1" applyFill="1" applyBorder="1"/>
    <xf numFmtId="0" fontId="3" fillId="0" borderId="44" xfId="0" applyFont="1" applyFill="1" applyBorder="1" applyAlignment="1">
      <alignment horizontal="center"/>
    </xf>
    <xf numFmtId="0" fontId="31" fillId="21" borderId="0" xfId="0" applyFont="1" applyFill="1" applyAlignment="1">
      <alignment horizontal="center"/>
    </xf>
    <xf numFmtId="0" fontId="31" fillId="24" borderId="0" xfId="0" applyFont="1" applyFill="1" applyBorder="1" applyAlignment="1">
      <alignment horizontal="center"/>
    </xf>
    <xf numFmtId="1" fontId="3" fillId="21" borderId="74" xfId="0" applyNumberFormat="1" applyFont="1" applyFill="1" applyBorder="1" applyAlignment="1">
      <alignment horizontal="center"/>
    </xf>
    <xf numFmtId="1" fontId="3" fillId="21" borderId="57" xfId="0" applyNumberFormat="1" applyFont="1" applyFill="1" applyBorder="1" applyAlignment="1">
      <alignment horizontal="center"/>
    </xf>
    <xf numFmtId="3" fontId="0" fillId="21" borderId="13" xfId="0" applyNumberFormat="1" applyFill="1" applyBorder="1" applyAlignment="1">
      <alignment horizontal="center"/>
    </xf>
    <xf numFmtId="3" fontId="0" fillId="21" borderId="20" xfId="0" applyNumberFormat="1" applyFill="1" applyBorder="1" applyAlignment="1">
      <alignment horizontal="center"/>
    </xf>
    <xf numFmtId="0" fontId="33" fillId="22" borderId="52" xfId="0" applyFont="1" applyFill="1" applyBorder="1" applyAlignment="1">
      <alignment horizontal="left"/>
    </xf>
    <xf numFmtId="0" fontId="31" fillId="42" borderId="11" xfId="0" applyFont="1" applyFill="1" applyBorder="1" applyAlignment="1">
      <alignment vertical="center"/>
    </xf>
    <xf numFmtId="0" fontId="31" fillId="42" borderId="52" xfId="0" applyFont="1" applyFill="1" applyBorder="1" applyAlignment="1">
      <alignment vertical="center"/>
    </xf>
    <xf numFmtId="0" fontId="31" fillId="42" borderId="61" xfId="0" applyFont="1" applyFill="1" applyBorder="1" applyAlignment="1">
      <alignment vertical="center"/>
    </xf>
    <xf numFmtId="3" fontId="9" fillId="0" borderId="27" xfId="0" applyNumberFormat="1" applyFont="1" applyBorder="1" applyAlignment="1">
      <alignment horizontal="right"/>
    </xf>
    <xf numFmtId="172" fontId="9" fillId="0" borderId="27" xfId="0" applyNumberFormat="1" applyFont="1" applyBorder="1" applyAlignment="1">
      <alignment horizontal="right"/>
    </xf>
    <xf numFmtId="3" fontId="3" fillId="0" borderId="27" xfId="0" applyNumberFormat="1" applyFont="1" applyBorder="1"/>
    <xf numFmtId="3" fontId="0" fillId="32" borderId="26" xfId="0" applyNumberFormat="1" applyFill="1" applyBorder="1" applyAlignment="1">
      <alignment wrapText="1"/>
    </xf>
    <xf numFmtId="3" fontId="0" fillId="0" borderId="27" xfId="0" applyNumberFormat="1" applyBorder="1" applyAlignment="1">
      <alignment wrapText="1"/>
    </xf>
    <xf numFmtId="3" fontId="3" fillId="0" borderId="27" xfId="0" applyNumberFormat="1" applyFont="1" applyBorder="1" applyAlignment="1">
      <alignment wrapText="1"/>
    </xf>
    <xf numFmtId="3" fontId="0" fillId="0" borderId="27" xfId="0" applyNumberFormat="1" applyBorder="1" applyAlignment="1">
      <alignment horizontal="right"/>
    </xf>
    <xf numFmtId="3" fontId="3" fillId="0" borderId="27" xfId="0" applyNumberFormat="1" applyFont="1" applyFill="1" applyBorder="1"/>
    <xf numFmtId="3" fontId="9" fillId="32" borderId="26" xfId="0" applyNumberFormat="1" applyFont="1" applyFill="1" applyBorder="1" applyAlignment="1">
      <alignment vertical="center" wrapText="1"/>
    </xf>
    <xf numFmtId="3" fontId="0" fillId="0" borderId="27" xfId="0" applyNumberFormat="1" applyFont="1" applyBorder="1" applyAlignment="1">
      <alignment horizontal="right"/>
    </xf>
    <xf numFmtId="3" fontId="3" fillId="22" borderId="27" xfId="0" applyNumberFormat="1" applyFont="1" applyFill="1" applyBorder="1"/>
    <xf numFmtId="3" fontId="38" fillId="0" borderId="101" xfId="0" applyNumberFormat="1" applyFont="1" applyBorder="1"/>
    <xf numFmtId="3" fontId="38" fillId="41" borderId="102" xfId="0" applyNumberFormat="1" applyFont="1" applyFill="1" applyBorder="1"/>
    <xf numFmtId="0" fontId="38" fillId="0" borderId="103" xfId="0" applyFont="1" applyBorder="1"/>
    <xf numFmtId="3" fontId="38" fillId="0" borderId="103" xfId="0" applyNumberFormat="1" applyFont="1" applyBorder="1"/>
    <xf numFmtId="3" fontId="38" fillId="0" borderId="103" xfId="0" applyNumberFormat="1" applyFont="1" applyBorder="1" applyAlignment="1">
      <alignment vertical="top" wrapText="1"/>
    </xf>
    <xf numFmtId="3" fontId="38" fillId="0" borderId="101" xfId="0" applyNumberFormat="1" applyFont="1" applyBorder="1" applyAlignment="1">
      <alignment vertical="top" wrapText="1"/>
    </xf>
    <xf numFmtId="3" fontId="3" fillId="0" borderId="104" xfId="0" applyNumberFormat="1" applyFont="1" applyBorder="1"/>
    <xf numFmtId="3" fontId="0" fillId="32" borderId="26" xfId="0" applyNumberFormat="1" applyFill="1" applyBorder="1" applyAlignment="1">
      <alignment vertical="center" wrapText="1"/>
    </xf>
    <xf numFmtId="3" fontId="3" fillId="32" borderId="26" xfId="0" applyNumberFormat="1" applyFont="1" applyFill="1" applyBorder="1" applyAlignment="1">
      <alignment vertical="center" wrapText="1"/>
    </xf>
    <xf numFmtId="3" fontId="0" fillId="0" borderId="104" xfId="0" applyNumberFormat="1" applyBorder="1"/>
    <xf numFmtId="3" fontId="0" fillId="0" borderId="104" xfId="0" applyNumberFormat="1" applyBorder="1" applyAlignment="1">
      <alignment horizontal="right"/>
    </xf>
    <xf numFmtId="3" fontId="3" fillId="0" borderId="104" xfId="0" applyNumberFormat="1" applyFont="1" applyFill="1" applyBorder="1"/>
    <xf numFmtId="3" fontId="0" fillId="0" borderId="104" xfId="0" applyNumberFormat="1" applyFill="1" applyBorder="1"/>
    <xf numFmtId="0" fontId="38" fillId="0" borderId="103" xfId="0" applyFont="1" applyBorder="1" applyAlignment="1">
      <alignment vertical="top" wrapText="1"/>
    </xf>
    <xf numFmtId="3" fontId="38" fillId="41" borderId="103" xfId="0" applyNumberFormat="1" applyFont="1" applyFill="1" applyBorder="1" applyAlignment="1">
      <alignment vertical="top" wrapText="1"/>
    </xf>
    <xf numFmtId="3" fontId="38" fillId="41" borderId="103" xfId="0" applyNumberFormat="1" applyFont="1" applyFill="1" applyBorder="1"/>
    <xf numFmtId="0" fontId="7" fillId="0" borderId="103" xfId="0" applyFont="1" applyBorder="1" applyAlignment="1">
      <alignment vertical="top" wrapText="1"/>
    </xf>
    <xf numFmtId="0" fontId="0" fillId="32" borderId="21" xfId="0" applyFill="1" applyBorder="1" applyAlignment="1"/>
    <xf numFmtId="169" fontId="55" fillId="50" borderId="21" xfId="36" applyNumberFormat="1" applyFont="1" applyFill="1" applyBorder="1"/>
    <xf numFmtId="0" fontId="28" fillId="52" borderId="44" xfId="0" applyFont="1" applyFill="1" applyBorder="1" applyAlignment="1">
      <alignment vertical="center"/>
    </xf>
    <xf numFmtId="1" fontId="28" fillId="52" borderId="19" xfId="0" applyNumberFormat="1" applyFont="1" applyFill="1" applyBorder="1" applyAlignment="1">
      <alignment vertical="center"/>
    </xf>
    <xf numFmtId="3" fontId="29" fillId="52" borderId="19" xfId="0" applyNumberFormat="1" applyFont="1" applyFill="1" applyBorder="1" applyAlignment="1">
      <alignment vertical="center"/>
    </xf>
    <xf numFmtId="0" fontId="29" fillId="52" borderId="19" xfId="0" applyFont="1" applyFill="1" applyBorder="1" applyAlignment="1">
      <alignment vertical="center"/>
    </xf>
    <xf numFmtId="3" fontId="29" fillId="52" borderId="19" xfId="0" applyNumberFormat="1" applyFont="1" applyFill="1" applyBorder="1" applyAlignment="1">
      <alignment horizontal="center" vertical="center"/>
    </xf>
    <xf numFmtId="3" fontId="28" fillId="52" borderId="19" xfId="0" applyNumberFormat="1" applyFont="1" applyFill="1" applyBorder="1" applyAlignment="1">
      <alignment vertical="center"/>
    </xf>
    <xf numFmtId="3" fontId="71" fillId="68" borderId="31" xfId="59" applyNumberFormat="1" applyFont="1" applyFill="1" applyBorder="1" applyAlignment="1">
      <alignment horizontal="center" vertical="center"/>
    </xf>
    <xf numFmtId="3" fontId="83" fillId="68" borderId="62" xfId="59" applyNumberFormat="1" applyFont="1" applyFill="1" applyBorder="1" applyAlignment="1">
      <alignment horizontal="center" vertical="center"/>
    </xf>
    <xf numFmtId="0" fontId="71" fillId="42" borderId="0" xfId="59" applyFont="1" applyFill="1"/>
    <xf numFmtId="0" fontId="29" fillId="21" borderId="15" xfId="0" applyFont="1" applyFill="1" applyBorder="1" applyAlignment="1">
      <alignment horizontal="center" vertical="center"/>
    </xf>
    <xf numFmtId="0" fontId="29" fillId="21" borderId="0" xfId="0" applyFont="1" applyFill="1" applyBorder="1" applyAlignment="1">
      <alignment horizontal="center" vertical="center"/>
    </xf>
    <xf numFmtId="3" fontId="68" fillId="0" borderId="0" xfId="0" applyNumberFormat="1" applyFont="1" applyBorder="1" applyAlignment="1">
      <alignment vertical="center"/>
    </xf>
    <xf numFmtId="3" fontId="69" fillId="21" borderId="0" xfId="0" applyNumberFormat="1" applyFont="1" applyFill="1" applyBorder="1" applyAlignment="1">
      <alignment horizontal="center" vertical="center"/>
    </xf>
    <xf numFmtId="3" fontId="0" fillId="42" borderId="28" xfId="0" applyNumberFormat="1" applyFill="1" applyBorder="1"/>
    <xf numFmtId="3" fontId="71" fillId="61" borderId="31" xfId="59" applyNumberFormat="1" applyFont="1" applyFill="1" applyBorder="1" applyAlignment="1">
      <alignment horizontal="center" vertical="center"/>
    </xf>
    <xf numFmtId="0" fontId="3" fillId="0" borderId="19" xfId="0" applyFont="1" applyBorder="1"/>
    <xf numFmtId="0" fontId="3" fillId="0" borderId="21" xfId="0" applyFont="1" applyFill="1" applyBorder="1" applyAlignment="1" applyProtection="1">
      <alignment vertical="center"/>
    </xf>
    <xf numFmtId="0" fontId="0" fillId="0" borderId="21" xfId="0" applyFill="1" applyBorder="1" applyAlignment="1" applyProtection="1">
      <alignment horizontal="center"/>
    </xf>
    <xf numFmtId="0" fontId="29" fillId="0" borderId="15" xfId="0" applyFont="1" applyBorder="1" applyAlignment="1" applyProtection="1">
      <alignment horizontal="center" vertical="center" wrapText="1"/>
    </xf>
    <xf numFmtId="0" fontId="0" fillId="0" borderId="0" xfId="0" applyFill="1" applyBorder="1" applyProtection="1"/>
    <xf numFmtId="0" fontId="0" fillId="0" borderId="15" xfId="0" applyFill="1" applyBorder="1" applyAlignment="1" applyProtection="1">
      <alignment horizontal="center"/>
    </xf>
    <xf numFmtId="3" fontId="3" fillId="0" borderId="27" xfId="0" applyNumberFormat="1" applyFont="1" applyBorder="1" applyAlignment="1">
      <alignment horizontal="right"/>
    </xf>
    <xf numFmtId="3" fontId="3" fillId="41" borderId="104" xfId="0" applyNumberFormat="1" applyFont="1" applyFill="1" applyBorder="1"/>
    <xf numFmtId="3" fontId="93" fillId="32" borderId="91" xfId="0" applyNumberFormat="1" applyFont="1" applyFill="1" applyBorder="1" applyAlignment="1">
      <alignment horizontal="center" vertical="center"/>
    </xf>
    <xf numFmtId="0" fontId="31" fillId="21" borderId="0" xfId="0" applyFont="1" applyFill="1" applyAlignment="1">
      <alignment horizontal="center"/>
    </xf>
    <xf numFmtId="0" fontId="31" fillId="22" borderId="11" xfId="0" applyFont="1" applyFill="1" applyBorder="1" applyAlignment="1">
      <alignment vertical="center"/>
    </xf>
    <xf numFmtId="0" fontId="31" fillId="22" borderId="52" xfId="0" applyFont="1" applyFill="1" applyBorder="1" applyAlignment="1">
      <alignment vertical="center"/>
    </xf>
    <xf numFmtId="0" fontId="31" fillId="22" borderId="61" xfId="0" applyFont="1" applyFill="1" applyBorder="1" applyAlignment="1">
      <alignment vertical="center"/>
    </xf>
    <xf numFmtId="0" fontId="31" fillId="24" borderId="0" xfId="0" applyFont="1" applyFill="1" applyBorder="1" applyAlignment="1">
      <alignment horizontal="center"/>
    </xf>
    <xf numFmtId="3" fontId="31" fillId="22" borderId="103" xfId="0" applyNumberFormat="1" applyFont="1" applyFill="1" applyBorder="1" applyAlignment="1">
      <alignment horizontal="center"/>
    </xf>
    <xf numFmtId="3" fontId="31" fillId="42" borderId="103" xfId="0" applyNumberFormat="1" applyFont="1" applyFill="1" applyBorder="1" applyAlignment="1">
      <alignment horizontal="center"/>
    </xf>
    <xf numFmtId="3" fontId="31" fillId="52" borderId="103" xfId="0" applyNumberFormat="1" applyFont="1" applyFill="1" applyBorder="1" applyAlignment="1">
      <alignment horizontal="center"/>
    </xf>
    <xf numFmtId="0" fontId="31" fillId="42" borderId="11" xfId="0" applyFont="1" applyFill="1" applyBorder="1" applyAlignment="1">
      <alignment horizontal="left"/>
    </xf>
    <xf numFmtId="0" fontId="31" fillId="42" borderId="52" xfId="0" applyFont="1" applyFill="1" applyBorder="1" applyAlignment="1">
      <alignment horizontal="left"/>
    </xf>
    <xf numFmtId="0" fontId="31" fillId="42" borderId="61" xfId="0" applyFont="1" applyFill="1" applyBorder="1" applyAlignment="1">
      <alignment horizontal="left"/>
    </xf>
    <xf numFmtId="0" fontId="3" fillId="21" borderId="15" xfId="0" applyFont="1" applyFill="1" applyBorder="1" applyAlignment="1">
      <alignment horizontal="center" vertical="center"/>
    </xf>
    <xf numFmtId="0" fontId="3" fillId="0" borderId="38" xfId="0" applyFont="1" applyFill="1" applyBorder="1" applyProtection="1"/>
    <xf numFmtId="0" fontId="32" fillId="22" borderId="104" xfId="0" applyFont="1" applyFill="1" applyBorder="1" applyAlignment="1">
      <alignment horizontal="left"/>
    </xf>
    <xf numFmtId="0" fontId="32" fillId="22" borderId="104" xfId="0" applyFont="1" applyFill="1" applyBorder="1" applyAlignment="1" applyProtection="1">
      <alignment horizontal="left"/>
    </xf>
    <xf numFmtId="3" fontId="32" fillId="22" borderId="104" xfId="0" applyNumberFormat="1" applyFont="1" applyFill="1" applyBorder="1" applyAlignment="1">
      <alignment horizontal="center"/>
    </xf>
    <xf numFmtId="0" fontId="32" fillId="0" borderId="57" xfId="0" applyFont="1" applyBorder="1"/>
    <xf numFmtId="3" fontId="3" fillId="22" borderId="26" xfId="0" applyNumberFormat="1" applyFont="1" applyFill="1" applyBorder="1" applyAlignment="1">
      <alignment vertical="top" wrapText="1"/>
    </xf>
    <xf numFmtId="0" fontId="0" fillId="39" borderId="15" xfId="0" applyFill="1" applyBorder="1" applyAlignment="1">
      <alignment horizontal="center"/>
    </xf>
    <xf numFmtId="3" fontId="29" fillId="39" borderId="0" xfId="0" applyNumberFormat="1" applyFont="1" applyFill="1" applyBorder="1" applyAlignment="1">
      <alignment vertical="center"/>
    </xf>
    <xf numFmtId="0" fontId="29" fillId="39" borderId="21" xfId="0" applyFont="1" applyFill="1" applyBorder="1" applyAlignment="1">
      <alignment vertical="center"/>
    </xf>
    <xf numFmtId="3" fontId="38" fillId="39" borderId="103" xfId="0" applyNumberFormat="1" applyFont="1" applyFill="1" applyBorder="1"/>
    <xf numFmtId="3" fontId="39" fillId="39" borderId="26" xfId="0" applyNumberFormat="1" applyFont="1" applyFill="1" applyBorder="1" applyAlignment="1">
      <alignment vertical="top" wrapText="1"/>
    </xf>
    <xf numFmtId="3" fontId="9" fillId="39" borderId="27" xfId="0" applyNumberFormat="1" applyFont="1" applyFill="1" applyBorder="1"/>
    <xf numFmtId="3" fontId="9" fillId="39" borderId="27" xfId="0" applyNumberFormat="1" applyFont="1" applyFill="1" applyBorder="1" applyAlignment="1">
      <alignment vertical="top" wrapText="1"/>
    </xf>
    <xf numFmtId="172" fontId="9" fillId="39" borderId="27" xfId="0" applyNumberFormat="1" applyFont="1" applyFill="1" applyBorder="1"/>
    <xf numFmtId="3" fontId="0" fillId="39" borderId="27" xfId="0" applyNumberFormat="1" applyFill="1" applyBorder="1"/>
    <xf numFmtId="3" fontId="0" fillId="39" borderId="91" xfId="0" applyNumberFormat="1" applyFill="1" applyBorder="1"/>
    <xf numFmtId="3" fontId="29" fillId="39" borderId="36" xfId="0" applyNumberFormat="1" applyFont="1" applyFill="1" applyBorder="1"/>
    <xf numFmtId="3" fontId="29" fillId="39" borderId="27" xfId="0" applyNumberFormat="1" applyFont="1" applyFill="1" applyBorder="1"/>
    <xf numFmtId="3" fontId="29" fillId="39" borderId="28" xfId="0" applyNumberFormat="1" applyFont="1" applyFill="1" applyBorder="1"/>
    <xf numFmtId="3" fontId="0" fillId="39" borderId="29" xfId="0" applyNumberFormat="1" applyFill="1" applyBorder="1"/>
    <xf numFmtId="3" fontId="0" fillId="39" borderId="26" xfId="0" applyNumberFormat="1" applyFill="1" applyBorder="1" applyAlignment="1"/>
    <xf numFmtId="3" fontId="0" fillId="39" borderId="28" xfId="0" applyNumberFormat="1" applyFill="1" applyBorder="1"/>
    <xf numFmtId="3" fontId="9" fillId="39" borderId="26" xfId="0" applyNumberFormat="1" applyFont="1" applyFill="1" applyBorder="1" applyAlignment="1">
      <alignment vertical="top" wrapText="1"/>
    </xf>
    <xf numFmtId="3" fontId="0" fillId="39" borderId="104" xfId="0" applyNumberFormat="1" applyFill="1" applyBorder="1"/>
    <xf numFmtId="3" fontId="0" fillId="39" borderId="104" xfId="0" applyNumberFormat="1" applyFill="1" applyBorder="1" applyAlignment="1">
      <alignment horizontal="right"/>
    </xf>
    <xf numFmtId="0" fontId="28" fillId="21" borderId="0" xfId="0" applyFont="1" applyFill="1" applyAlignment="1">
      <alignment horizontal="center"/>
    </xf>
    <xf numFmtId="0" fontId="54" fillId="31" borderId="0" xfId="0" applyFont="1" applyFill="1" applyAlignment="1">
      <alignment horizontal="center" vertical="center"/>
    </xf>
    <xf numFmtId="0" fontId="54" fillId="47" borderId="15" xfId="0" applyFont="1" applyFill="1" applyBorder="1" applyAlignment="1">
      <alignment horizontal="center" vertical="center"/>
    </xf>
    <xf numFmtId="0" fontId="54" fillId="47" borderId="0" xfId="0" applyFont="1" applyFill="1" applyAlignment="1">
      <alignment horizontal="center" vertical="center"/>
    </xf>
    <xf numFmtId="3" fontId="37" fillId="36" borderId="38" xfId="0" applyNumberFormat="1" applyFont="1" applyFill="1" applyBorder="1" applyAlignment="1">
      <alignment horizontal="center" vertical="center" wrapText="1"/>
    </xf>
    <xf numFmtId="3" fontId="59" fillId="36" borderId="29" xfId="0" applyNumberFormat="1" applyFont="1" applyFill="1" applyBorder="1" applyAlignment="1">
      <alignment horizontal="center" vertical="center" wrapText="1"/>
    </xf>
    <xf numFmtId="0" fontId="53" fillId="27" borderId="0" xfId="0" applyFont="1" applyFill="1" applyAlignment="1">
      <alignment horizontal="center"/>
    </xf>
    <xf numFmtId="0" fontId="59" fillId="36" borderId="38" xfId="0" applyFont="1" applyFill="1" applyBorder="1" applyAlignment="1">
      <alignment horizontal="center" vertical="center"/>
    </xf>
    <xf numFmtId="0" fontId="59" fillId="36" borderId="29" xfId="0" applyFont="1" applyFill="1" applyBorder="1" applyAlignment="1">
      <alignment horizontal="center" vertical="center"/>
    </xf>
    <xf numFmtId="0" fontId="37" fillId="36" borderId="38" xfId="0" applyNumberFormat="1" applyFont="1" applyFill="1" applyBorder="1" applyAlignment="1">
      <alignment horizontal="center" vertical="center" wrapText="1"/>
    </xf>
    <xf numFmtId="0" fontId="59" fillId="36" borderId="29" xfId="0" applyNumberFormat="1" applyFont="1" applyFill="1" applyBorder="1" applyAlignment="1">
      <alignment horizontal="center" vertical="center" wrapText="1"/>
    </xf>
    <xf numFmtId="9" fontId="59" fillId="36" borderId="38" xfId="0" applyNumberFormat="1" applyFont="1" applyFill="1" applyBorder="1" applyAlignment="1">
      <alignment horizontal="center" vertical="center" wrapText="1"/>
    </xf>
    <xf numFmtId="9" fontId="59" fillId="36" borderId="29" xfId="0" applyNumberFormat="1" applyFont="1" applyFill="1" applyBorder="1" applyAlignment="1">
      <alignment horizontal="center" vertical="center" wrapText="1"/>
    </xf>
    <xf numFmtId="0" fontId="76" fillId="62" borderId="40" xfId="59" applyFont="1" applyFill="1" applyBorder="1" applyAlignment="1">
      <alignment horizontal="center" vertical="center" wrapText="1"/>
    </xf>
    <xf numFmtId="0" fontId="76" fillId="62" borderId="58" xfId="59" applyFont="1" applyFill="1" applyBorder="1" applyAlignment="1">
      <alignment horizontal="center" vertical="center" wrapText="1"/>
    </xf>
    <xf numFmtId="0" fontId="74" fillId="31" borderId="0" xfId="0" applyFont="1" applyFill="1" applyAlignment="1">
      <alignment horizontal="center" vertical="center"/>
    </xf>
    <xf numFmtId="0" fontId="62" fillId="27" borderId="0" xfId="0" applyFont="1" applyFill="1" applyAlignment="1">
      <alignment horizontal="center"/>
    </xf>
    <xf numFmtId="0" fontId="75" fillId="49" borderId="11" xfId="59" applyFont="1" applyFill="1" applyBorder="1" applyAlignment="1">
      <alignment horizontal="center" vertical="center" wrapText="1"/>
    </xf>
    <xf numFmtId="0" fontId="75" fillId="49" borderId="52" xfId="59" applyFont="1" applyFill="1" applyBorder="1" applyAlignment="1">
      <alignment horizontal="center" vertical="center" wrapText="1"/>
    </xf>
    <xf numFmtId="0" fontId="74" fillId="58" borderId="88" xfId="59" applyFont="1" applyFill="1" applyBorder="1" applyAlignment="1">
      <alignment horizontal="center" vertical="center" textRotation="90" wrapText="1"/>
    </xf>
    <xf numFmtId="0" fontId="74" fillId="58" borderId="49" xfId="59" applyFont="1" applyFill="1" applyBorder="1" applyAlignment="1">
      <alignment horizontal="center" vertical="center" textRotation="90" wrapText="1"/>
    </xf>
    <xf numFmtId="0" fontId="74" fillId="58" borderId="34" xfId="59" applyFont="1" applyFill="1" applyBorder="1" applyAlignment="1">
      <alignment horizontal="center" vertical="center" textRotation="90" wrapText="1"/>
    </xf>
    <xf numFmtId="0" fontId="77" fillId="51" borderId="77" xfId="59" applyFont="1" applyFill="1" applyBorder="1" applyAlignment="1">
      <alignment horizontal="center" vertical="center" wrapText="1"/>
    </xf>
    <xf numFmtId="0" fontId="77" fillId="51" borderId="74" xfId="59" applyFont="1" applyFill="1" applyBorder="1" applyAlignment="1">
      <alignment horizontal="center" vertical="center" wrapText="1"/>
    </xf>
    <xf numFmtId="0" fontId="77" fillId="51" borderId="14" xfId="59" applyFont="1" applyFill="1" applyBorder="1" applyAlignment="1">
      <alignment horizontal="center" vertical="center" wrapText="1"/>
    </xf>
    <xf numFmtId="0" fontId="77" fillId="59" borderId="11" xfId="59" applyFont="1" applyFill="1" applyBorder="1" applyAlignment="1">
      <alignment horizontal="center" vertical="center" wrapText="1"/>
    </xf>
    <xf numFmtId="0" fontId="77" fillId="59" borderId="52" xfId="59" applyFont="1" applyFill="1" applyBorder="1" applyAlignment="1">
      <alignment horizontal="center" vertical="center" wrapText="1"/>
    </xf>
    <xf numFmtId="0" fontId="77" fillId="59" borderId="72" xfId="59" applyFont="1" applyFill="1" applyBorder="1" applyAlignment="1">
      <alignment horizontal="center" vertical="center" wrapText="1"/>
    </xf>
    <xf numFmtId="0" fontId="77" fillId="59" borderId="60" xfId="59" applyFont="1" applyFill="1" applyBorder="1" applyAlignment="1">
      <alignment horizontal="center" vertical="center" wrapText="1"/>
    </xf>
    <xf numFmtId="0" fontId="81" fillId="49" borderId="84" xfId="59" applyFont="1" applyFill="1" applyBorder="1" applyAlignment="1">
      <alignment horizontal="center" vertical="center" wrapText="1"/>
    </xf>
    <xf numFmtId="0" fontId="81" fillId="49" borderId="85" xfId="59" applyFont="1" applyFill="1" applyBorder="1" applyAlignment="1">
      <alignment horizontal="center" vertical="center" wrapText="1"/>
    </xf>
    <xf numFmtId="0" fontId="75" fillId="49" borderId="83" xfId="59" applyFont="1" applyFill="1" applyBorder="1" applyAlignment="1">
      <alignment horizontal="center" vertical="center" wrapText="1"/>
    </xf>
    <xf numFmtId="0" fontId="75" fillId="49" borderId="87" xfId="59" applyFont="1" applyFill="1" applyBorder="1" applyAlignment="1">
      <alignment horizontal="center" vertical="center" wrapText="1"/>
    </xf>
    <xf numFmtId="0" fontId="77" fillId="53" borderId="77" xfId="59" applyFont="1" applyFill="1" applyBorder="1" applyAlignment="1">
      <alignment horizontal="center" vertical="center" wrapText="1"/>
    </xf>
    <xf numFmtId="0" fontId="77" fillId="53" borderId="14" xfId="59" applyFont="1" applyFill="1" applyBorder="1" applyAlignment="1">
      <alignment horizontal="center" vertical="center" wrapText="1"/>
    </xf>
    <xf numFmtId="0" fontId="77" fillId="53" borderId="74" xfId="59" applyFont="1" applyFill="1" applyBorder="1" applyAlignment="1">
      <alignment horizontal="center" vertical="center" wrapText="1"/>
    </xf>
    <xf numFmtId="0" fontId="74" fillId="56" borderId="88" xfId="59" applyFont="1" applyFill="1" applyBorder="1" applyAlignment="1">
      <alignment horizontal="center" vertical="center" textRotation="90" wrapText="1"/>
    </xf>
    <xf numFmtId="0" fontId="74" fillId="56" borderId="49" xfId="59" applyFont="1" applyFill="1" applyBorder="1" applyAlignment="1">
      <alignment horizontal="center" vertical="center" textRotation="90" wrapText="1"/>
    </xf>
    <xf numFmtId="0" fontId="74" fillId="56" borderId="34" xfId="59" applyFont="1" applyFill="1" applyBorder="1" applyAlignment="1">
      <alignment horizontal="center" vertical="center" textRotation="90" wrapText="1"/>
    </xf>
    <xf numFmtId="0" fontId="77" fillId="50" borderId="77" xfId="59" applyFont="1" applyFill="1" applyBorder="1" applyAlignment="1">
      <alignment horizontal="center" vertical="center" wrapText="1"/>
    </xf>
    <xf numFmtId="0" fontId="77" fillId="50" borderId="14" xfId="59" applyFont="1" applyFill="1" applyBorder="1" applyAlignment="1">
      <alignment horizontal="center" vertical="center" wrapText="1"/>
    </xf>
    <xf numFmtId="0" fontId="77" fillId="50" borderId="74" xfId="59" applyFont="1" applyFill="1" applyBorder="1" applyAlignment="1">
      <alignment horizontal="center" vertical="center" wrapText="1"/>
    </xf>
    <xf numFmtId="0" fontId="74" fillId="60" borderId="88" xfId="59" applyFont="1" applyFill="1" applyBorder="1" applyAlignment="1">
      <alignment horizontal="center" vertical="center" textRotation="90" wrapText="1"/>
    </xf>
    <xf numFmtId="0" fontId="74" fillId="60" borderId="49" xfId="59" applyFont="1" applyFill="1" applyBorder="1" applyAlignment="1">
      <alignment horizontal="center" vertical="center" textRotation="90" wrapText="1"/>
    </xf>
    <xf numFmtId="0" fontId="74" fillId="60" borderId="34" xfId="59" applyFont="1" applyFill="1" applyBorder="1" applyAlignment="1">
      <alignment horizontal="center" vertical="center" textRotation="90" wrapText="1"/>
    </xf>
    <xf numFmtId="0" fontId="77" fillId="53" borderId="60" xfId="59" applyFont="1" applyFill="1" applyBorder="1" applyAlignment="1">
      <alignment horizontal="center" vertical="center" wrapText="1"/>
    </xf>
    <xf numFmtId="0" fontId="77" fillId="53" borderId="0" xfId="59" applyFont="1" applyFill="1" applyBorder="1" applyAlignment="1">
      <alignment horizontal="center" vertical="center" wrapText="1"/>
    </xf>
    <xf numFmtId="0" fontId="77" fillId="53" borderId="54" xfId="59" applyFont="1" applyFill="1" applyBorder="1" applyAlignment="1">
      <alignment horizontal="center" vertical="center" wrapText="1"/>
    </xf>
    <xf numFmtId="0" fontId="77" fillId="53" borderId="63" xfId="59" applyFont="1" applyFill="1" applyBorder="1" applyAlignment="1">
      <alignment horizontal="center" vertical="center" wrapText="1"/>
    </xf>
    <xf numFmtId="0" fontId="79" fillId="55" borderId="12" xfId="59" applyFont="1" applyFill="1" applyBorder="1" applyAlignment="1">
      <alignment horizontal="center"/>
    </xf>
    <xf numFmtId="0" fontId="79" fillId="55" borderId="13" xfId="59" applyFont="1" applyFill="1" applyBorder="1" applyAlignment="1">
      <alignment horizontal="center"/>
    </xf>
    <xf numFmtId="0" fontId="75" fillId="49" borderId="57" xfId="59" applyFont="1" applyFill="1" applyBorder="1" applyAlignment="1">
      <alignment horizontal="center" vertical="center" wrapText="1"/>
    </xf>
    <xf numFmtId="0" fontId="75" fillId="49" borderId="77" xfId="59" applyFont="1" applyFill="1" applyBorder="1" applyAlignment="1">
      <alignment horizontal="center" vertical="center" wrapText="1"/>
    </xf>
    <xf numFmtId="0" fontId="75" fillId="49" borderId="72" xfId="59" applyFont="1" applyFill="1" applyBorder="1" applyAlignment="1">
      <alignment horizontal="center" vertical="center" wrapText="1"/>
    </xf>
    <xf numFmtId="0" fontId="75" fillId="49" borderId="89" xfId="59" applyFont="1" applyFill="1" applyBorder="1" applyAlignment="1">
      <alignment horizontal="center" vertical="center" wrapText="1"/>
    </xf>
    <xf numFmtId="0" fontId="75" fillId="49" borderId="84" xfId="59" applyFont="1" applyFill="1" applyBorder="1" applyAlignment="1">
      <alignment horizontal="center" vertical="center" wrapText="1"/>
    </xf>
    <xf numFmtId="0" fontId="75" fillId="49" borderId="80" xfId="59" applyFont="1" applyFill="1" applyBorder="1" applyAlignment="1">
      <alignment horizontal="center" vertical="center" wrapText="1"/>
    </xf>
    <xf numFmtId="0" fontId="75" fillId="49" borderId="25" xfId="59" applyFont="1" applyFill="1" applyBorder="1" applyAlignment="1">
      <alignment horizontal="center" vertical="center" wrapText="1"/>
    </xf>
    <xf numFmtId="3" fontId="37" fillId="36" borderId="29" xfId="0" applyNumberFormat="1" applyFont="1" applyFill="1" applyBorder="1" applyAlignment="1">
      <alignment horizontal="center" vertical="center" wrapText="1"/>
    </xf>
    <xf numFmtId="3" fontId="37" fillId="36" borderId="21" xfId="0" applyNumberFormat="1" applyFont="1" applyFill="1" applyBorder="1" applyAlignment="1">
      <alignment horizontal="center" vertical="center" wrapText="1"/>
    </xf>
    <xf numFmtId="0" fontId="43" fillId="37" borderId="0" xfId="0" applyFont="1" applyFill="1" applyBorder="1" applyAlignment="1">
      <alignment horizontal="center"/>
    </xf>
    <xf numFmtId="0" fontId="30" fillId="21" borderId="12" xfId="0" applyFont="1" applyFill="1" applyBorder="1" applyAlignment="1">
      <alignment horizontal="center"/>
    </xf>
    <xf numFmtId="0" fontId="30" fillId="21" borderId="13" xfId="0" applyFont="1" applyFill="1" applyBorder="1" applyAlignment="1">
      <alignment horizontal="center"/>
    </xf>
    <xf numFmtId="0" fontId="46" fillId="23" borderId="19" xfId="0" applyFont="1" applyFill="1" applyBorder="1" applyAlignment="1">
      <alignment horizontal="center"/>
    </xf>
    <xf numFmtId="0" fontId="46" fillId="21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22" borderId="19" xfId="0" applyFont="1" applyFill="1" applyBorder="1" applyAlignment="1">
      <alignment horizontal="center"/>
    </xf>
    <xf numFmtId="0" fontId="4" fillId="23" borderId="12" xfId="0" applyFont="1" applyFill="1" applyBorder="1" applyAlignment="1">
      <alignment horizontal="center"/>
    </xf>
    <xf numFmtId="0" fontId="4" fillId="23" borderId="13" xfId="0" applyFont="1" applyFill="1" applyBorder="1" applyAlignment="1">
      <alignment horizontal="center"/>
    </xf>
    <xf numFmtId="0" fontId="4" fillId="23" borderId="20" xfId="0" applyFont="1" applyFill="1" applyBorder="1" applyAlignment="1">
      <alignment horizontal="center"/>
    </xf>
    <xf numFmtId="0" fontId="28" fillId="21" borderId="39" xfId="0" applyFont="1" applyFill="1" applyBorder="1" applyAlignment="1">
      <alignment horizontal="center"/>
    </xf>
    <xf numFmtId="0" fontId="28" fillId="21" borderId="51" xfId="0" applyFont="1" applyFill="1" applyBorder="1" applyAlignment="1">
      <alignment horizontal="center"/>
    </xf>
    <xf numFmtId="0" fontId="28" fillId="21" borderId="40" xfId="0" applyFont="1" applyFill="1" applyBorder="1" applyAlignment="1">
      <alignment horizontal="center"/>
    </xf>
    <xf numFmtId="0" fontId="29" fillId="21" borderId="15" xfId="0" applyFont="1" applyFill="1" applyBorder="1" applyAlignment="1">
      <alignment horizontal="center" vertical="center"/>
    </xf>
    <xf numFmtId="0" fontId="29" fillId="21" borderId="0" xfId="0" applyFont="1" applyFill="1" applyBorder="1" applyAlignment="1">
      <alignment horizontal="center" vertical="center"/>
    </xf>
    <xf numFmtId="0" fontId="3" fillId="21" borderId="15" xfId="0" applyFont="1" applyFill="1" applyBorder="1" applyAlignment="1">
      <alignment horizontal="center" vertical="center"/>
    </xf>
    <xf numFmtId="0" fontId="3" fillId="39" borderId="15" xfId="0" applyFont="1" applyFill="1" applyBorder="1" applyAlignment="1">
      <alignment horizontal="center" vertical="center"/>
    </xf>
    <xf numFmtId="0" fontId="29" fillId="39" borderId="0" xfId="0" applyFont="1" applyFill="1" applyBorder="1" applyAlignment="1">
      <alignment horizontal="center" vertical="center"/>
    </xf>
    <xf numFmtId="0" fontId="28" fillId="22" borderId="44" xfId="0" applyFont="1" applyFill="1" applyBorder="1" applyAlignment="1">
      <alignment horizontal="center" vertical="center" wrapText="1"/>
    </xf>
    <xf numFmtId="0" fontId="28" fillId="22" borderId="19" xfId="0" applyFont="1" applyFill="1" applyBorder="1" applyAlignment="1">
      <alignment horizontal="center" vertical="center" wrapText="1"/>
    </xf>
    <xf numFmtId="0" fontId="28" fillId="22" borderId="35" xfId="0" applyFont="1" applyFill="1" applyBorder="1" applyAlignment="1">
      <alignment horizontal="center" vertical="center" wrapText="1"/>
    </xf>
    <xf numFmtId="0" fontId="28" fillId="22" borderId="37" xfId="0" applyFont="1" applyFill="1" applyBorder="1" applyAlignment="1">
      <alignment horizontal="center" vertical="center" wrapText="1"/>
    </xf>
    <xf numFmtId="0" fontId="28" fillId="22" borderId="78" xfId="0" applyFont="1" applyFill="1" applyBorder="1" applyAlignment="1">
      <alignment horizontal="center" vertical="center" wrapText="1"/>
    </xf>
    <xf numFmtId="0" fontId="28" fillId="22" borderId="79" xfId="0" applyFont="1" applyFill="1" applyBorder="1" applyAlignment="1">
      <alignment horizontal="center" vertical="center" wrapText="1"/>
    </xf>
    <xf numFmtId="0" fontId="4" fillId="27" borderId="0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center" vertical="center" wrapText="1"/>
    </xf>
    <xf numFmtId="0" fontId="4" fillId="23" borderId="19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center" vertical="center"/>
    </xf>
    <xf numFmtId="0" fontId="4" fillId="47" borderId="19" xfId="0" applyFont="1" applyFill="1" applyBorder="1" applyAlignment="1">
      <alignment horizontal="center" vertical="center" wrapText="1"/>
    </xf>
    <xf numFmtId="0" fontId="4" fillId="47" borderId="0" xfId="0" applyFont="1" applyFill="1" applyBorder="1" applyAlignment="1">
      <alignment horizontal="center" vertical="center" wrapText="1"/>
    </xf>
    <xf numFmtId="0" fontId="28" fillId="26" borderId="13" xfId="0" applyFont="1" applyFill="1" applyBorder="1" applyAlignment="1">
      <alignment horizontal="center" vertical="center"/>
    </xf>
    <xf numFmtId="0" fontId="4" fillId="44" borderId="13" xfId="0" applyFont="1" applyFill="1" applyBorder="1" applyAlignment="1">
      <alignment horizontal="center" vertical="center" wrapText="1"/>
    </xf>
    <xf numFmtId="0" fontId="80" fillId="40" borderId="19" xfId="0" applyFont="1" applyFill="1" applyBorder="1" applyAlignment="1">
      <alignment horizontal="center" vertical="center"/>
    </xf>
    <xf numFmtId="0" fontId="4" fillId="23" borderId="19" xfId="0" applyFont="1" applyFill="1" applyBorder="1" applyAlignment="1">
      <alignment horizontal="center" vertical="center" wrapText="1"/>
    </xf>
    <xf numFmtId="49" fontId="28" fillId="26" borderId="38" xfId="0" applyNumberFormat="1" applyFont="1" applyFill="1" applyBorder="1" applyAlignment="1">
      <alignment horizontal="center" vertical="center"/>
    </xf>
    <xf numFmtId="49" fontId="28" fillId="26" borderId="21" xfId="0" applyNumberFormat="1" applyFont="1" applyFill="1" applyBorder="1" applyAlignment="1">
      <alignment horizontal="center" vertical="center"/>
    </xf>
    <xf numFmtId="49" fontId="28" fillId="26" borderId="29" xfId="0" applyNumberFormat="1" applyFont="1" applyFill="1" applyBorder="1" applyAlignment="1">
      <alignment horizontal="center" vertical="center"/>
    </xf>
    <xf numFmtId="0" fontId="28" fillId="47" borderId="38" xfId="0" applyFont="1" applyFill="1" applyBorder="1" applyAlignment="1">
      <alignment horizontal="center" vertical="center" wrapText="1"/>
    </xf>
    <xf numFmtId="0" fontId="28" fillId="47" borderId="21" xfId="0" applyFont="1" applyFill="1" applyBorder="1" applyAlignment="1">
      <alignment horizontal="center" vertical="center" wrapText="1"/>
    </xf>
    <xf numFmtId="0" fontId="28" fillId="47" borderId="29" xfId="0" applyFont="1" applyFill="1" applyBorder="1" applyAlignment="1">
      <alignment horizontal="center" vertical="center" wrapText="1"/>
    </xf>
    <xf numFmtId="0" fontId="4" fillId="27" borderId="19" xfId="0" applyFont="1" applyFill="1" applyBorder="1" applyAlignment="1">
      <alignment horizontal="center" vertical="center" wrapText="1"/>
    </xf>
    <xf numFmtId="0" fontId="4" fillId="27" borderId="0" xfId="0" applyFont="1" applyFill="1" applyBorder="1" applyAlignment="1">
      <alignment horizontal="center" vertical="center" wrapText="1"/>
    </xf>
    <xf numFmtId="0" fontId="4" fillId="40" borderId="19" xfId="0" applyFont="1" applyFill="1" applyBorder="1" applyAlignment="1">
      <alignment horizontal="center" vertical="center" wrapText="1"/>
    </xf>
    <xf numFmtId="0" fontId="69" fillId="43" borderId="38" xfId="0" applyFont="1" applyFill="1" applyBorder="1" applyAlignment="1">
      <alignment horizontal="center" vertical="center"/>
    </xf>
    <xf numFmtId="0" fontId="69" fillId="43" borderId="21" xfId="0" applyFont="1" applyFill="1" applyBorder="1" applyAlignment="1">
      <alignment horizontal="center" vertical="center"/>
    </xf>
    <xf numFmtId="0" fontId="69" fillId="43" borderId="29" xfId="0" applyFont="1" applyFill="1" applyBorder="1" applyAlignment="1">
      <alignment horizontal="center" vertical="center"/>
    </xf>
    <xf numFmtId="0" fontId="4" fillId="43" borderId="38" xfId="0" applyFont="1" applyFill="1" applyBorder="1" applyAlignment="1">
      <alignment horizontal="center" vertical="center" wrapText="1"/>
    </xf>
    <xf numFmtId="0" fontId="4" fillId="43" borderId="21" xfId="0" applyFont="1" applyFill="1" applyBorder="1" applyAlignment="1">
      <alignment horizontal="center" vertical="center" wrapText="1"/>
    </xf>
    <xf numFmtId="0" fontId="4" fillId="43" borderId="29" xfId="0" applyFont="1" applyFill="1" applyBorder="1" applyAlignment="1">
      <alignment horizontal="center" vertical="center" wrapText="1"/>
    </xf>
    <xf numFmtId="0" fontId="28" fillId="26" borderId="12" xfId="0" applyFont="1" applyFill="1" applyBorder="1" applyAlignment="1">
      <alignment horizontal="center" vertical="center"/>
    </xf>
    <xf numFmtId="0" fontId="28" fillId="26" borderId="20" xfId="0" applyFont="1" applyFill="1" applyBorder="1" applyAlignment="1">
      <alignment horizontal="center" vertical="center"/>
    </xf>
    <xf numFmtId="0" fontId="28" fillId="52" borderId="12" xfId="0" applyFont="1" applyFill="1" applyBorder="1" applyAlignment="1">
      <alignment horizontal="center" vertical="center"/>
    </xf>
    <xf numFmtId="0" fontId="28" fillId="52" borderId="13" xfId="0" applyFont="1" applyFill="1" applyBorder="1" applyAlignment="1">
      <alignment horizontal="center" vertical="center"/>
    </xf>
    <xf numFmtId="0" fontId="28" fillId="52" borderId="20" xfId="0" applyFont="1" applyFill="1" applyBorder="1" applyAlignment="1">
      <alignment horizontal="center" vertical="center"/>
    </xf>
    <xf numFmtId="0" fontId="73" fillId="51" borderId="44" xfId="0" applyFont="1" applyFill="1" applyBorder="1" applyAlignment="1">
      <alignment horizontal="left"/>
    </xf>
    <xf numFmtId="0" fontId="73" fillId="51" borderId="19" xfId="0" applyFont="1" applyFill="1" applyBorder="1" applyAlignment="1">
      <alignment horizontal="left"/>
    </xf>
    <xf numFmtId="0" fontId="86" fillId="22" borderId="12" xfId="0" applyFont="1" applyFill="1" applyBorder="1" applyAlignment="1">
      <alignment horizontal="center"/>
    </xf>
    <xf numFmtId="0" fontId="86" fillId="22" borderId="20" xfId="0" applyFont="1" applyFill="1" applyBorder="1" applyAlignment="1">
      <alignment horizontal="center"/>
    </xf>
    <xf numFmtId="0" fontId="33" fillId="22" borderId="42" xfId="0" applyFont="1" applyFill="1" applyBorder="1" applyAlignment="1">
      <alignment horizontal="left"/>
    </xf>
    <xf numFmtId="0" fontId="33" fillId="22" borderId="46" xfId="0" applyFont="1" applyFill="1" applyBorder="1" applyAlignment="1">
      <alignment horizontal="left"/>
    </xf>
    <xf numFmtId="0" fontId="33" fillId="22" borderId="42" xfId="0" applyFont="1" applyFill="1" applyBorder="1" applyAlignment="1">
      <alignment horizontal="left" wrapText="1"/>
    </xf>
    <xf numFmtId="0" fontId="33" fillId="22" borderId="46" xfId="0" applyFont="1" applyFill="1" applyBorder="1" applyAlignment="1">
      <alignment horizontal="left" wrapText="1"/>
    </xf>
    <xf numFmtId="0" fontId="60" fillId="33" borderId="0" xfId="0" applyFont="1" applyFill="1" applyAlignment="1">
      <alignment horizontal="center" vertical="center"/>
    </xf>
    <xf numFmtId="0" fontId="34" fillId="21" borderId="0" xfId="0" applyFont="1" applyFill="1" applyBorder="1" applyAlignment="1">
      <alignment horizontal="right"/>
    </xf>
    <xf numFmtId="0" fontId="37" fillId="28" borderId="12" xfId="0" applyFont="1" applyFill="1" applyBorder="1" applyAlignment="1">
      <alignment horizontal="center" vertical="center" wrapText="1"/>
    </xf>
    <xf numFmtId="0" fontId="37" fillId="28" borderId="13" xfId="0" applyFont="1" applyFill="1" applyBorder="1" applyAlignment="1">
      <alignment horizontal="center" vertical="center" wrapText="1"/>
    </xf>
    <xf numFmtId="0" fontId="37" fillId="28" borderId="20" xfId="0" applyFont="1" applyFill="1" applyBorder="1" applyAlignment="1">
      <alignment horizontal="center" vertical="center" wrapText="1"/>
    </xf>
    <xf numFmtId="0" fontId="33" fillId="35" borderId="12" xfId="0" applyFont="1" applyFill="1" applyBorder="1" applyAlignment="1">
      <alignment horizontal="center" vertical="center"/>
    </xf>
    <xf numFmtId="0" fontId="33" fillId="35" borderId="13" xfId="0" applyFont="1" applyFill="1" applyBorder="1" applyAlignment="1">
      <alignment horizontal="center" vertical="center"/>
    </xf>
    <xf numFmtId="0" fontId="33" fillId="35" borderId="20" xfId="0" applyFont="1" applyFill="1" applyBorder="1" applyAlignment="1">
      <alignment horizontal="center" vertical="center"/>
    </xf>
    <xf numFmtId="0" fontId="32" fillId="39" borderId="43" xfId="0" applyFont="1" applyFill="1" applyBorder="1" applyAlignment="1">
      <alignment horizontal="center"/>
    </xf>
    <xf numFmtId="0" fontId="32" fillId="39" borderId="47" xfId="0" applyFont="1" applyFill="1" applyBorder="1" applyAlignment="1">
      <alignment horizontal="center"/>
    </xf>
    <xf numFmtId="0" fontId="60" fillId="30" borderId="0" xfId="0" applyFont="1" applyFill="1" applyAlignment="1">
      <alignment horizontal="center" vertical="center"/>
    </xf>
    <xf numFmtId="0" fontId="67" fillId="41" borderId="0" xfId="0" applyFont="1" applyFill="1" applyAlignment="1">
      <alignment vertical="top" wrapText="1"/>
    </xf>
    <xf numFmtId="0" fontId="31" fillId="21" borderId="0" xfId="0" applyFont="1" applyFill="1" applyAlignment="1">
      <alignment horizontal="center"/>
    </xf>
    <xf numFmtId="0" fontId="31" fillId="40" borderId="0" xfId="0" applyFont="1" applyFill="1" applyAlignment="1">
      <alignment horizontal="center"/>
    </xf>
    <xf numFmtId="0" fontId="34" fillId="24" borderId="0" xfId="0" applyFont="1" applyFill="1" applyBorder="1" applyAlignment="1">
      <alignment horizontal="right"/>
    </xf>
    <xf numFmtId="0" fontId="31" fillId="24" borderId="0" xfId="0" applyFont="1" applyFill="1" applyBorder="1" applyAlignment="1">
      <alignment horizontal="center"/>
    </xf>
    <xf numFmtId="0" fontId="31" fillId="52" borderId="11" xfId="0" applyFont="1" applyFill="1" applyBorder="1" applyAlignment="1">
      <alignment horizontal="left"/>
    </xf>
    <xf numFmtId="0" fontId="31" fillId="52" borderId="52" xfId="0" applyFont="1" applyFill="1" applyBorder="1" applyAlignment="1">
      <alignment horizontal="left"/>
    </xf>
    <xf numFmtId="0" fontId="31" fillId="52" borderId="61" xfId="0" applyFont="1" applyFill="1" applyBorder="1" applyAlignment="1">
      <alignment horizontal="left"/>
    </xf>
    <xf numFmtId="0" fontId="31" fillId="22" borderId="11" xfId="0" applyFont="1" applyFill="1" applyBorder="1" applyAlignment="1">
      <alignment vertical="center"/>
    </xf>
    <xf numFmtId="0" fontId="31" fillId="22" borderId="52" xfId="0" applyFont="1" applyFill="1" applyBorder="1" applyAlignment="1">
      <alignment vertical="center"/>
    </xf>
    <xf numFmtId="0" fontId="31" fillId="22" borderId="61" xfId="0" applyFont="1" applyFill="1" applyBorder="1" applyAlignment="1">
      <alignment vertical="center"/>
    </xf>
    <xf numFmtId="0" fontId="63" fillId="34" borderId="16" xfId="0" applyFont="1" applyFill="1" applyBorder="1" applyAlignment="1">
      <alignment horizontal="center" vertical="center"/>
    </xf>
    <xf numFmtId="0" fontId="63" fillId="34" borderId="44" xfId="0" applyFont="1" applyFill="1" applyBorder="1" applyAlignment="1">
      <alignment horizontal="center" vertical="center"/>
    </xf>
    <xf numFmtId="0" fontId="63" fillId="34" borderId="19" xfId="0" applyFont="1" applyFill="1" applyBorder="1" applyAlignment="1">
      <alignment horizontal="center" vertical="center"/>
    </xf>
    <xf numFmtId="0" fontId="63" fillId="34" borderId="35" xfId="0" applyFont="1" applyFill="1" applyBorder="1" applyAlignment="1">
      <alignment horizontal="center" vertical="center"/>
    </xf>
    <xf numFmtId="0" fontId="34" fillId="45" borderId="0" xfId="0" applyFont="1" applyFill="1" applyBorder="1" applyAlignment="1">
      <alignment horizontal="right"/>
    </xf>
    <xf numFmtId="0" fontId="61" fillId="21" borderId="0" xfId="0" applyFont="1" applyFill="1" applyAlignment="1">
      <alignment horizontal="center"/>
    </xf>
    <xf numFmtId="0" fontId="31" fillId="42" borderId="11" xfId="0" applyFont="1" applyFill="1" applyBorder="1" applyAlignment="1">
      <alignment vertical="center"/>
    </xf>
    <xf numFmtId="0" fontId="31" fillId="42" borderId="52" xfId="0" applyFont="1" applyFill="1" applyBorder="1" applyAlignment="1">
      <alignment vertical="center"/>
    </xf>
    <xf numFmtId="0" fontId="31" fillId="42" borderId="61" xfId="0" applyFont="1" applyFill="1" applyBorder="1" applyAlignment="1">
      <alignment vertical="center"/>
    </xf>
    <xf numFmtId="0" fontId="33" fillId="45" borderId="23" xfId="0" applyFont="1" applyFill="1" applyBorder="1" applyAlignment="1">
      <alignment horizontal="center"/>
    </xf>
    <xf numFmtId="0" fontId="33" fillId="45" borderId="25" xfId="0" applyFont="1" applyFill="1" applyBorder="1" applyAlignment="1">
      <alignment horizontal="center"/>
    </xf>
    <xf numFmtId="0" fontId="31" fillId="42" borderId="11" xfId="0" applyFont="1" applyFill="1" applyBorder="1" applyAlignment="1">
      <alignment horizontal="left"/>
    </xf>
    <xf numFmtId="0" fontId="31" fillId="42" borderId="52" xfId="0" applyFont="1" applyFill="1" applyBorder="1" applyAlignment="1">
      <alignment horizontal="left"/>
    </xf>
    <xf numFmtId="0" fontId="31" fillId="42" borderId="61" xfId="0" applyFont="1" applyFill="1" applyBorder="1" applyAlignment="1">
      <alignment horizontal="left"/>
    </xf>
    <xf numFmtId="0" fontId="31" fillId="22" borderId="11" xfId="0" applyFont="1" applyFill="1" applyBorder="1" applyAlignment="1">
      <alignment horizontal="left"/>
    </xf>
    <xf numFmtId="0" fontId="31" fillId="22" borderId="52" xfId="0" applyFont="1" applyFill="1" applyBorder="1" applyAlignment="1">
      <alignment horizontal="left"/>
    </xf>
    <xf numFmtId="0" fontId="31" fillId="22" borderId="61" xfId="0" applyFont="1" applyFill="1" applyBorder="1" applyAlignment="1">
      <alignment horizontal="left"/>
    </xf>
    <xf numFmtId="0" fontId="31" fillId="22" borderId="11" xfId="0" applyFont="1" applyFill="1" applyBorder="1" applyAlignment="1">
      <alignment horizontal="left" vertical="center"/>
    </xf>
    <xf numFmtId="0" fontId="31" fillId="22" borderId="52" xfId="0" applyFont="1" applyFill="1" applyBorder="1" applyAlignment="1">
      <alignment horizontal="left" vertical="center"/>
    </xf>
    <xf numFmtId="0" fontId="31" fillId="22" borderId="61" xfId="0" applyFont="1" applyFill="1" applyBorder="1" applyAlignment="1">
      <alignment horizontal="left" vertical="center"/>
    </xf>
    <xf numFmtId="0" fontId="31" fillId="39" borderId="60" xfId="0" applyFont="1" applyFill="1" applyBorder="1" applyAlignment="1">
      <alignment horizontal="center"/>
    </xf>
    <xf numFmtId="0" fontId="37" fillId="45" borderId="0" xfId="0" applyFont="1" applyFill="1" applyBorder="1" applyAlignment="1">
      <alignment horizontal="center" vertical="center"/>
    </xf>
    <xf numFmtId="0" fontId="32" fillId="45" borderId="0" xfId="0" applyFont="1" applyFill="1" applyBorder="1" applyAlignment="1">
      <alignment horizontal="center"/>
    </xf>
    <xf numFmtId="0" fontId="31" fillId="39" borderId="11" xfId="0" applyFont="1" applyFill="1" applyBorder="1" applyAlignment="1">
      <alignment horizontal="center"/>
    </xf>
    <xf numFmtId="0" fontId="31" fillId="39" borderId="52" xfId="0" applyFont="1" applyFill="1" applyBorder="1" applyAlignment="1">
      <alignment horizontal="center"/>
    </xf>
    <xf numFmtId="0" fontId="31" fillId="39" borderId="61" xfId="0" applyFont="1" applyFill="1" applyBorder="1" applyAlignment="1">
      <alignment horizontal="center"/>
    </xf>
    <xf numFmtId="0" fontId="87" fillId="21" borderId="0" xfId="0" applyFont="1" applyFill="1" applyBorder="1" applyAlignment="1">
      <alignment horizontal="left"/>
    </xf>
    <xf numFmtId="0" fontId="87" fillId="21" borderId="68" xfId="0" applyFont="1" applyFill="1" applyBorder="1" applyAlignment="1">
      <alignment horizontal="left"/>
    </xf>
    <xf numFmtId="0" fontId="28" fillId="32" borderId="69" xfId="0" applyFont="1" applyFill="1" applyBorder="1" applyAlignment="1">
      <alignment horizontal="center"/>
    </xf>
    <xf numFmtId="0" fontId="28" fillId="32" borderId="33" xfId="0" applyFont="1" applyFill="1" applyBorder="1" applyAlignment="1">
      <alignment horizontal="center"/>
    </xf>
    <xf numFmtId="3" fontId="50" fillId="28" borderId="38" xfId="0" applyNumberFormat="1" applyFont="1" applyFill="1" applyBorder="1" applyAlignment="1">
      <alignment horizontal="center" vertical="center" wrapText="1"/>
    </xf>
    <xf numFmtId="3" fontId="50" fillId="28" borderId="29" xfId="0" applyNumberFormat="1" applyFont="1" applyFill="1" applyBorder="1" applyAlignment="1">
      <alignment horizontal="center" vertical="center" wrapText="1"/>
    </xf>
    <xf numFmtId="0" fontId="28" fillId="32" borderId="59" xfId="0" applyFont="1" applyFill="1" applyBorder="1" applyAlignment="1">
      <alignment horizontal="center"/>
    </xf>
    <xf numFmtId="0" fontId="28" fillId="32" borderId="46" xfId="0" applyFont="1" applyFill="1" applyBorder="1" applyAlignment="1">
      <alignment horizontal="center"/>
    </xf>
    <xf numFmtId="0" fontId="28" fillId="32" borderId="15" xfId="0" applyFont="1" applyFill="1" applyBorder="1" applyAlignment="1">
      <alignment horizontal="center"/>
    </xf>
    <xf numFmtId="0" fontId="62" fillId="40" borderId="0" xfId="0" applyFont="1" applyFill="1" applyAlignment="1">
      <alignment horizontal="center"/>
    </xf>
    <xf numFmtId="0" fontId="62" fillId="21" borderId="0" xfId="0" applyFont="1" applyFill="1" applyAlignment="1">
      <alignment horizontal="center"/>
    </xf>
    <xf numFmtId="0" fontId="62" fillId="21" borderId="16" xfId="0" applyFont="1" applyFill="1" applyBorder="1" applyAlignment="1">
      <alignment horizontal="center"/>
    </xf>
    <xf numFmtId="0" fontId="50" fillId="28" borderId="51" xfId="0" applyFont="1" applyFill="1" applyBorder="1" applyAlignment="1">
      <alignment horizontal="center" vertical="center" wrapText="1"/>
    </xf>
    <xf numFmtId="0" fontId="50" fillId="28" borderId="14" xfId="0" applyFont="1" applyFill="1" applyBorder="1" applyAlignment="1">
      <alignment horizontal="center" vertical="center" wrapText="1"/>
    </xf>
    <xf numFmtId="0" fontId="50" fillId="28" borderId="40" xfId="0" applyFont="1" applyFill="1" applyBorder="1" applyAlignment="1">
      <alignment horizontal="center" vertical="center" wrapText="1"/>
    </xf>
    <xf numFmtId="0" fontId="50" fillId="28" borderId="70" xfId="0" applyFont="1" applyFill="1" applyBorder="1" applyAlignment="1">
      <alignment horizontal="center" vertical="center" wrapText="1"/>
    </xf>
    <xf numFmtId="3" fontId="50" fillId="28" borderId="38" xfId="0" applyNumberFormat="1" applyFont="1" applyFill="1" applyBorder="1" applyAlignment="1">
      <alignment horizontal="center" wrapText="1"/>
    </xf>
    <xf numFmtId="3" fontId="50" fillId="28" borderId="29" xfId="0" applyNumberFormat="1" applyFont="1" applyFill="1" applyBorder="1" applyAlignment="1">
      <alignment horizontal="center" wrapText="1"/>
    </xf>
    <xf numFmtId="0" fontId="28" fillId="32" borderId="59" xfId="0" applyFont="1" applyFill="1" applyBorder="1" applyAlignment="1">
      <alignment horizontal="center" vertical="center" wrapText="1"/>
    </xf>
    <xf numFmtId="0" fontId="28" fillId="32" borderId="71" xfId="0" applyFont="1" applyFill="1" applyBorder="1" applyAlignment="1">
      <alignment horizontal="center" vertical="center" wrapText="1"/>
    </xf>
    <xf numFmtId="0" fontId="28" fillId="32" borderId="37" xfId="0" applyFont="1" applyFill="1" applyBorder="1" applyAlignment="1">
      <alignment horizontal="center"/>
    </xf>
    <xf numFmtId="0" fontId="28" fillId="32" borderId="47" xfId="0" applyFont="1" applyFill="1" applyBorder="1" applyAlignment="1">
      <alignment horizontal="center"/>
    </xf>
    <xf numFmtId="0" fontId="28" fillId="32" borderId="79" xfId="0" applyFont="1" applyFill="1" applyBorder="1" applyAlignment="1">
      <alignment horizontal="center"/>
    </xf>
    <xf numFmtId="0" fontId="64" fillId="38" borderId="12" xfId="0" applyFont="1" applyFill="1" applyBorder="1" applyAlignment="1">
      <alignment horizontal="center"/>
    </xf>
    <xf numFmtId="0" fontId="64" fillId="38" borderId="13" xfId="0" applyFont="1" applyFill="1" applyBorder="1" applyAlignment="1">
      <alignment horizontal="center"/>
    </xf>
    <xf numFmtId="0" fontId="64" fillId="38" borderId="20" xfId="0" applyFont="1" applyFill="1" applyBorder="1" applyAlignment="1">
      <alignment horizontal="center"/>
    </xf>
    <xf numFmtId="0" fontId="0" fillId="30" borderId="0" xfId="0" applyFill="1" applyBorder="1" applyAlignment="1">
      <alignment horizontal="center"/>
    </xf>
    <xf numFmtId="0" fontId="28" fillId="32" borderId="71" xfId="0" applyFont="1" applyFill="1" applyBorder="1" applyAlignment="1">
      <alignment horizontal="center"/>
    </xf>
    <xf numFmtId="0" fontId="50" fillId="28" borderId="38" xfId="0" applyFont="1" applyFill="1" applyBorder="1" applyAlignment="1">
      <alignment horizontal="center" vertical="center" wrapText="1"/>
    </xf>
    <xf numFmtId="0" fontId="50" fillId="28" borderId="21" xfId="0" applyFont="1" applyFill="1" applyBorder="1" applyAlignment="1">
      <alignment horizontal="center" vertical="center" wrapText="1"/>
    </xf>
    <xf numFmtId="0" fontId="62" fillId="21" borderId="0" xfId="0" applyNumberFormat="1" applyFont="1" applyFill="1" applyAlignment="1">
      <alignment horizontal="center"/>
    </xf>
    <xf numFmtId="0" fontId="49" fillId="34" borderId="51" xfId="0" applyFont="1" applyFill="1" applyBorder="1" applyAlignment="1">
      <alignment horizontal="center" vertical="center" wrapText="1"/>
    </xf>
    <xf numFmtId="0" fontId="49" fillId="34" borderId="14" xfId="0" applyFont="1" applyFill="1" applyBorder="1" applyAlignment="1">
      <alignment horizontal="center" vertical="center" wrapText="1"/>
    </xf>
    <xf numFmtId="0" fontId="50" fillId="28" borderId="39" xfId="0" applyFont="1" applyFill="1" applyBorder="1" applyAlignment="1">
      <alignment horizontal="center" vertical="center" wrapText="1"/>
    </xf>
    <xf numFmtId="0" fontId="50" fillId="28" borderId="49" xfId="0" applyFont="1" applyFill="1" applyBorder="1" applyAlignment="1">
      <alignment horizontal="center" vertical="center" wrapText="1"/>
    </xf>
    <xf numFmtId="0" fontId="62" fillId="40" borderId="0" xfId="0" applyNumberFormat="1" applyFont="1" applyFill="1" applyAlignment="1">
      <alignment horizontal="center"/>
    </xf>
    <xf numFmtId="0" fontId="49" fillId="34" borderId="40" xfId="0" applyFont="1" applyFill="1" applyBorder="1" applyAlignment="1">
      <alignment horizontal="center" vertical="center" wrapText="1"/>
    </xf>
    <xf numFmtId="0" fontId="49" fillId="34" borderId="70" xfId="0" applyFont="1" applyFill="1" applyBorder="1" applyAlignment="1">
      <alignment horizontal="center" vertical="center" wrapText="1"/>
    </xf>
    <xf numFmtId="0" fontId="50" fillId="28" borderId="37" xfId="0" applyFont="1" applyFill="1" applyBorder="1" applyAlignment="1">
      <alignment horizontal="center"/>
    </xf>
    <xf numFmtId="0" fontId="50" fillId="28" borderId="78" xfId="0" applyFont="1" applyFill="1" applyBorder="1" applyAlignment="1">
      <alignment horizontal="center"/>
    </xf>
    <xf numFmtId="0" fontId="50" fillId="28" borderId="90" xfId="0" applyFont="1" applyFill="1" applyBorder="1" applyAlignment="1">
      <alignment horizontal="center"/>
    </xf>
    <xf numFmtId="0" fontId="49" fillId="34" borderId="39" xfId="0" applyFont="1" applyFill="1" applyBorder="1" applyAlignment="1">
      <alignment horizontal="center" vertical="center" wrapText="1"/>
    </xf>
    <xf numFmtId="0" fontId="49" fillId="34" borderId="49" xfId="0" applyFont="1" applyFill="1" applyBorder="1" applyAlignment="1">
      <alignment horizontal="center" vertical="center" wrapText="1"/>
    </xf>
    <xf numFmtId="0" fontId="50" fillId="29" borderId="39" xfId="0" applyFont="1" applyFill="1" applyBorder="1" applyAlignment="1">
      <alignment horizontal="center" vertical="center" wrapText="1"/>
    </xf>
    <xf numFmtId="0" fontId="50" fillId="29" borderId="49" xfId="0" applyFont="1" applyFill="1" applyBorder="1" applyAlignment="1">
      <alignment horizontal="center" vertical="center" wrapText="1"/>
    </xf>
    <xf numFmtId="0" fontId="30" fillId="21" borderId="16" xfId="0" applyFont="1" applyFill="1" applyBorder="1" applyAlignment="1">
      <alignment horizontal="center"/>
    </xf>
    <xf numFmtId="0" fontId="50" fillId="28" borderId="12" xfId="0" applyFont="1" applyFill="1" applyBorder="1" applyAlignment="1">
      <alignment horizontal="center" vertical="center" wrapText="1"/>
    </xf>
    <xf numFmtId="0" fontId="50" fillId="28" borderId="13" xfId="0" applyFont="1" applyFill="1" applyBorder="1" applyAlignment="1">
      <alignment horizontal="center" vertical="center" wrapText="1"/>
    </xf>
    <xf numFmtId="0" fontId="50" fillId="28" borderId="20" xfId="0" applyFont="1" applyFill="1" applyBorder="1" applyAlignment="1">
      <alignment horizontal="center" vertical="center" wrapText="1"/>
    </xf>
    <xf numFmtId="0" fontId="50" fillId="28" borderId="67" xfId="0" applyFont="1" applyFill="1" applyBorder="1" applyAlignment="1">
      <alignment horizontal="center"/>
    </xf>
    <xf numFmtId="0" fontId="50" fillId="28" borderId="54" xfId="0" applyFont="1" applyFill="1" applyBorder="1" applyAlignment="1">
      <alignment horizontal="center"/>
    </xf>
    <xf numFmtId="0" fontId="50" fillId="28" borderId="66" xfId="0" applyFont="1" applyFill="1" applyBorder="1" applyAlignment="1">
      <alignment horizontal="center"/>
    </xf>
    <xf numFmtId="0" fontId="50" fillId="63" borderId="12" xfId="0" applyFont="1" applyFill="1" applyBorder="1" applyAlignment="1">
      <alignment horizontal="center" vertical="center" wrapText="1"/>
    </xf>
    <xf numFmtId="0" fontId="50" fillId="63" borderId="13" xfId="0" applyFont="1" applyFill="1" applyBorder="1" applyAlignment="1">
      <alignment horizontal="center" vertical="center" wrapText="1"/>
    </xf>
    <xf numFmtId="0" fontId="50" fillId="63" borderId="20" xfId="0" applyFont="1" applyFill="1" applyBorder="1" applyAlignment="1">
      <alignment horizontal="center" vertical="center" wrapText="1"/>
    </xf>
    <xf numFmtId="168" fontId="62" fillId="21" borderId="0" xfId="37" applyNumberFormat="1" applyFont="1" applyFill="1" applyAlignment="1">
      <alignment horizontal="center"/>
    </xf>
    <xf numFmtId="0" fontId="50" fillId="28" borderId="76" xfId="0" applyFont="1" applyFill="1" applyBorder="1" applyAlignment="1">
      <alignment horizontal="center" vertical="center" wrapText="1"/>
    </xf>
    <xf numFmtId="0" fontId="50" fillId="28" borderId="10" xfId="0" applyFont="1" applyFill="1" applyBorder="1" applyAlignment="1">
      <alignment horizontal="center" vertical="center" wrapText="1"/>
    </xf>
    <xf numFmtId="0" fontId="50" fillId="28" borderId="58" xfId="0" applyFont="1" applyFill="1" applyBorder="1" applyAlignment="1">
      <alignment horizontal="center" vertical="center" wrapText="1"/>
    </xf>
    <xf numFmtId="168" fontId="62" fillId="40" borderId="0" xfId="37" applyNumberFormat="1" applyFont="1" applyFill="1" applyAlignment="1">
      <alignment horizontal="center"/>
    </xf>
    <xf numFmtId="0" fontId="50" fillId="28" borderId="29" xfId="0" applyFont="1" applyFill="1" applyBorder="1" applyAlignment="1">
      <alignment horizontal="center" vertical="center" wrapText="1"/>
    </xf>
    <xf numFmtId="0" fontId="4" fillId="28" borderId="51" xfId="0" applyFont="1" applyFill="1" applyBorder="1" applyAlignment="1">
      <alignment horizontal="center" vertical="center" wrapText="1"/>
    </xf>
    <xf numFmtId="0" fontId="48" fillId="28" borderId="14" xfId="0" applyFont="1" applyFill="1" applyBorder="1" applyAlignment="1">
      <alignment horizontal="center" vertical="center" wrapText="1"/>
    </xf>
    <xf numFmtId="0" fontId="48" fillId="28" borderId="51" xfId="0" applyFont="1" applyFill="1" applyBorder="1" applyAlignment="1">
      <alignment horizontal="center" vertical="center" wrapText="1"/>
    </xf>
    <xf numFmtId="0" fontId="62" fillId="21" borderId="78" xfId="0" applyFont="1" applyFill="1" applyBorder="1" applyAlignment="1">
      <alignment horizontal="center"/>
    </xf>
    <xf numFmtId="3" fontId="65" fillId="28" borderId="38" xfId="0" applyNumberFormat="1" applyFont="1" applyFill="1" applyBorder="1" applyAlignment="1">
      <alignment horizontal="center" vertical="center" wrapText="1"/>
    </xf>
    <xf numFmtId="3" fontId="65" fillId="28" borderId="29" xfId="0" applyNumberFormat="1" applyFont="1" applyFill="1" applyBorder="1" applyAlignment="1">
      <alignment horizontal="center" vertical="center" wrapText="1"/>
    </xf>
    <xf numFmtId="0" fontId="64" fillId="28" borderId="38" xfId="0" applyFont="1" applyFill="1" applyBorder="1" applyAlignment="1">
      <alignment horizontal="center" vertical="center" wrapText="1"/>
    </xf>
    <xf numFmtId="0" fontId="64" fillId="28" borderId="21" xfId="0" applyFont="1" applyFill="1" applyBorder="1" applyAlignment="1">
      <alignment horizontal="center" vertical="center" wrapText="1"/>
    </xf>
    <xf numFmtId="0" fontId="28" fillId="32" borderId="45" xfId="0" applyFont="1" applyFill="1" applyBorder="1" applyAlignment="1">
      <alignment horizontal="center"/>
    </xf>
    <xf numFmtId="0" fontId="37" fillId="36" borderId="38" xfId="0" applyFont="1" applyFill="1" applyBorder="1" applyAlignment="1">
      <alignment horizontal="center" vertical="center"/>
    </xf>
    <xf numFmtId="0" fontId="37" fillId="36" borderId="29" xfId="0" applyFont="1" applyFill="1" applyBorder="1" applyAlignment="1">
      <alignment horizontal="center" vertical="center"/>
    </xf>
  </cellXfs>
  <cellStyles count="60">
    <cellStyle name="Buena" xfId="1" builtinId="26" customBuiltin="1"/>
    <cellStyle name="Cálculo" xfId="2" builtinId="22" customBuiltin="1"/>
    <cellStyle name="Celda de comprobación" xfId="3" builtinId="23" customBuiltin="1"/>
    <cellStyle name="Celda vinculada" xfId="4" builtinId="24" customBuiltin="1"/>
    <cellStyle name="Encabezado 1" xfId="50" builtinId="16" customBuiltin="1"/>
    <cellStyle name="Encabezado 4" xfId="5" builtinId="19" customBuiltin="1"/>
    <cellStyle name="Énfasis 1" xfId="6"/>
    <cellStyle name="Énfasis 2" xfId="7"/>
    <cellStyle name="Énfasis 3" xfId="8"/>
    <cellStyle name="Énfasis1" xfId="9" builtinId="29" customBuiltin="1"/>
    <cellStyle name="Énfasis1 - 20%" xfId="10"/>
    <cellStyle name="Énfasis1 - 40%" xfId="11"/>
    <cellStyle name="Énfasis1 - 60%" xfId="12"/>
    <cellStyle name="Énfasis2" xfId="13" builtinId="33" customBuiltin="1"/>
    <cellStyle name="Énfasis2 - 20%" xfId="14"/>
    <cellStyle name="Énfasis2 - 40%" xfId="15"/>
    <cellStyle name="Énfasis2 - 60%" xfId="16"/>
    <cellStyle name="Énfasis3" xfId="17" builtinId="37" customBuiltin="1"/>
    <cellStyle name="Énfasis3 - 20%" xfId="18"/>
    <cellStyle name="Énfasis3 - 40%" xfId="19"/>
    <cellStyle name="Énfasis3 - 60%" xfId="20"/>
    <cellStyle name="Énfasis4" xfId="21" builtinId="41" customBuiltin="1"/>
    <cellStyle name="Énfasis4 - 20%" xfId="22"/>
    <cellStyle name="Énfasis4 - 40%" xfId="23"/>
    <cellStyle name="Énfasis4 - 60%" xfId="24"/>
    <cellStyle name="Énfasis5" xfId="25" builtinId="45" customBuiltin="1"/>
    <cellStyle name="Énfasis5 - 20%" xfId="26"/>
    <cellStyle name="Énfasis5 - 40%" xfId="27"/>
    <cellStyle name="Énfasis5 - 60%" xfId="28"/>
    <cellStyle name="Énfasis6" xfId="29" builtinId="49" customBuiltin="1"/>
    <cellStyle name="Énfasis6 - 20%" xfId="30"/>
    <cellStyle name="Énfasis6 - 40%" xfId="31"/>
    <cellStyle name="Énfasis6 - 60%" xfId="32"/>
    <cellStyle name="Entrada" xfId="33" builtinId="20" customBuiltin="1"/>
    <cellStyle name="Hipervínculo" xfId="34" builtinId="8"/>
    <cellStyle name="Incorrecto" xfId="35" builtinId="27" customBuiltin="1"/>
    <cellStyle name="Millares" xfId="36" builtinId="3"/>
    <cellStyle name="Millares_AFILIACIONES" xfId="37"/>
    <cellStyle name="Moneda" xfId="38" builtinId="4"/>
    <cellStyle name="Neutral" xfId="39" builtinId="28" customBuiltin="1"/>
    <cellStyle name="Normal" xfId="0" builtinId="0"/>
    <cellStyle name="Normal 2" xfId="57"/>
    <cellStyle name="Normal 2 2" xfId="58"/>
    <cellStyle name="Normal 3" xfId="40"/>
    <cellStyle name="Normal 4" xfId="59"/>
    <cellStyle name="Normal 5" xfId="55"/>
    <cellStyle name="Normal 6" xfId="56"/>
    <cellStyle name="Notas" xfId="41" builtinId="10" customBuiltin="1"/>
    <cellStyle name="Notas 2" xfId="42"/>
    <cellStyle name="Notas 3" xfId="43"/>
    <cellStyle name="Notas 4" xfId="44"/>
    <cellStyle name="Notas 5" xfId="45"/>
    <cellStyle name="Notas 6" xfId="46"/>
    <cellStyle name="Porcentaje" xfId="47" builtinId="5"/>
    <cellStyle name="Salida" xfId="48" builtinId="21" customBuiltin="1"/>
    <cellStyle name="Texto de advertencia" xfId="49" builtinId="11" customBuiltin="1"/>
    <cellStyle name="Título 2" xfId="51" builtinId="17" customBuiltin="1"/>
    <cellStyle name="Título 3" xfId="52" builtinId="18" customBuiltin="1"/>
    <cellStyle name="Título de hoja" xfId="53"/>
    <cellStyle name="Total" xfId="54" builtinId="25" customBuiltin="1"/>
  </cellStyles>
  <dxfs count="22"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3366FF"/>
      <color rgb="FF31859B"/>
      <color rgb="FFFFCCFF"/>
      <color rgb="FF0000CC"/>
      <color rgb="FF0694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69902912621352E-2"/>
          <c:y val="7.1641791044776124E-2"/>
          <c:w val="0.8970873786407767"/>
          <c:h val="0.8"/>
        </c:manualLayout>
      </c:layout>
      <c:barChart>
        <c:barDir val="col"/>
        <c:grouping val="clustered"/>
        <c:varyColors val="0"/>
        <c:ser>
          <c:idx val="0"/>
          <c:order val="0"/>
          <c:tx>
            <c:v>Evolución Histórica Periodo I</c:v>
          </c:tx>
          <c:spPr>
            <a:gradFill rotWithShape="0">
              <a:gsLst>
                <a:gs pos="0">
                  <a:srgbClr val="3366FF"/>
                </a:gs>
                <a:gs pos="100000">
                  <a:srgbClr val="3366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numRef>
              <c:f>ALUMNOS!$C$24:$G$24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ALUMNOS!$C$23:$G$23</c:f>
              <c:numCache>
                <c:formatCode>General</c:formatCode>
                <c:ptCount val="5"/>
                <c:pt idx="0">
                  <c:v>102</c:v>
                </c:pt>
                <c:pt idx="1">
                  <c:v>106</c:v>
                </c:pt>
                <c:pt idx="2">
                  <c:v>123</c:v>
                </c:pt>
                <c:pt idx="3">
                  <c:v>119</c:v>
                </c:pt>
                <c:pt idx="4">
                  <c:v>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A6-4E3D-B53A-9460DCE8D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785040"/>
        <c:axId val="304783920"/>
      </c:barChart>
      <c:catAx>
        <c:axId val="30478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4783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4783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4785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105263157894732E-2"/>
          <c:y val="0.28662509524624069"/>
          <c:w val="0.81842105263157894"/>
          <c:h val="0.35031956085651639"/>
        </c:manualLayout>
      </c:layout>
      <c:barChart>
        <c:barDir val="bar"/>
        <c:grouping val="clustered"/>
        <c:varyColors val="0"/>
        <c:ser>
          <c:idx val="0"/>
          <c:order val="0"/>
          <c:tx>
            <c:v>Gastos de Personal / Gastos Totales</c:v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3'!$B$8</c:f>
              <c:numCache>
                <c:formatCode>0%</c:formatCode>
                <c:ptCount val="1"/>
                <c:pt idx="0">
                  <c:v>0.51849229961289955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66-40A0-BBE7-E377D73B0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44246528"/>
        <c:axId val="244247088"/>
      </c:barChart>
      <c:catAx>
        <c:axId val="244246528"/>
        <c:scaling>
          <c:orientation val="minMax"/>
        </c:scaling>
        <c:delete val="0"/>
        <c:axPos val="l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44247088"/>
        <c:crosses val="autoZero"/>
        <c:auto val="1"/>
        <c:lblAlgn val="ctr"/>
        <c:lblOffset val="100"/>
        <c:tickMarkSkip val="1"/>
        <c:noMultiLvlLbl val="0"/>
      </c:catAx>
      <c:valAx>
        <c:axId val="244247088"/>
        <c:scaling>
          <c:orientation val="minMax"/>
          <c:max val="1"/>
          <c:min val="0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44246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31658608579163"/>
          <c:y val="0.13430338751515708"/>
          <c:w val="0.72110552763819091"/>
          <c:h val="0.77711071956984057"/>
        </c:manualLayout>
      </c:layout>
      <c:barChart>
        <c:barDir val="col"/>
        <c:grouping val="clustered"/>
        <c:varyColors val="0"/>
        <c:ser>
          <c:idx val="0"/>
          <c:order val="0"/>
          <c:tx>
            <c:v>Rendimiento+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3.8020987406153582E-2"/>
                  <c:y val="-2.1115127166674599E-2"/>
                </c:manualLayout>
              </c:layout>
              <c:numFmt formatCode="_ \$\ * #,##0_ ;_ \$\ * \-#,##0_ ;_ \$\ * &quot;-&quot;??_ ;_ @_ 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66FE-43EB-B2C8-B52E3CEF8DB7}"/>
                </c:ext>
                <c:ext xmlns:c15="http://schemas.microsoft.com/office/drawing/2012/chart" uri="{CE6537A1-D6FC-4f65-9D91-7224C49458BB}"/>
              </c:extLst>
            </c:dLbl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3'!$B$9</c:f>
              <c:numCache>
                <c:formatCode>#,##0</c:formatCode>
                <c:ptCount val="1"/>
                <c:pt idx="0">
                  <c:v>5444763.2070045117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6FE-43EB-B2C8-B52E3CEF8DB7}"/>
            </c:ext>
          </c:extLst>
        </c:ser>
        <c:ser>
          <c:idx val="1"/>
          <c:order val="1"/>
          <c:tx>
            <c:v>Rendimiento -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3.1515670946839124E-2"/>
                  <c:y val="2.70777856748658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66FE-43EB-B2C8-B52E3CEF8DB7}"/>
                </c:ext>
                <c:ext xmlns:c15="http://schemas.microsoft.com/office/drawing/2012/chart" uri="{CE6537A1-D6FC-4f65-9D91-7224C49458BB}"/>
              </c:extLst>
            </c:dLbl>
            <c:numFmt formatCode="_-* #,##0\ _€_-;\-* #,##0\ _€_-;_-* &quot;-&quot;??\ _€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3'!$B$10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6FE-43EB-B2C8-B52E3CEF8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100"/>
        <c:axId val="297444704"/>
        <c:axId val="297445264"/>
      </c:barChart>
      <c:catAx>
        <c:axId val="29744470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97445264"/>
        <c:crosses val="autoZero"/>
        <c:auto val="1"/>
        <c:lblAlgn val="ctr"/>
        <c:lblOffset val="100"/>
        <c:tickMarkSkip val="1"/>
        <c:noMultiLvlLbl val="0"/>
      </c:catAx>
      <c:valAx>
        <c:axId val="297445264"/>
        <c:scaling>
          <c:orientation val="minMax"/>
        </c:scaling>
        <c:delete val="0"/>
        <c:axPos val="l"/>
        <c:numFmt formatCode="_ \$\ * #,##0.00_ ;_ \$\ * \-#,##0.00_ ;_ \$\ * &quot;-&quot;??_ ;_ @_ 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7444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23410296738"/>
          <c:y val="8.1967213114754092E-2"/>
          <c:w val="0.49456609234547022"/>
          <c:h val="0.77049180327868849"/>
        </c:manualLayout>
      </c:layout>
      <c:barChart>
        <c:barDir val="col"/>
        <c:grouping val="percentStacked"/>
        <c:varyColors val="0"/>
        <c:ser>
          <c:idx val="0"/>
          <c:order val="0"/>
          <c:tx>
            <c:v>Sueldos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3366FF">
                      <a:gamma/>
                      <a:shade val="46275"/>
                      <a:invGamma/>
                    </a:srgbClr>
                  </a:gs>
                  <a:gs pos="50000">
                    <a:srgbClr val="3366FF"/>
                  </a:gs>
                  <a:gs pos="100000">
                    <a:srgbClr val="3366FF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339-44A8-833F-5B77121586FE}"/>
              </c:ext>
            </c:extLst>
          </c:dPt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3'!$B$13</c:f>
              <c:numCache>
                <c:formatCode>_-* #,##0\ _€_-;\-* #,##0\ _€_-;_-* "-"??\ _€_-;_-@_-</c:formatCode>
                <c:ptCount val="1"/>
                <c:pt idx="0">
                  <c:v>9958297.7666666657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339-44A8-833F-5B77121586FE}"/>
            </c:ext>
          </c:extLst>
        </c:ser>
        <c:ser>
          <c:idx val="1"/>
          <c:order val="1"/>
          <c:tx>
            <c:v>Carga Prestacional</c:v>
          </c:tx>
          <c:spPr>
            <a:gradFill rotWithShape="0">
              <a:gsLst>
                <a:gs pos="0">
                  <a:srgbClr val="FF0000"/>
                </a:gs>
                <a:gs pos="50000">
                  <a:srgbClr val="FF9900"/>
                </a:gs>
                <a:gs pos="100000">
                  <a:srgbClr val="FF0000"/>
                </a:gs>
              </a:gsLst>
              <a:lin ang="0" scaled="1"/>
            </a:gra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3'!$B$11</c:f>
              <c:numCache>
                <c:formatCode>_-* #,##0\ _€_-;\-* #,##0\ _€_-;_-* "-"??\ _€_-;_-@_-</c:formatCode>
                <c:ptCount val="1"/>
                <c:pt idx="0">
                  <c:v>6785195.4685788192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339-44A8-833F-5B77121586FE}"/>
            </c:ext>
          </c:extLst>
        </c:ser>
        <c:ser>
          <c:idx val="2"/>
          <c:order val="2"/>
          <c:tx>
            <c:v>Honorarios</c:v>
          </c:tx>
          <c:spPr>
            <a:gradFill rotWithShape="0">
              <a:gsLst>
                <a:gs pos="0">
                  <a:srgbClr val="99CCFF">
                    <a:gamma/>
                    <a:shade val="46275"/>
                    <a:invGamma/>
                  </a:srgbClr>
                </a:gs>
                <a:gs pos="50000">
                  <a:srgbClr val="99CCFF"/>
                </a:gs>
                <a:gs pos="100000">
                  <a:srgbClr val="99CC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3'!$B$12</c:f>
              <c:numCache>
                <c:formatCode>_-* #,##0\ _€_-;\-* #,##0\ _€_-;_-* "-"??\ _€_-;_-@_-</c:formatCode>
                <c:ptCount val="1"/>
                <c:pt idx="0">
                  <c:v>311826.09399999998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339-44A8-833F-5B771215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98098928"/>
        <c:axId val="298099488"/>
      </c:barChart>
      <c:catAx>
        <c:axId val="298098928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98099488"/>
        <c:crosses val="autoZero"/>
        <c:auto val="1"/>
        <c:lblAlgn val="ctr"/>
        <c:lblOffset val="100"/>
        <c:tickMarkSkip val="1"/>
        <c:noMultiLvlLbl val="0"/>
      </c:catAx>
      <c:valAx>
        <c:axId val="29809948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8098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7612456747404839"/>
          <c:y val="0.22302158273381295"/>
          <c:w val="0.26470588235294112"/>
          <c:h val="0.4892086330935251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663731133800304"/>
          <c:y val="9.7473096008249674E-2"/>
          <c:w val="0.54260208494360662"/>
          <c:h val="0.71119258939352537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0080"/>
                </a:gs>
                <a:gs pos="100000">
                  <a:srgbClr val="000080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NOMINA!$H$371</c:f>
              <c:numCache>
                <c:formatCode>#,##0</c:formatCode>
                <c:ptCount val="1"/>
                <c:pt idx="0">
                  <c:v>5942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4E-403F-BFAE-FD722615DC1D}"/>
            </c:ext>
          </c:extLst>
        </c:ser>
        <c:ser>
          <c:idx val="1"/>
          <c:order val="1"/>
          <c:spPr>
            <a:gradFill rotWithShape="0">
              <a:gsLst>
                <a:gs pos="0">
                  <a:srgbClr val="3366FF"/>
                </a:gs>
                <a:gs pos="100000">
                  <a:srgbClr val="3366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NOMINA!$I$371</c:f>
              <c:numCache>
                <c:formatCode>#,##0</c:formatCode>
                <c:ptCount val="1"/>
                <c:pt idx="0">
                  <c:v>5996.01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64E-403F-BFAE-FD722615D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10"/>
        <c:axId val="235920384"/>
        <c:axId val="235920944"/>
      </c:barChart>
      <c:catAx>
        <c:axId val="23592038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35920944"/>
        <c:crosses val="autoZero"/>
        <c:auto val="1"/>
        <c:lblAlgn val="ctr"/>
        <c:lblOffset val="100"/>
        <c:tickMarkSkip val="1"/>
        <c:noMultiLvlLbl val="0"/>
      </c:catAx>
      <c:valAx>
        <c:axId val="235920944"/>
        <c:scaling>
          <c:orientation val="minMax"/>
          <c:min val="0"/>
        </c:scaling>
        <c:delete val="0"/>
        <c:axPos val="l"/>
        <c:numFmt formatCode="_ * #,##0_ ;_ * \-#,##0_ ;_ * &quot;-&quot;??_ ;_ @_ 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359203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9.8654708520179366E-2"/>
          <c:y val="0.85559718392601636"/>
          <c:w val="0.7309431164153809"/>
          <c:h val="0.1299642779309625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Ingresos Totales</c:v>
          </c:tx>
          <c:spPr>
            <a:gradFill rotWithShape="0">
              <a:gsLst>
                <a:gs pos="0">
                  <a:srgbClr val="00FF00"/>
                </a:gs>
                <a:gs pos="100000">
                  <a:srgbClr val="00FF00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3'!$B$5</c:f>
              <c:numCache>
                <c:formatCode>_-* #,##0\ _€_-;\-* #,##0\ _€_-;_-* "-"??\ _€_-;_-@_-</c:formatCode>
                <c:ptCount val="1"/>
                <c:pt idx="0">
                  <c:v>38338828.059999995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B2-4BBA-88C2-15F1D3796E43}"/>
            </c:ext>
          </c:extLst>
        </c:ser>
        <c:ser>
          <c:idx val="1"/>
          <c:order val="1"/>
          <c:tx>
            <c:v>Gastos Totales</c:v>
          </c:tx>
          <c:spPr>
            <a:gradFill rotWithShape="0">
              <a:gsLst>
                <a:gs pos="0">
                  <a:srgbClr val="FF0000"/>
                </a:gs>
                <a:gs pos="100000">
                  <a:srgbClr val="FF6600"/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3'!$B$6</c:f>
              <c:numCache>
                <c:formatCode>"$"\ #,##0</c:formatCode>
                <c:ptCount val="1"/>
                <c:pt idx="0">
                  <c:v>32894064.852995485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B2-4BBA-88C2-15F1D3796E43}"/>
            </c:ext>
          </c:extLst>
        </c:ser>
        <c:ser>
          <c:idx val="2"/>
          <c:order val="2"/>
          <c:tx>
            <c:v>Gastos de Personal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3'!$B$7</c:f>
              <c:numCache>
                <c:formatCode>"$"\ #,##0</c:formatCode>
                <c:ptCount val="1"/>
                <c:pt idx="0">
                  <c:v>17055319.329245485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DB2-4BBA-88C2-15F1D3796E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36669744"/>
        <c:axId val="236670304"/>
      </c:barChart>
      <c:catAx>
        <c:axId val="23666974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36670304"/>
        <c:crosses val="autoZero"/>
        <c:auto val="1"/>
        <c:lblAlgn val="ctr"/>
        <c:lblOffset val="100"/>
        <c:tickMarkSkip val="1"/>
        <c:noMultiLvlLbl val="0"/>
      </c:catAx>
      <c:valAx>
        <c:axId val="236670304"/>
        <c:scaling>
          <c:orientation val="minMax"/>
          <c:min val="0"/>
        </c:scaling>
        <c:delete val="0"/>
        <c:axPos val="l"/>
        <c:numFmt formatCode="_ \$\ * #,##0_ ;_ \$\ * \-#,##0_ ;_ \$\ * &quot;-&quot;??_ ;_ @_ 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36669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666790674833845E-2"/>
          <c:y val="0.30833584257684388"/>
          <c:w val="0.65904884495692884"/>
          <c:h val="0.2416686333710398"/>
        </c:manualLayout>
      </c:layout>
      <c:barChart>
        <c:barDir val="bar"/>
        <c:grouping val="clustered"/>
        <c:varyColors val="0"/>
        <c:ser>
          <c:idx val="0"/>
          <c:order val="0"/>
          <c:tx>
            <c:v>Gastos de Personal / Gastos Totales</c:v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3'!$B$8</c:f>
              <c:numCache>
                <c:formatCode>0%</c:formatCode>
                <c:ptCount val="1"/>
                <c:pt idx="0">
                  <c:v>0.51849229961289955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56-4091-B07B-244C82DFD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3503776"/>
        <c:axId val="103504336"/>
      </c:barChart>
      <c:catAx>
        <c:axId val="103503776"/>
        <c:scaling>
          <c:orientation val="minMax"/>
        </c:scaling>
        <c:delete val="0"/>
        <c:axPos val="l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03504336"/>
        <c:crosses val="autoZero"/>
        <c:auto val="1"/>
        <c:lblAlgn val="ctr"/>
        <c:lblOffset val="100"/>
        <c:tickMarkSkip val="1"/>
        <c:noMultiLvlLbl val="0"/>
      </c:catAx>
      <c:valAx>
        <c:axId val="103504336"/>
        <c:scaling>
          <c:orientation val="minMax"/>
          <c:max val="1"/>
          <c:min val="0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3503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3840445269017"/>
          <c:y val="0.12650639620904383"/>
          <c:w val="0.58256029684601118"/>
          <c:h val="0.77711071956984057"/>
        </c:manualLayout>
      </c:layout>
      <c:barChart>
        <c:barDir val="col"/>
        <c:grouping val="clustered"/>
        <c:varyColors val="0"/>
        <c:ser>
          <c:idx val="0"/>
          <c:order val="0"/>
          <c:tx>
            <c:v>Rendimiento+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3.0862393643795949E-2"/>
                  <c:y val="-2.1115127166674599E-2"/>
                </c:manualLayout>
              </c:layout>
              <c:numFmt formatCode="_ \$\ * #,##0_ ;_ \$\ * \-#,##0_ ;_ \$\ * &quot;-&quot;??_ ;_ @_ 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6D1E-4350-B227-421F064214F6}"/>
                </c:ext>
                <c:ext xmlns:c15="http://schemas.microsoft.com/office/drawing/2012/chart" uri="{CE6537A1-D6FC-4f65-9D91-7224C49458BB}"/>
              </c:extLst>
            </c:dLbl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3'!$B$9</c:f>
              <c:numCache>
                <c:formatCode>#,##0</c:formatCode>
                <c:ptCount val="1"/>
                <c:pt idx="0">
                  <c:v>5444763.2070045117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1E-4350-B227-421F064214F6}"/>
            </c:ext>
          </c:extLst>
        </c:ser>
        <c:ser>
          <c:idx val="1"/>
          <c:order val="1"/>
          <c:tx>
            <c:v>Rendimiento -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2.420174534460251E-2"/>
                  <c:y val="2.70777856748658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6D1E-4350-B227-421F064214F6}"/>
                </c:ext>
                <c:ext xmlns:c15="http://schemas.microsoft.com/office/drawing/2012/chart" uri="{CE6537A1-D6FC-4f65-9D91-7224C49458BB}"/>
              </c:extLst>
            </c:dLbl>
            <c:numFmt formatCode="_-* #,##0\ _€_-;\-* #,##0\ _€_-;_-* &quot;-&quot;??\ _€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3'!$B$10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D1E-4350-B227-421F06421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100"/>
        <c:axId val="239992080"/>
        <c:axId val="239992640"/>
      </c:barChart>
      <c:catAx>
        <c:axId val="239992080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39992640"/>
        <c:crosses val="autoZero"/>
        <c:auto val="1"/>
        <c:lblAlgn val="ctr"/>
        <c:lblOffset val="100"/>
        <c:tickMarkSkip val="1"/>
        <c:noMultiLvlLbl val="0"/>
      </c:catAx>
      <c:valAx>
        <c:axId val="239992640"/>
        <c:scaling>
          <c:orientation val="minMax"/>
        </c:scaling>
        <c:delete val="0"/>
        <c:axPos val="l"/>
        <c:numFmt formatCode="_ \$\ * #,##0.00_ ;_ \$\ * \-#,##0.00_ ;_ \$\ * &quot;-&quot;??_ ;_ @_ 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39992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320452403393024E-2"/>
          <c:y val="9.7015102129310957E-2"/>
          <c:w val="0.17813383600377003"/>
          <c:h val="0.746270016379315"/>
        </c:manualLayout>
      </c:layout>
      <c:barChart>
        <c:barDir val="col"/>
        <c:grouping val="percentStacked"/>
        <c:varyColors val="0"/>
        <c:ser>
          <c:idx val="0"/>
          <c:order val="0"/>
          <c:tx>
            <c:v>Sueldos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3366FF">
                      <a:gamma/>
                      <a:shade val="46275"/>
                      <a:invGamma/>
                    </a:srgbClr>
                  </a:gs>
                  <a:gs pos="50000">
                    <a:srgbClr val="3366FF"/>
                  </a:gs>
                  <a:gs pos="100000">
                    <a:srgbClr val="3366FF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659-4370-BF6A-42E338D9251C}"/>
              </c:ext>
            </c:extLst>
          </c:dPt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3'!$B$13</c:f>
              <c:numCache>
                <c:formatCode>_-* #,##0\ _€_-;\-* #,##0\ _€_-;_-* "-"??\ _€_-;_-@_-</c:formatCode>
                <c:ptCount val="1"/>
                <c:pt idx="0">
                  <c:v>9958297.7666666657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659-4370-BF6A-42E338D9251C}"/>
            </c:ext>
          </c:extLst>
        </c:ser>
        <c:ser>
          <c:idx val="1"/>
          <c:order val="1"/>
          <c:tx>
            <c:v>Carga Prestacional</c:v>
          </c:tx>
          <c:spPr>
            <a:gradFill rotWithShape="0">
              <a:gsLst>
                <a:gs pos="0">
                  <a:srgbClr val="FF0000"/>
                </a:gs>
                <a:gs pos="50000">
                  <a:srgbClr val="FF9900"/>
                </a:gs>
                <a:gs pos="100000">
                  <a:srgbClr val="FF0000"/>
                </a:gs>
              </a:gsLst>
              <a:lin ang="0" scaled="1"/>
            </a:gra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3'!$B$11</c:f>
              <c:numCache>
                <c:formatCode>_-* #,##0\ _€_-;\-* #,##0\ _€_-;_-* "-"??\ _€_-;_-@_-</c:formatCode>
                <c:ptCount val="1"/>
                <c:pt idx="0">
                  <c:v>6785195.4685788192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659-4370-BF6A-42E338D9251C}"/>
            </c:ext>
          </c:extLst>
        </c:ser>
        <c:ser>
          <c:idx val="2"/>
          <c:order val="2"/>
          <c:tx>
            <c:v>Honorarios</c:v>
          </c:tx>
          <c:spPr>
            <a:gradFill rotWithShape="0">
              <a:gsLst>
                <a:gs pos="0">
                  <a:srgbClr val="99CCFF">
                    <a:gamma/>
                    <a:shade val="46275"/>
                    <a:invGamma/>
                  </a:srgbClr>
                </a:gs>
                <a:gs pos="50000">
                  <a:srgbClr val="99CCFF"/>
                </a:gs>
                <a:gs pos="100000">
                  <a:srgbClr val="99CC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3'!$B$12</c:f>
              <c:numCache>
                <c:formatCode>_-* #,##0\ _€_-;\-* #,##0\ _€_-;_-* "-"??\ _€_-;_-@_-</c:formatCode>
                <c:ptCount val="1"/>
                <c:pt idx="0">
                  <c:v>311826.09399999998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659-4370-BF6A-42E338D9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5707232"/>
        <c:axId val="105707792"/>
      </c:barChart>
      <c:catAx>
        <c:axId val="105707232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05707792"/>
        <c:crosses val="autoZero"/>
        <c:auto val="1"/>
        <c:lblAlgn val="ctr"/>
        <c:lblOffset val="100"/>
        <c:tickMarkSkip val="1"/>
        <c:noMultiLvlLbl val="0"/>
      </c:catAx>
      <c:valAx>
        <c:axId val="10570779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57072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394910461828465"/>
          <c:y val="0.17537352607043522"/>
          <c:w val="0.12346842601319508"/>
          <c:h val="0.5559713244799624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689839572192515"/>
          <c:y val="0.22519125937660159"/>
          <c:w val="0.3235294117647059"/>
          <c:h val="0.4618329217723524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3366FF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AEE-4010-A07D-AC573E4A5C6C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AEE-4010-A07D-AC573E4A5C6C}"/>
              </c:ext>
            </c:extLst>
          </c:dPt>
          <c:dPt>
            <c:idx val="2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AEE-4010-A07D-AC573E4A5C6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'Base 3'!$A$18:$A$20</c:f>
              <c:strCache>
                <c:ptCount val="3"/>
                <c:pt idx="0">
                  <c:v>Honorarios Catedra</c:v>
                </c:pt>
                <c:pt idx="1">
                  <c:v>Convenios</c:v>
                </c:pt>
                <c:pt idx="2">
                  <c:v>Otros Honorarios</c:v>
                </c:pt>
              </c:strCache>
            </c:strRef>
          </c:cat>
          <c:val>
            <c:numRef>
              <c:f>'Base 3'!$B$18:$B$20</c:f>
              <c:numCache>
                <c:formatCode>#,##0</c:formatCode>
                <c:ptCount val="3"/>
                <c:pt idx="0">
                  <c:v>303826094</c:v>
                </c:pt>
                <c:pt idx="1">
                  <c:v>2429651402.9383998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AEE-4010-A07D-AC573E4A5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9251336898395721"/>
          <c:y val="0.76336038147903262"/>
          <c:w val="0.69786096256684493"/>
          <c:h val="0.1450385686522008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31195482302189"/>
          <c:y val="0.15370602427665664"/>
          <c:w val="0.69978858350951378"/>
          <c:h val="0.69927783655258069"/>
        </c:manualLayout>
      </c:layout>
      <c:barChart>
        <c:barDir val="col"/>
        <c:grouping val="clustered"/>
        <c:varyColors val="0"/>
        <c:ser>
          <c:idx val="0"/>
          <c:order val="0"/>
          <c:tx>
            <c:v>Ingresos Totales</c:v>
          </c:tx>
          <c:spPr>
            <a:gradFill rotWithShape="0">
              <a:gsLst>
                <a:gs pos="0">
                  <a:srgbClr val="00FF00"/>
                </a:gs>
                <a:gs pos="100000">
                  <a:srgbClr val="00FF00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3'!$B$5</c:f>
              <c:numCache>
                <c:formatCode>_-* #,##0\ _€_-;\-* #,##0\ _€_-;_-* "-"??\ _€_-;_-@_-</c:formatCode>
                <c:ptCount val="1"/>
                <c:pt idx="0">
                  <c:v>38338828.059999995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AE-41BE-8D11-3898B08EBEF9}"/>
            </c:ext>
          </c:extLst>
        </c:ser>
        <c:ser>
          <c:idx val="1"/>
          <c:order val="1"/>
          <c:tx>
            <c:v>Gastos Totales</c:v>
          </c:tx>
          <c:spPr>
            <a:gradFill rotWithShape="0">
              <a:gsLst>
                <a:gs pos="0">
                  <a:srgbClr val="FF0000"/>
                </a:gs>
                <a:gs pos="100000">
                  <a:srgbClr val="FF6600"/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3'!$B$6</c:f>
              <c:numCache>
                <c:formatCode>"$"\ #,##0</c:formatCode>
                <c:ptCount val="1"/>
                <c:pt idx="0">
                  <c:v>32894064.852995485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CAE-41BE-8D11-3898B08EBEF9}"/>
            </c:ext>
          </c:extLst>
        </c:ser>
        <c:ser>
          <c:idx val="2"/>
          <c:order val="2"/>
          <c:tx>
            <c:v>Gastos de Personal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3'!$B$7</c:f>
              <c:numCache>
                <c:formatCode>"$"\ #,##0</c:formatCode>
                <c:ptCount val="1"/>
                <c:pt idx="0">
                  <c:v>17055319.329245485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CAE-41BE-8D11-3898B08EB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-20"/>
        <c:axId val="105712832"/>
        <c:axId val="105713392"/>
      </c:barChart>
      <c:catAx>
        <c:axId val="105712832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05713392"/>
        <c:crosses val="autoZero"/>
        <c:auto val="1"/>
        <c:lblAlgn val="ctr"/>
        <c:lblOffset val="100"/>
        <c:tickMarkSkip val="1"/>
        <c:noMultiLvlLbl val="0"/>
      </c:catAx>
      <c:valAx>
        <c:axId val="105713392"/>
        <c:scaling>
          <c:orientation val="minMax"/>
          <c:min val="0"/>
        </c:scaling>
        <c:delete val="0"/>
        <c:axPos val="l"/>
        <c:numFmt formatCode="_ \$\ * #,##0_ ;_ \$\ * \-#,##0_ ;_ \$\ * &quot;-&quot;??_ ;_ @_ 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57128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8108406034793659"/>
          <c:y val="0.82400172148758266"/>
          <c:w val="0.77291545020522423"/>
          <c:h val="0.1745454545454545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080814949148504E-2"/>
          <c:y val="0.10650887573964497"/>
          <c:w val="0.94345793323557181"/>
          <c:h val="0.7899408284023669"/>
        </c:manualLayout>
      </c:layout>
      <c:barChart>
        <c:barDir val="col"/>
        <c:grouping val="clustered"/>
        <c:varyColors val="0"/>
        <c:ser>
          <c:idx val="0"/>
          <c:order val="0"/>
          <c:tx>
            <c:v>Evolución Histórica Periodo I</c:v>
          </c:tx>
          <c:spPr>
            <a:gradFill rotWithShape="0">
              <a:gsLst>
                <a:gs pos="0">
                  <a:srgbClr val="3366FF"/>
                </a:gs>
                <a:gs pos="100000">
                  <a:srgbClr val="3366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numRef>
              <c:f>ALUMNOS!$O$24:$S$24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ALUMNOS!$O$23:$S$23</c:f>
              <c:numCache>
                <c:formatCode>General</c:formatCode>
                <c:ptCount val="5"/>
                <c:pt idx="0">
                  <c:v>117</c:v>
                </c:pt>
                <c:pt idx="1">
                  <c:v>122</c:v>
                </c:pt>
                <c:pt idx="2">
                  <c:v>115</c:v>
                </c:pt>
                <c:pt idx="3">
                  <c:v>120</c:v>
                </c:pt>
                <c:pt idx="4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F5-4B0B-8130-71AB14411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240016"/>
        <c:axId val="244238336"/>
      </c:barChart>
      <c:catAx>
        <c:axId val="24424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44238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4238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44240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650452610577967E-2"/>
          <c:y val="0.29299454180726825"/>
          <c:w val="0.40534308460262025"/>
          <c:h val="0.34395011429548883"/>
        </c:manualLayout>
      </c:layout>
      <c:barChart>
        <c:barDir val="bar"/>
        <c:grouping val="clustered"/>
        <c:varyColors val="0"/>
        <c:ser>
          <c:idx val="0"/>
          <c:order val="0"/>
          <c:tx>
            <c:v>Gastos de Personal / Gastos Totales</c:v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3'!$B$8</c:f>
              <c:numCache>
                <c:formatCode>0%</c:formatCode>
                <c:ptCount val="1"/>
                <c:pt idx="0">
                  <c:v>0.51849229961289955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2E-45AF-9596-D5351B0E2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2454320"/>
        <c:axId val="672454880"/>
      </c:barChart>
      <c:catAx>
        <c:axId val="672454320"/>
        <c:scaling>
          <c:orientation val="minMax"/>
        </c:scaling>
        <c:delete val="0"/>
        <c:axPos val="l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672454880"/>
        <c:crosses val="autoZero"/>
        <c:auto val="1"/>
        <c:lblAlgn val="ctr"/>
        <c:lblOffset val="100"/>
        <c:tickMarkSkip val="1"/>
        <c:noMultiLvlLbl val="0"/>
      </c:catAx>
      <c:valAx>
        <c:axId val="672454880"/>
        <c:scaling>
          <c:orientation val="minMax"/>
          <c:max val="1"/>
          <c:min val="0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72454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13740458015267"/>
          <c:y val="0.12650639620904383"/>
          <c:w val="0.5782442748091603"/>
          <c:h val="0.77711071956984057"/>
        </c:manualLayout>
      </c:layout>
      <c:barChart>
        <c:barDir val="col"/>
        <c:grouping val="clustered"/>
        <c:varyColors val="0"/>
        <c:ser>
          <c:idx val="0"/>
          <c:order val="0"/>
          <c:tx>
            <c:v>Rendimiento+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6.2542198221543777E-2"/>
                  <c:y val="0.65851907210172389"/>
                </c:manualLayout>
              </c:layout>
              <c:numFmt formatCode="_ \$\ * #,##0_ ;_ \$\ * \-#,##0_ ;_ \$\ * &quot;-&quot;??_ ;_ @_ 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8FC7-49D8-8404-BF6A6C9EAE0D}"/>
                </c:ext>
                <c:ext xmlns:c15="http://schemas.microsoft.com/office/drawing/2012/chart" uri="{CE6537A1-D6FC-4f65-9D91-7224C49458BB}"/>
              </c:extLst>
            </c:dLbl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3'!$B$9</c:f>
              <c:numCache>
                <c:formatCode>#,##0</c:formatCode>
                <c:ptCount val="1"/>
                <c:pt idx="0">
                  <c:v>5444763.2070045117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C7-49D8-8404-BF6A6C9EAE0D}"/>
            </c:ext>
          </c:extLst>
        </c:ser>
        <c:ser>
          <c:idx val="1"/>
          <c:order val="1"/>
          <c:tx>
            <c:v>Rendimiento -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9.8279422687068296E-2"/>
                  <c:y val="2.70777856748658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8FC7-49D8-8404-BF6A6C9EAE0D}"/>
                </c:ext>
                <c:ext xmlns:c15="http://schemas.microsoft.com/office/drawing/2012/chart" uri="{CE6537A1-D6FC-4f65-9D91-7224C49458BB}"/>
              </c:extLst>
            </c:dLbl>
            <c:numFmt formatCode="_-* #,##0\ _€_-;\-* #,##0\ _€_-;_-* &quot;-&quot;??\ _€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3'!$B$10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FC7-49D8-8404-BF6A6C9EA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100"/>
        <c:axId val="672457680"/>
        <c:axId val="672458240"/>
      </c:barChart>
      <c:catAx>
        <c:axId val="672457680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672458240"/>
        <c:crosses val="autoZero"/>
        <c:auto val="1"/>
        <c:lblAlgn val="ctr"/>
        <c:lblOffset val="100"/>
        <c:tickMarkSkip val="1"/>
        <c:noMultiLvlLbl val="0"/>
      </c:catAx>
      <c:valAx>
        <c:axId val="672458240"/>
        <c:scaling>
          <c:orientation val="minMax"/>
        </c:scaling>
        <c:delete val="0"/>
        <c:axPos val="l"/>
        <c:numFmt formatCode="_ \$\ * #,##0.00_ ;_ \$\ * \-#,##0.00_ ;_ \$\ * &quot;-&quot;??_ ;_ @_ 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72457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520401230646864"/>
          <c:y val="0.23049725210983249"/>
          <c:w val="0.28959308009699353"/>
          <c:h val="0.4539022810778239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3366FF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52E-488B-9C58-4EC0C704B3C2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52E-488B-9C58-4EC0C704B3C2}"/>
              </c:ext>
            </c:extLst>
          </c:dPt>
          <c:dPt>
            <c:idx val="2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52E-488B-9C58-4EC0C704B3C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'Base 3'!$A$18:$A$20</c:f>
              <c:strCache>
                <c:ptCount val="3"/>
                <c:pt idx="0">
                  <c:v>Honorarios Catedra</c:v>
                </c:pt>
                <c:pt idx="1">
                  <c:v>Convenios</c:v>
                </c:pt>
                <c:pt idx="2">
                  <c:v>Otros Honorarios</c:v>
                </c:pt>
              </c:strCache>
            </c:strRef>
          </c:cat>
          <c:val>
            <c:numRef>
              <c:f>'Base 3'!$B$18:$B$20</c:f>
              <c:numCache>
                <c:formatCode>#,##0</c:formatCode>
                <c:ptCount val="3"/>
                <c:pt idx="0">
                  <c:v>303826094</c:v>
                </c:pt>
                <c:pt idx="1">
                  <c:v>2429651402.9383998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52E-488B-9C58-4EC0C704B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981924205175709"/>
          <c:y val="0.76950615215651241"/>
          <c:w val="0.59049845013717173"/>
          <c:h val="0.1347521453435341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382864958195898E-2"/>
          <c:y val="9.8039591144267552E-2"/>
          <c:w val="0.20405601935799292"/>
          <c:h val="0.84314048384070095"/>
        </c:manualLayout>
      </c:layout>
      <c:barChart>
        <c:barDir val="col"/>
        <c:grouping val="percentStacked"/>
        <c:varyColors val="0"/>
        <c:ser>
          <c:idx val="0"/>
          <c:order val="0"/>
          <c:tx>
            <c:v>Sueldos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3366FF">
                      <a:gamma/>
                      <a:shade val="46275"/>
                      <a:invGamma/>
                    </a:srgbClr>
                  </a:gs>
                  <a:gs pos="50000">
                    <a:srgbClr val="3366FF"/>
                  </a:gs>
                  <a:gs pos="100000">
                    <a:srgbClr val="3366FF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499-481C-98F7-B8F2135C957D}"/>
              </c:ext>
            </c:extLst>
          </c:dPt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3'!$B$13</c:f>
              <c:numCache>
                <c:formatCode>_-* #,##0\ _€_-;\-* #,##0\ _€_-;_-* "-"??\ _€_-;_-@_-</c:formatCode>
                <c:ptCount val="1"/>
                <c:pt idx="0">
                  <c:v>9958297.7666666657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499-481C-98F7-B8F2135C957D}"/>
            </c:ext>
          </c:extLst>
        </c:ser>
        <c:ser>
          <c:idx val="1"/>
          <c:order val="1"/>
          <c:tx>
            <c:v>Carga Prestacional</c:v>
          </c:tx>
          <c:spPr>
            <a:gradFill rotWithShape="0">
              <a:gsLst>
                <a:gs pos="0">
                  <a:srgbClr val="FF0000"/>
                </a:gs>
                <a:gs pos="50000">
                  <a:srgbClr val="FF9900"/>
                </a:gs>
                <a:gs pos="100000">
                  <a:srgbClr val="FF0000"/>
                </a:gs>
              </a:gsLst>
              <a:lin ang="0" scaled="1"/>
            </a:gra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3'!$B$11</c:f>
              <c:numCache>
                <c:formatCode>_-* #,##0\ _€_-;\-* #,##0\ _€_-;_-* "-"??\ _€_-;_-@_-</c:formatCode>
                <c:ptCount val="1"/>
                <c:pt idx="0">
                  <c:v>6785195.4685788192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499-481C-98F7-B8F2135C957D}"/>
            </c:ext>
          </c:extLst>
        </c:ser>
        <c:ser>
          <c:idx val="2"/>
          <c:order val="2"/>
          <c:tx>
            <c:v>Honorarios</c:v>
          </c:tx>
          <c:spPr>
            <a:gradFill rotWithShape="0">
              <a:gsLst>
                <a:gs pos="0">
                  <a:srgbClr val="99CCFF">
                    <a:gamma/>
                    <a:shade val="46275"/>
                    <a:invGamma/>
                  </a:srgbClr>
                </a:gs>
                <a:gs pos="50000">
                  <a:srgbClr val="99CCFF"/>
                </a:gs>
                <a:gs pos="100000">
                  <a:srgbClr val="99CC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3'!$B$12</c:f>
              <c:numCache>
                <c:formatCode>_-* #,##0\ _€_-;\-* #,##0\ _€_-;_-* "-"??\ _€_-;_-@_-</c:formatCode>
                <c:ptCount val="1"/>
                <c:pt idx="0">
                  <c:v>311826.09399999998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499-481C-98F7-B8F2135C9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41975744"/>
        <c:axId val="241976304"/>
      </c:barChart>
      <c:catAx>
        <c:axId val="24197574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41976304"/>
        <c:crosses val="autoZero"/>
        <c:auto val="1"/>
        <c:lblAlgn val="ctr"/>
        <c:lblOffset val="100"/>
        <c:tickMarkSkip val="1"/>
        <c:noMultiLvlLbl val="0"/>
      </c:catAx>
      <c:valAx>
        <c:axId val="24197630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419757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841598222275446"/>
          <c:y val="0.21960866656373837"/>
          <c:w val="0.22306743976394583"/>
          <c:h val="0.6708296768247480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5535197513155"/>
          <c:y val="0.28662509524624069"/>
          <c:w val="0.77655955442835123"/>
          <c:h val="0.37579734710062668"/>
        </c:manualLayout>
      </c:layout>
      <c:barChart>
        <c:barDir val="bar"/>
        <c:grouping val="clustered"/>
        <c:varyColors val="0"/>
        <c:ser>
          <c:idx val="0"/>
          <c:order val="0"/>
          <c:tx>
            <c:v>Ingresos por Matricula/ Ingresos Totales</c:v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3'!$B$16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A8-496C-832D-4F03C4433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3990240"/>
        <c:axId val="103990800"/>
      </c:barChart>
      <c:catAx>
        <c:axId val="103990240"/>
        <c:scaling>
          <c:orientation val="minMax"/>
        </c:scaling>
        <c:delete val="0"/>
        <c:axPos val="l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03990800"/>
        <c:crosses val="autoZero"/>
        <c:auto val="1"/>
        <c:lblAlgn val="ctr"/>
        <c:lblOffset val="100"/>
        <c:tickMarkSkip val="1"/>
        <c:noMultiLvlLbl val="0"/>
      </c:catAx>
      <c:valAx>
        <c:axId val="103990800"/>
        <c:scaling>
          <c:orientation val="minMax"/>
          <c:max val="1"/>
          <c:min val="0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03990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46862439933415"/>
          <c:y val="0.10606099839088538"/>
          <c:w val="0.6309757324925801"/>
          <c:h val="0.71969963193815079"/>
        </c:manualLayout>
      </c:layout>
      <c:barChart>
        <c:barDir val="col"/>
        <c:grouping val="clustered"/>
        <c:varyColors val="0"/>
        <c:ser>
          <c:idx val="0"/>
          <c:order val="0"/>
          <c:tx>
            <c:v>Ingresos Totales</c:v>
          </c:tx>
          <c:spPr>
            <a:gradFill rotWithShape="0">
              <a:gsLst>
                <a:gs pos="0">
                  <a:srgbClr val="00FF00"/>
                </a:gs>
                <a:gs pos="100000">
                  <a:srgbClr val="00FF00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3'!$B$5</c:f>
              <c:numCache>
                <c:formatCode>_-* #,##0\ _€_-;\-* #,##0\ _€_-;_-* "-"??\ _€_-;_-@_-</c:formatCode>
                <c:ptCount val="1"/>
                <c:pt idx="0">
                  <c:v>38338828.059999995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71-4CAD-917E-430FA11E08F2}"/>
            </c:ext>
          </c:extLst>
        </c:ser>
        <c:ser>
          <c:idx val="1"/>
          <c:order val="1"/>
          <c:tx>
            <c:v>Gastos Totales</c:v>
          </c:tx>
          <c:spPr>
            <a:gradFill rotWithShape="0">
              <a:gsLst>
                <a:gs pos="0">
                  <a:srgbClr val="FF0000"/>
                </a:gs>
                <a:gs pos="100000">
                  <a:srgbClr val="FF6600"/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3'!$B$6</c:f>
              <c:numCache>
                <c:formatCode>"$"\ #,##0</c:formatCode>
                <c:ptCount val="1"/>
                <c:pt idx="0">
                  <c:v>32894064.852995485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471-4CAD-917E-430FA11E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-20"/>
        <c:axId val="104653120"/>
        <c:axId val="104653680"/>
      </c:barChart>
      <c:catAx>
        <c:axId val="104653120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04653680"/>
        <c:crosses val="autoZero"/>
        <c:auto val="1"/>
        <c:lblAlgn val="ctr"/>
        <c:lblOffset val="100"/>
        <c:tickMarkSkip val="1"/>
        <c:noMultiLvlLbl val="0"/>
      </c:catAx>
      <c:valAx>
        <c:axId val="104653680"/>
        <c:scaling>
          <c:orientation val="minMax"/>
          <c:min val="0"/>
        </c:scaling>
        <c:delete val="0"/>
        <c:axPos val="l"/>
        <c:numFmt formatCode="_ \$\ * #,##0_ ;_ \$\ * \-#,##0_ ;_ \$\ * &quot;-&quot;??_ ;_ @_ 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1046531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5678796364603564"/>
          <c:y val="0.82954863596595885"/>
          <c:w val="0.59655891961879526"/>
          <c:h val="0.15909130676847216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69483400606113"/>
          <c:y val="0.12820593077630946"/>
          <c:w val="0.63772548320178468"/>
          <c:h val="0.7756458811966721"/>
        </c:manualLayout>
      </c:layout>
      <c:barChart>
        <c:barDir val="col"/>
        <c:grouping val="clustered"/>
        <c:varyColors val="0"/>
        <c:ser>
          <c:idx val="0"/>
          <c:order val="0"/>
          <c:tx>
            <c:v>Rendimiento+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3.7078618967343165E-2"/>
                  <c:y val="0.65097043970794244"/>
                </c:manualLayout>
              </c:layout>
              <c:numFmt formatCode="_ * #,##0_ ;_ * \-#,##0_ ;_ * &quot;-&quot;??_ ;_ @_ 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9550-4BC6-A16E-39D26AE19AA3}"/>
                </c:ext>
                <c:ext xmlns:c15="http://schemas.microsoft.com/office/drawing/2012/chart" uri="{CE6537A1-D6FC-4f65-9D91-7224C49458BB}"/>
              </c:extLst>
            </c:dLbl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3'!$B$9</c:f>
              <c:numCache>
                <c:formatCode>#,##0</c:formatCode>
                <c:ptCount val="1"/>
                <c:pt idx="0">
                  <c:v>5444763.2070045117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50-4BC6-A16E-39D26AE19AA3}"/>
            </c:ext>
          </c:extLst>
        </c:ser>
        <c:ser>
          <c:idx val="1"/>
          <c:order val="1"/>
          <c:tx>
            <c:v>Rendimiento -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8.9493788628021834E-2"/>
                  <c:y val="2.08973643927672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9550-4BC6-A16E-39D26AE19AA3}"/>
                </c:ext>
                <c:ext xmlns:c15="http://schemas.microsoft.com/office/drawing/2012/chart" uri="{CE6537A1-D6FC-4f65-9D91-7224C49458BB}"/>
              </c:extLst>
            </c:dLbl>
            <c:numFmt formatCode="_-* #,##0\ _€_-;\-* #,##0\ _€_-;_-* &quot;-&quot;??\ _€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3'!$B$10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550-4BC6-A16E-39D26AE19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235914128"/>
        <c:axId val="235914688"/>
      </c:barChart>
      <c:catAx>
        <c:axId val="235914128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35914688"/>
        <c:crosses val="autoZero"/>
        <c:auto val="1"/>
        <c:lblAlgn val="ctr"/>
        <c:lblOffset val="100"/>
        <c:tickMarkSkip val="1"/>
        <c:noMultiLvlLbl val="0"/>
      </c:catAx>
      <c:valAx>
        <c:axId val="235914688"/>
        <c:scaling>
          <c:orientation val="minMax"/>
        </c:scaling>
        <c:delete val="0"/>
        <c:axPos val="l"/>
        <c:numFmt formatCode="_-* #,##0\ _€_-;\-* #,##0\ _€_-;_-* &quot;-&quot;??\ _€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35914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304375747681458"/>
          <c:y val="9.4890680048685644E-2"/>
          <c:w val="0.53913100705991746"/>
          <c:h val="0.71897938344581047"/>
        </c:manualLayout>
      </c:layout>
      <c:barChart>
        <c:barDir val="col"/>
        <c:grouping val="clustered"/>
        <c:varyColors val="0"/>
        <c:ser>
          <c:idx val="0"/>
          <c:order val="0"/>
          <c:tx>
            <c:v>Ingreso Pronóstico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MAT.!$E$37</c:f>
              <c:numCache>
                <c:formatCode>#,##0</c:formatCode>
                <c:ptCount val="1"/>
                <c:pt idx="0">
                  <c:v>19126390470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C7-4D59-A029-CA9B4062A117}"/>
            </c:ext>
          </c:extLst>
        </c:ser>
        <c:ser>
          <c:idx val="1"/>
          <c:order val="1"/>
          <c:tx>
            <c:v>Ingreso Propuesta Facultad</c:v>
          </c:tx>
          <c:spPr>
            <a:gradFill rotWithShape="0">
              <a:gsLst>
                <a:gs pos="0">
                  <a:srgbClr val="3366FF"/>
                </a:gs>
                <a:gs pos="100000">
                  <a:srgbClr val="3366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MAT.!$I$37</c:f>
              <c:numCache>
                <c:formatCode>#,##0</c:formatCode>
                <c:ptCount val="1"/>
                <c:pt idx="0">
                  <c:v>18790811110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CC7-4D59-A029-CA9B4062A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10"/>
        <c:axId val="235917488"/>
        <c:axId val="295429920"/>
      </c:barChart>
      <c:catAx>
        <c:axId val="235917488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95429920"/>
        <c:crosses val="autoZero"/>
        <c:auto val="1"/>
        <c:lblAlgn val="ctr"/>
        <c:lblOffset val="100"/>
        <c:tickMarkSkip val="1"/>
        <c:noMultiLvlLbl val="0"/>
      </c:catAx>
      <c:valAx>
        <c:axId val="295429920"/>
        <c:scaling>
          <c:orientation val="minMax"/>
          <c:min val="0"/>
        </c:scaling>
        <c:delete val="0"/>
        <c:axPos val="l"/>
        <c:numFmt formatCode="_ \$\ * #,##0_ ;_ \$\ * \-#,##0_ ;_ \$\ * &quot;-&quot;??_ ;_ @_ 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3591748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4782645616768873E-2"/>
                <c:y val="9.4890680048685644E-2"/>
              </c:manualLayout>
            </c:layout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362341663813763"/>
          <c:y val="0.84671686112228661"/>
          <c:w val="0.68478306516033327"/>
          <c:h val="0.131387244477651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139566837262486"/>
          <c:y val="0.10000036169112302"/>
          <c:w val="0.52093082409477665"/>
          <c:h val="0.71111368313687473"/>
        </c:manualLayout>
      </c:layout>
      <c:barChart>
        <c:barDir val="col"/>
        <c:grouping val="clustered"/>
        <c:varyColors val="0"/>
        <c:ser>
          <c:idx val="0"/>
          <c:order val="0"/>
          <c:tx>
            <c:v>Ingreso Pronóstico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MAT.!$E$53</c:f>
              <c:numCache>
                <c:formatCode>#,##0</c:formatCode>
                <c:ptCount val="1"/>
                <c:pt idx="0">
                  <c:v>19445385300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2A-4955-A29E-F6BDE0AAA9E5}"/>
            </c:ext>
          </c:extLst>
        </c:ser>
        <c:ser>
          <c:idx val="1"/>
          <c:order val="1"/>
          <c:tx>
            <c:v>Ingreso Propuesta Facultad</c:v>
          </c:tx>
          <c:spPr>
            <a:gradFill rotWithShape="0">
              <a:gsLst>
                <a:gs pos="0">
                  <a:srgbClr val="3366FF"/>
                </a:gs>
                <a:gs pos="100000">
                  <a:srgbClr val="3366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MAT.!$I$53</c:f>
              <c:numCache>
                <c:formatCode>#,##0</c:formatCode>
                <c:ptCount val="1"/>
                <c:pt idx="0">
                  <c:v>19445385300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82A-4955-A29E-F6BDE0AAA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10"/>
        <c:axId val="295432720"/>
        <c:axId val="295433280"/>
      </c:barChart>
      <c:catAx>
        <c:axId val="295432720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95433280"/>
        <c:crosses val="autoZero"/>
        <c:auto val="1"/>
        <c:lblAlgn val="ctr"/>
        <c:lblOffset val="100"/>
        <c:tickMarkSkip val="1"/>
        <c:noMultiLvlLbl val="0"/>
      </c:catAx>
      <c:valAx>
        <c:axId val="295433280"/>
        <c:scaling>
          <c:orientation val="minMax"/>
          <c:min val="0"/>
        </c:scaling>
        <c:delete val="0"/>
        <c:axPos val="l"/>
        <c:numFmt formatCode="_ \$\ * #,##0_ ;_ \$\ * \-#,##0_ ;_ \$\ * &quot;-&quot;??_ ;_ @_ 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543272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7209344578198328E-2"/>
                <c:y val="0.10000036169112302"/>
              </c:manualLayout>
            </c:layout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7371661039712734E-2"/>
          <c:y val="0.82963274035190049"/>
          <c:w val="0.74169865685146308"/>
          <c:h val="0.133333722173617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29623840003621"/>
          <c:y val="7.4792344929915988E-2"/>
          <c:w val="0.48484932885146648"/>
          <c:h val="0.797785012585770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C95-4FA9-A2CB-1901AFF5D5AD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3366FF"/>
                  </a:gs>
                  <a:gs pos="100000">
                    <a:srgbClr val="3366FF">
                      <a:gamma/>
                      <a:shade val="46275"/>
                      <a:invGamma/>
                    </a:srgbClr>
                  </a:gs>
                </a:gsLst>
                <a:lin ang="5400000" scaled="1"/>
              </a:gra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C95-4FA9-A2CB-1901AFF5D5AD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C95-4FA9-A2CB-1901AFF5D5AD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7C95-4FA9-A2CB-1901AFF5D5AD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MAT.!$O$23:$P$23</c:f>
              <c:strCache>
                <c:ptCount val="2"/>
                <c:pt idx="0">
                  <c:v>Pronóstico</c:v>
                </c:pt>
                <c:pt idx="1">
                  <c:v>Facultad</c:v>
                </c:pt>
              </c:strCache>
            </c:strRef>
          </c:cat>
          <c:val>
            <c:numRef>
              <c:f>MAT.!$O$37:$P$37</c:f>
              <c:numCache>
                <c:formatCode>#,##0</c:formatCode>
                <c:ptCount val="2"/>
                <c:pt idx="0">
                  <c:v>38571775770</c:v>
                </c:pt>
                <c:pt idx="1">
                  <c:v>38236196410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C95-4FA9-A2CB-1901AFF5D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41132608"/>
        <c:axId val="241133168"/>
      </c:barChart>
      <c:catAx>
        <c:axId val="24113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24113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11331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241132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77916513860425"/>
          <c:y val="0.13265887607569837"/>
          <c:w val="0.74489870146952875"/>
          <c:h val="0.71641921572414247"/>
        </c:manualLayout>
      </c:layout>
      <c:barChart>
        <c:barDir val="col"/>
        <c:grouping val="clustered"/>
        <c:varyColors val="0"/>
        <c:ser>
          <c:idx val="0"/>
          <c:order val="0"/>
          <c:tx>
            <c:v>Ingresos Totales</c:v>
          </c:tx>
          <c:spPr>
            <a:gradFill rotWithShape="0">
              <a:gsLst>
                <a:gs pos="0">
                  <a:srgbClr val="00FF00"/>
                </a:gs>
                <a:gs pos="100000">
                  <a:srgbClr val="00FF00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3'!$B$5</c:f>
              <c:numCache>
                <c:formatCode>_-* #,##0\ _€_-;\-* #,##0\ _€_-;_-* "-"??\ _€_-;_-@_-</c:formatCode>
                <c:ptCount val="1"/>
                <c:pt idx="0">
                  <c:v>38338828.059999995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FE-41E0-9D07-5F5BAB07C31A}"/>
            </c:ext>
          </c:extLst>
        </c:ser>
        <c:ser>
          <c:idx val="1"/>
          <c:order val="1"/>
          <c:tx>
            <c:v>Gastos Totales</c:v>
          </c:tx>
          <c:spPr>
            <a:gradFill rotWithShape="0">
              <a:gsLst>
                <a:gs pos="0">
                  <a:srgbClr val="FF0000"/>
                </a:gs>
                <a:gs pos="100000">
                  <a:srgbClr val="FF6600"/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3'!$B$6</c:f>
              <c:numCache>
                <c:formatCode>"$"\ #,##0</c:formatCode>
                <c:ptCount val="1"/>
                <c:pt idx="0">
                  <c:v>32894064.852995485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FE-41E0-9D07-5F5BAB07C31A}"/>
            </c:ext>
          </c:extLst>
        </c:ser>
        <c:ser>
          <c:idx val="2"/>
          <c:order val="2"/>
          <c:tx>
            <c:v>Gastos de Personal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3'!$B$7</c:f>
              <c:numCache>
                <c:formatCode>"$"\ #,##0</c:formatCode>
                <c:ptCount val="1"/>
                <c:pt idx="0">
                  <c:v>17055319.329245485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3FE-41E0-9D07-5F5BAB07C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-20"/>
        <c:axId val="297044528"/>
        <c:axId val="297045088"/>
      </c:barChart>
      <c:catAx>
        <c:axId val="297044528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97045088"/>
        <c:crosses val="autoZero"/>
        <c:auto val="1"/>
        <c:lblAlgn val="ctr"/>
        <c:lblOffset val="100"/>
        <c:tickMarkSkip val="1"/>
        <c:noMultiLvlLbl val="0"/>
      </c:catAx>
      <c:valAx>
        <c:axId val="297045088"/>
        <c:scaling>
          <c:orientation val="minMax"/>
          <c:min val="0"/>
        </c:scaling>
        <c:delete val="0"/>
        <c:axPos val="l"/>
        <c:numFmt formatCode="_ \$\ * #,##0_ ;_ \$\ * \-#,##0_ ;_ \$\ * &quot;-&quot;??_ ;_ @_ 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70445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2219959266802444E-2"/>
          <c:y val="0.83209111920711398"/>
          <c:w val="0.97963340122199594"/>
          <c:h val="0.1567168096525247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5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8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hyperlink" Target="#MENU!A1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hyperlink" Target="#MENU!A1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hyperlink" Target="#MENU!A1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hyperlink" Target="#MENU!A1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2155458</xdr:colOff>
      <xdr:row>0</xdr:row>
      <xdr:rowOff>0</xdr:rowOff>
    </xdr:from>
    <xdr:to>
      <xdr:col>2</xdr:col>
      <xdr:colOff>7319803</xdr:colOff>
      <xdr:row>4</xdr:row>
      <xdr:rowOff>133422</xdr:rowOff>
    </xdr:to>
    <xdr:sp macro="" textlink="">
      <xdr:nvSpPr>
        <xdr:cNvPr id="4098" name="Text Box 2"/>
        <xdr:cNvSpPr txBox="1">
          <a:spLocks noChangeArrowheads="1"/>
        </xdr:cNvSpPr>
      </xdr:nvSpPr>
      <xdr:spPr bwMode="auto">
        <a:xfrm>
          <a:off x="4250958" y="0"/>
          <a:ext cx="5164345" cy="775106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1">
            <a:defRPr sz="1000"/>
          </a:pPr>
          <a:r>
            <a:rPr lang="es-ES" sz="1500" b="1" i="0" strike="noStrike">
              <a:solidFill>
                <a:srgbClr val="FFFFFF"/>
              </a:solidFill>
              <a:latin typeface="Tahoma"/>
              <a:cs typeface="Tahoma"/>
            </a:rPr>
            <a:t>INSTRUCTIVO</a:t>
          </a:r>
          <a:r>
            <a:rPr lang="es-ES" sz="1500" b="1" i="0" strike="noStrike" baseline="0">
              <a:solidFill>
                <a:srgbClr val="FFFFFF"/>
              </a:solidFill>
              <a:latin typeface="Tahoma"/>
              <a:cs typeface="Tahoma"/>
            </a:rPr>
            <a:t>                                             </a:t>
          </a:r>
          <a:r>
            <a:rPr lang="es-ES" sz="1500" b="1" i="0" strike="noStrike">
              <a:solidFill>
                <a:srgbClr val="FFFFFF"/>
              </a:solidFill>
              <a:latin typeface="Tahoma"/>
              <a:cs typeface="Tahoma"/>
            </a:rPr>
            <a:t>ELABORACION PRESUPUESTO  2018</a:t>
          </a:r>
        </a:p>
        <a:p>
          <a:pPr algn="ctr" rtl="1">
            <a:defRPr sz="1000"/>
          </a:pPr>
          <a:endParaRPr lang="es-ES" sz="1500" b="1" i="0" strike="noStrike">
            <a:solidFill>
              <a:srgbClr val="FFFFFF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s-ES" sz="1500" b="1" i="0" strike="noStrike">
            <a:solidFill>
              <a:srgbClr val="FFFFFF"/>
            </a:solidFill>
            <a:latin typeface="Tahoma"/>
            <a:cs typeface="Tahoma"/>
          </a:endParaRPr>
        </a:p>
        <a:p>
          <a:pPr algn="ctr" rtl="1">
            <a:defRPr sz="1000"/>
          </a:pPr>
          <a:r>
            <a:rPr lang="es-ES" sz="1500" b="1" i="0" strike="noStrike">
              <a:solidFill>
                <a:srgbClr val="FFFFFF"/>
              </a:solidFill>
              <a:latin typeface="Tahoma"/>
              <a:cs typeface="Tahoma"/>
            </a:rPr>
            <a:t>    </a:t>
          </a:r>
        </a:p>
        <a:p>
          <a:pPr algn="ctr" rtl="1">
            <a:defRPr sz="1000"/>
          </a:pPr>
          <a:r>
            <a:rPr lang="es-ES" sz="1500" b="1" i="0" strike="noStrike">
              <a:solidFill>
                <a:srgbClr val="FFFFFF"/>
              </a:solidFill>
              <a:latin typeface="Tahoma"/>
              <a:cs typeface="Tahoma"/>
            </a:rPr>
            <a:t> </a:t>
          </a:r>
        </a:p>
        <a:p>
          <a:pPr algn="ctr" rtl="1">
            <a:defRPr sz="1000"/>
          </a:pPr>
          <a:endParaRPr lang="es-ES" sz="1500" b="1" i="0" strike="noStrike">
            <a:solidFill>
              <a:srgbClr val="FFFFFF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s-ES" sz="1500" b="1" i="0" strike="noStrike">
            <a:solidFill>
              <a:srgbClr val="FFFFFF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s-ES" sz="1500" b="1" i="0" strike="noStrike">
            <a:solidFill>
              <a:srgbClr val="FFFFFF"/>
            </a:solidFill>
            <a:latin typeface="Tahoma"/>
            <a:cs typeface="Tahoma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0</xdr:rowOff>
        </xdr:from>
        <xdr:to>
          <xdr:col>2</xdr:col>
          <xdr:colOff>1495425</xdr:colOff>
          <xdr:row>5</xdr:row>
          <xdr:rowOff>9525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BBE0E3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</xdr:row>
      <xdr:rowOff>0</xdr:rowOff>
    </xdr:from>
    <xdr:to>
      <xdr:col>16</xdr:col>
      <xdr:colOff>457200</xdr:colOff>
      <xdr:row>10</xdr:row>
      <xdr:rowOff>130968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>
          <a:off x="13592175" y="1962150"/>
          <a:ext cx="1219200" cy="635793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161925</xdr:colOff>
      <xdr:row>8</xdr:row>
      <xdr:rowOff>0</xdr:rowOff>
    </xdr:from>
    <xdr:to>
      <xdr:col>16</xdr:col>
      <xdr:colOff>342900</xdr:colOff>
      <xdr:row>10</xdr:row>
      <xdr:rowOff>11906</xdr:rowOff>
    </xdr:to>
    <xdr:sp macro="" textlink="">
      <xdr:nvSpPr>
        <xdr:cNvPr id="3" name="AutoShape 30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3754100" y="2066925"/>
          <a:ext cx="942975" cy="411956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</xdr:row>
      <xdr:rowOff>0</xdr:rowOff>
    </xdr:from>
    <xdr:to>
      <xdr:col>16</xdr:col>
      <xdr:colOff>457200</xdr:colOff>
      <xdr:row>10</xdr:row>
      <xdr:rowOff>130968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>
          <a:off x="13487400" y="1600200"/>
          <a:ext cx="1219200" cy="635793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133350</xdr:colOff>
      <xdr:row>8</xdr:row>
      <xdr:rowOff>0</xdr:rowOff>
    </xdr:from>
    <xdr:to>
      <xdr:col>16</xdr:col>
      <xdr:colOff>314325</xdr:colOff>
      <xdr:row>10</xdr:row>
      <xdr:rowOff>30956</xdr:rowOff>
    </xdr:to>
    <xdr:sp macro="" textlink="">
      <xdr:nvSpPr>
        <xdr:cNvPr id="3" name="AutoShape 30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3620750" y="1724025"/>
          <a:ext cx="942975" cy="411956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4</xdr:row>
      <xdr:rowOff>28575</xdr:rowOff>
    </xdr:from>
    <xdr:to>
      <xdr:col>16</xdr:col>
      <xdr:colOff>0</xdr:colOff>
      <xdr:row>7</xdr:row>
      <xdr:rowOff>159543</xdr:rowOff>
    </xdr:to>
    <xdr:sp macro="" textlink="">
      <xdr:nvSpPr>
        <xdr:cNvPr id="3" name="AutoShape 18"/>
        <xdr:cNvSpPr>
          <a:spLocks noChangeArrowheads="1"/>
        </xdr:cNvSpPr>
      </xdr:nvSpPr>
      <xdr:spPr bwMode="auto">
        <a:xfrm>
          <a:off x="13096875" y="962025"/>
          <a:ext cx="1219200" cy="635793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409575</xdr:colOff>
      <xdr:row>4</xdr:row>
      <xdr:rowOff>142875</xdr:rowOff>
    </xdr:from>
    <xdr:to>
      <xdr:col>15</xdr:col>
      <xdr:colOff>590550</xdr:colOff>
      <xdr:row>7</xdr:row>
      <xdr:rowOff>50006</xdr:rowOff>
    </xdr:to>
    <xdr:sp macro="" textlink="">
      <xdr:nvSpPr>
        <xdr:cNvPr id="4" name="AutoShape 30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3201650" y="1076325"/>
          <a:ext cx="942975" cy="411956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6</xdr:row>
      <xdr:rowOff>304800</xdr:rowOff>
    </xdr:from>
    <xdr:to>
      <xdr:col>15</xdr:col>
      <xdr:colOff>752475</xdr:colOff>
      <xdr:row>8</xdr:row>
      <xdr:rowOff>102393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>
          <a:off x="13992225" y="1562100"/>
          <a:ext cx="1219200" cy="635793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447675</xdr:colOff>
      <xdr:row>7</xdr:row>
      <xdr:rowOff>9525</xdr:rowOff>
    </xdr:from>
    <xdr:to>
      <xdr:col>15</xdr:col>
      <xdr:colOff>628650</xdr:colOff>
      <xdr:row>8</xdr:row>
      <xdr:rowOff>2381</xdr:rowOff>
    </xdr:to>
    <xdr:sp macro="" textlink="">
      <xdr:nvSpPr>
        <xdr:cNvPr id="3" name="AutoShape 30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4144625" y="1685925"/>
          <a:ext cx="942975" cy="411956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7</xdr:row>
      <xdr:rowOff>28575</xdr:rowOff>
    </xdr:from>
    <xdr:to>
      <xdr:col>16</xdr:col>
      <xdr:colOff>0</xdr:colOff>
      <xdr:row>9</xdr:row>
      <xdr:rowOff>26193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>
          <a:off x="12944475" y="1876425"/>
          <a:ext cx="1219200" cy="635793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428625</xdr:colOff>
      <xdr:row>7</xdr:row>
      <xdr:rowOff>142875</xdr:rowOff>
    </xdr:from>
    <xdr:to>
      <xdr:col>15</xdr:col>
      <xdr:colOff>609600</xdr:colOff>
      <xdr:row>8</xdr:row>
      <xdr:rowOff>173831</xdr:rowOff>
    </xdr:to>
    <xdr:sp macro="" textlink="">
      <xdr:nvSpPr>
        <xdr:cNvPr id="3" name="AutoShape 30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3068300" y="1990725"/>
          <a:ext cx="942975" cy="411956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7</xdr:row>
      <xdr:rowOff>28575</xdr:rowOff>
    </xdr:from>
    <xdr:to>
      <xdr:col>16</xdr:col>
      <xdr:colOff>0</xdr:colOff>
      <xdr:row>9</xdr:row>
      <xdr:rowOff>26193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>
          <a:off x="12944475" y="1876425"/>
          <a:ext cx="1219200" cy="635793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428625</xdr:colOff>
      <xdr:row>7</xdr:row>
      <xdr:rowOff>142875</xdr:rowOff>
    </xdr:from>
    <xdr:to>
      <xdr:col>15</xdr:col>
      <xdr:colOff>609600</xdr:colOff>
      <xdr:row>8</xdr:row>
      <xdr:rowOff>173831</xdr:rowOff>
    </xdr:to>
    <xdr:sp macro="" textlink="">
      <xdr:nvSpPr>
        <xdr:cNvPr id="3" name="AutoShape 30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3068300" y="1990725"/>
          <a:ext cx="942975" cy="411956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137583</xdr:colOff>
      <xdr:row>6</xdr:row>
      <xdr:rowOff>359833</xdr:rowOff>
    </xdr:from>
    <xdr:to>
      <xdr:col>32</xdr:col>
      <xdr:colOff>594783</xdr:colOff>
      <xdr:row>8</xdr:row>
      <xdr:rowOff>223043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>
          <a:off x="23590250" y="1598083"/>
          <a:ext cx="1219200" cy="635793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31</xdr:col>
      <xdr:colOff>243416</xdr:colOff>
      <xdr:row>7</xdr:row>
      <xdr:rowOff>52916</xdr:rowOff>
    </xdr:from>
    <xdr:to>
      <xdr:col>32</xdr:col>
      <xdr:colOff>424391</xdr:colOff>
      <xdr:row>8</xdr:row>
      <xdr:rowOff>83872</xdr:rowOff>
    </xdr:to>
    <xdr:sp macro="" textlink="">
      <xdr:nvSpPr>
        <xdr:cNvPr id="3" name="AutoShape 30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23696083" y="1682749"/>
          <a:ext cx="942975" cy="411956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0</xdr:row>
      <xdr:rowOff>66675</xdr:rowOff>
    </xdr:from>
    <xdr:to>
      <xdr:col>16</xdr:col>
      <xdr:colOff>600075</xdr:colOff>
      <xdr:row>3</xdr:row>
      <xdr:rowOff>83343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>
          <a:off x="14973300" y="66675"/>
          <a:ext cx="1219200" cy="635793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257175</xdr:colOff>
      <xdr:row>1</xdr:row>
      <xdr:rowOff>38100</xdr:rowOff>
    </xdr:from>
    <xdr:to>
      <xdr:col>16</xdr:col>
      <xdr:colOff>485775</xdr:colOff>
      <xdr:row>2</xdr:row>
      <xdr:rowOff>221456</xdr:rowOff>
    </xdr:to>
    <xdr:sp macro="" textlink="">
      <xdr:nvSpPr>
        <xdr:cNvPr id="3" name="AutoShape 30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5135225" y="200025"/>
          <a:ext cx="942975" cy="411956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0</xdr:row>
      <xdr:rowOff>123825</xdr:rowOff>
    </xdr:from>
    <xdr:to>
      <xdr:col>15</xdr:col>
      <xdr:colOff>581025</xdr:colOff>
      <xdr:row>3</xdr:row>
      <xdr:rowOff>140493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>
          <a:off x="13411200" y="123825"/>
          <a:ext cx="1219200" cy="635793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238125</xdr:colOff>
      <xdr:row>1</xdr:row>
      <xdr:rowOff>66675</xdr:rowOff>
    </xdr:from>
    <xdr:to>
      <xdr:col>15</xdr:col>
      <xdr:colOff>466725</xdr:colOff>
      <xdr:row>3</xdr:row>
      <xdr:rowOff>21431</xdr:rowOff>
    </xdr:to>
    <xdr:sp macro="" textlink="">
      <xdr:nvSpPr>
        <xdr:cNvPr id="3" name="AutoShape 30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3573125" y="228600"/>
          <a:ext cx="942975" cy="411956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76200</xdr:rowOff>
    </xdr:from>
    <xdr:to>
      <xdr:col>14</xdr:col>
      <xdr:colOff>514350</xdr:colOff>
      <xdr:row>3</xdr:row>
      <xdr:rowOff>92868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>
          <a:off x="13154025" y="76200"/>
          <a:ext cx="1219200" cy="635793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161925</xdr:colOff>
      <xdr:row>1</xdr:row>
      <xdr:rowOff>19050</xdr:rowOff>
    </xdr:from>
    <xdr:to>
      <xdr:col>14</xdr:col>
      <xdr:colOff>390525</xdr:colOff>
      <xdr:row>2</xdr:row>
      <xdr:rowOff>202406</xdr:rowOff>
    </xdr:to>
    <xdr:sp macro="" textlink="">
      <xdr:nvSpPr>
        <xdr:cNvPr id="3" name="AutoShape 30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3306425" y="180975"/>
          <a:ext cx="942975" cy="411956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26919</xdr:colOff>
      <xdr:row>0</xdr:row>
      <xdr:rowOff>0</xdr:rowOff>
    </xdr:from>
    <xdr:to>
      <xdr:col>1</xdr:col>
      <xdr:colOff>2348949</xdr:colOff>
      <xdr:row>0</xdr:row>
      <xdr:rowOff>714375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69" y="0"/>
          <a:ext cx="2322030" cy="714375"/>
        </a:xfrm>
        <a:prstGeom prst="rect">
          <a:avLst/>
        </a:prstGeom>
      </xdr:spPr>
    </xdr:pic>
    <xdr:clientData/>
  </xdr:twoCellAnchor>
  <xdr:twoCellAnchor>
    <xdr:from>
      <xdr:col>9</xdr:col>
      <xdr:colOff>1374913</xdr:colOff>
      <xdr:row>0</xdr:row>
      <xdr:rowOff>496957</xdr:rowOff>
    </xdr:from>
    <xdr:to>
      <xdr:col>9</xdr:col>
      <xdr:colOff>2219741</xdr:colOff>
      <xdr:row>1</xdr:row>
      <xdr:rowOff>156897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9177130" y="496957"/>
          <a:ext cx="844828" cy="421940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1374913</xdr:colOff>
      <xdr:row>0</xdr:row>
      <xdr:rowOff>579783</xdr:rowOff>
    </xdr:from>
    <xdr:to>
      <xdr:col>9</xdr:col>
      <xdr:colOff>2153479</xdr:colOff>
      <xdr:row>1</xdr:row>
      <xdr:rowOff>120039</xdr:rowOff>
    </xdr:to>
    <xdr:sp macro="" textlink="">
      <xdr:nvSpPr>
        <xdr:cNvPr id="7" name="AutoShape 4">
          <a:hlinkClick xmlns:r="http://schemas.openxmlformats.org/officeDocument/2006/relationships" r:id="rId2"/>
        </xdr:cNvPr>
        <xdr:cNvSpPr>
          <a:spLocks noChangeArrowheads="1"/>
        </xdr:cNvSpPr>
      </xdr:nvSpPr>
      <xdr:spPr bwMode="auto">
        <a:xfrm>
          <a:off x="9177130" y="579783"/>
          <a:ext cx="778566" cy="302256"/>
        </a:xfrm>
        <a:prstGeom prst="leftArrow">
          <a:avLst>
            <a:gd name="adj1" fmla="val 50000"/>
            <a:gd name="adj2" fmla="val 62500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504825</xdr:colOff>
      <xdr:row>0</xdr:row>
      <xdr:rowOff>76200</xdr:rowOff>
    </xdr:from>
    <xdr:to>
      <xdr:col>14</xdr:col>
      <xdr:colOff>295275</xdr:colOff>
      <xdr:row>3</xdr:row>
      <xdr:rowOff>92868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>
          <a:off x="13115925" y="76200"/>
          <a:ext cx="1219200" cy="635793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666750</xdr:colOff>
      <xdr:row>1</xdr:row>
      <xdr:rowOff>38100</xdr:rowOff>
    </xdr:from>
    <xdr:to>
      <xdr:col>14</xdr:col>
      <xdr:colOff>180975</xdr:colOff>
      <xdr:row>2</xdr:row>
      <xdr:rowOff>221456</xdr:rowOff>
    </xdr:to>
    <xdr:sp macro="" textlink="">
      <xdr:nvSpPr>
        <xdr:cNvPr id="3" name="AutoShape 30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3277850" y="200025"/>
          <a:ext cx="942975" cy="411956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0</xdr:row>
      <xdr:rowOff>76200</xdr:rowOff>
    </xdr:from>
    <xdr:to>
      <xdr:col>15</xdr:col>
      <xdr:colOff>323850</xdr:colOff>
      <xdr:row>3</xdr:row>
      <xdr:rowOff>92868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>
          <a:off x="13020675" y="76200"/>
          <a:ext cx="1219200" cy="635793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685800</xdr:colOff>
      <xdr:row>1</xdr:row>
      <xdr:rowOff>19050</xdr:rowOff>
    </xdr:from>
    <xdr:to>
      <xdr:col>15</xdr:col>
      <xdr:colOff>200025</xdr:colOff>
      <xdr:row>2</xdr:row>
      <xdr:rowOff>202406</xdr:rowOff>
    </xdr:to>
    <xdr:sp macro="" textlink="">
      <xdr:nvSpPr>
        <xdr:cNvPr id="3" name="AutoShape 30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3173075" y="180975"/>
          <a:ext cx="942975" cy="411956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762000</xdr:colOff>
      <xdr:row>0</xdr:row>
      <xdr:rowOff>66675</xdr:rowOff>
    </xdr:from>
    <xdr:to>
      <xdr:col>14</xdr:col>
      <xdr:colOff>400050</xdr:colOff>
      <xdr:row>3</xdr:row>
      <xdr:rowOff>83343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>
          <a:off x="13287375" y="66675"/>
          <a:ext cx="1219200" cy="635793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104775</xdr:colOff>
      <xdr:row>0</xdr:row>
      <xdr:rowOff>152400</xdr:rowOff>
    </xdr:from>
    <xdr:to>
      <xdr:col>14</xdr:col>
      <xdr:colOff>257175</xdr:colOff>
      <xdr:row>2</xdr:row>
      <xdr:rowOff>173831</xdr:rowOff>
    </xdr:to>
    <xdr:sp macro="" textlink="">
      <xdr:nvSpPr>
        <xdr:cNvPr id="3" name="AutoShape 30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3420725" y="152400"/>
          <a:ext cx="942975" cy="411956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0</xdr:row>
      <xdr:rowOff>57150</xdr:rowOff>
    </xdr:from>
    <xdr:to>
      <xdr:col>16</xdr:col>
      <xdr:colOff>676275</xdr:colOff>
      <xdr:row>3</xdr:row>
      <xdr:rowOff>73818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>
          <a:off x="14230350" y="57150"/>
          <a:ext cx="1219200" cy="635793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361950</xdr:colOff>
      <xdr:row>0</xdr:row>
      <xdr:rowOff>152400</xdr:rowOff>
    </xdr:from>
    <xdr:to>
      <xdr:col>16</xdr:col>
      <xdr:colOff>590550</xdr:colOff>
      <xdr:row>2</xdr:row>
      <xdr:rowOff>173831</xdr:rowOff>
    </xdr:to>
    <xdr:sp macro="" textlink="">
      <xdr:nvSpPr>
        <xdr:cNvPr id="3" name="AutoShape 30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4420850" y="152400"/>
          <a:ext cx="942975" cy="411956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0</xdr:row>
      <xdr:rowOff>142875</xdr:rowOff>
    </xdr:from>
    <xdr:to>
      <xdr:col>16</xdr:col>
      <xdr:colOff>762000</xdr:colOff>
      <xdr:row>3</xdr:row>
      <xdr:rowOff>159543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>
          <a:off x="14706600" y="142875"/>
          <a:ext cx="1219200" cy="635793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504825</xdr:colOff>
      <xdr:row>1</xdr:row>
      <xdr:rowOff>104775</xdr:rowOff>
    </xdr:from>
    <xdr:to>
      <xdr:col>16</xdr:col>
      <xdr:colOff>657225</xdr:colOff>
      <xdr:row>3</xdr:row>
      <xdr:rowOff>59531</xdr:rowOff>
    </xdr:to>
    <xdr:sp macro="" textlink="">
      <xdr:nvSpPr>
        <xdr:cNvPr id="3" name="AutoShape 30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4878050" y="266700"/>
          <a:ext cx="942975" cy="411956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3</xdr:row>
      <xdr:rowOff>0</xdr:rowOff>
    </xdr:from>
    <xdr:to>
      <xdr:col>24</xdr:col>
      <xdr:colOff>457200</xdr:colOff>
      <xdr:row>6</xdr:row>
      <xdr:rowOff>45243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>
          <a:off x="10086975" y="676275"/>
          <a:ext cx="1219200" cy="635793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23</xdr:col>
      <xdr:colOff>66675</xdr:colOff>
      <xdr:row>3</xdr:row>
      <xdr:rowOff>95250</xdr:rowOff>
    </xdr:from>
    <xdr:to>
      <xdr:col>24</xdr:col>
      <xdr:colOff>247650</xdr:colOff>
      <xdr:row>5</xdr:row>
      <xdr:rowOff>88106</xdr:rowOff>
    </xdr:to>
    <xdr:sp macro="" textlink="">
      <xdr:nvSpPr>
        <xdr:cNvPr id="3" name="AutoShape 30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0153650" y="771525"/>
          <a:ext cx="942975" cy="411956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1374913</xdr:colOff>
      <xdr:row>0</xdr:row>
      <xdr:rowOff>496957</xdr:rowOff>
    </xdr:from>
    <xdr:to>
      <xdr:col>3</xdr:col>
      <xdr:colOff>2219741</xdr:colOff>
      <xdr:row>1</xdr:row>
      <xdr:rowOff>156897</xdr:rowOff>
    </xdr:to>
    <xdr:sp macro="" textlink="">
      <xdr:nvSpPr>
        <xdr:cNvPr id="3" name="AutoShape 2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6099313" y="496957"/>
          <a:ext cx="844828" cy="421940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1374913</xdr:colOff>
      <xdr:row>0</xdr:row>
      <xdr:rowOff>579783</xdr:rowOff>
    </xdr:from>
    <xdr:to>
      <xdr:col>3</xdr:col>
      <xdr:colOff>2153479</xdr:colOff>
      <xdr:row>1</xdr:row>
      <xdr:rowOff>120039</xdr:rowOff>
    </xdr:to>
    <xdr:sp macro="" textlink="">
      <xdr:nvSpPr>
        <xdr:cNvPr id="4" name="AutoShape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6099313" y="579783"/>
          <a:ext cx="778566" cy="302256"/>
        </a:xfrm>
        <a:prstGeom prst="leftArrow">
          <a:avLst>
            <a:gd name="adj1" fmla="val 50000"/>
            <a:gd name="adj2" fmla="val 62500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173935</xdr:colOff>
      <xdr:row>0</xdr:row>
      <xdr:rowOff>49695</xdr:rowOff>
    </xdr:from>
    <xdr:to>
      <xdr:col>3</xdr:col>
      <xdr:colOff>206652</xdr:colOff>
      <xdr:row>1</xdr:row>
      <xdr:rowOff>95250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935" y="49695"/>
          <a:ext cx="2318717" cy="3694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0</xdr:rowOff>
    </xdr:from>
    <xdr:to>
      <xdr:col>1</xdr:col>
      <xdr:colOff>1628775</xdr:colOff>
      <xdr:row>1</xdr:row>
      <xdr:rowOff>14419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44" y="0"/>
          <a:ext cx="2630556" cy="776419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6</xdr:row>
      <xdr:rowOff>0</xdr:rowOff>
    </xdr:from>
    <xdr:to>
      <xdr:col>7</xdr:col>
      <xdr:colOff>314325</xdr:colOff>
      <xdr:row>9</xdr:row>
      <xdr:rowOff>22363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11601450" y="1657350"/>
          <a:ext cx="1247775" cy="0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140804</xdr:colOff>
      <xdr:row>6</xdr:row>
      <xdr:rowOff>57978</xdr:rowOff>
    </xdr:from>
    <xdr:to>
      <xdr:col>7</xdr:col>
      <xdr:colOff>217004</xdr:colOff>
      <xdr:row>7</xdr:row>
      <xdr:rowOff>120926</xdr:rowOff>
    </xdr:to>
    <xdr:sp macro="" textlink="">
      <xdr:nvSpPr>
        <xdr:cNvPr id="4" name="AutoShape 3">
          <a:hlinkClick xmlns:r="http://schemas.openxmlformats.org/officeDocument/2006/relationships" r:id="rId2"/>
        </xdr:cNvPr>
        <xdr:cNvSpPr>
          <a:spLocks noChangeArrowheads="1"/>
        </xdr:cNvSpPr>
      </xdr:nvSpPr>
      <xdr:spPr bwMode="auto">
        <a:xfrm>
          <a:off x="11742254" y="1657350"/>
          <a:ext cx="1009650" cy="0"/>
        </a:xfrm>
        <a:prstGeom prst="leftArrow">
          <a:avLst>
            <a:gd name="adj1" fmla="val 50000"/>
            <a:gd name="adj2" fmla="val 91667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1428750</xdr:colOff>
      <xdr:row>0</xdr:row>
      <xdr:rowOff>323850</xdr:rowOff>
    </xdr:from>
    <xdr:to>
      <xdr:col>5</xdr:col>
      <xdr:colOff>2273578</xdr:colOff>
      <xdr:row>0</xdr:row>
      <xdr:rowOff>745790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7620000" y="323850"/>
          <a:ext cx="844828" cy="421940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1428750</xdr:colOff>
      <xdr:row>0</xdr:row>
      <xdr:rowOff>390525</xdr:rowOff>
    </xdr:from>
    <xdr:to>
      <xdr:col>5</xdr:col>
      <xdr:colOff>2207316</xdr:colOff>
      <xdr:row>0</xdr:row>
      <xdr:rowOff>692781</xdr:rowOff>
    </xdr:to>
    <xdr:sp macro="" textlink="">
      <xdr:nvSpPr>
        <xdr:cNvPr id="6" name="AutoShape 4">
          <a:hlinkClick xmlns:r="http://schemas.openxmlformats.org/officeDocument/2006/relationships" r:id="rId2"/>
        </xdr:cNvPr>
        <xdr:cNvSpPr>
          <a:spLocks noChangeArrowheads="1"/>
        </xdr:cNvSpPr>
      </xdr:nvSpPr>
      <xdr:spPr bwMode="auto">
        <a:xfrm>
          <a:off x="7620000" y="390525"/>
          <a:ext cx="778566" cy="302256"/>
        </a:xfrm>
        <a:prstGeom prst="leftArrow">
          <a:avLst>
            <a:gd name="adj1" fmla="val 50000"/>
            <a:gd name="adj2" fmla="val 62500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342900</xdr:colOff>
      <xdr:row>5</xdr:row>
      <xdr:rowOff>28575</xdr:rowOff>
    </xdr:from>
    <xdr:to>
      <xdr:col>22</xdr:col>
      <xdr:colOff>47625</xdr:colOff>
      <xdr:row>8</xdr:row>
      <xdr:rowOff>142875</xdr:rowOff>
    </xdr:to>
    <xdr:sp macro="" textlink="">
      <xdr:nvSpPr>
        <xdr:cNvPr id="5093241" name="AutoShape 2"/>
        <xdr:cNvSpPr>
          <a:spLocks noChangeArrowheads="1"/>
        </xdr:cNvSpPr>
      </xdr:nvSpPr>
      <xdr:spPr bwMode="auto">
        <a:xfrm>
          <a:off x="12868275" y="1333500"/>
          <a:ext cx="1228725" cy="600075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20</xdr:col>
      <xdr:colOff>457200</xdr:colOff>
      <xdr:row>5</xdr:row>
      <xdr:rowOff>142875</xdr:rowOff>
    </xdr:from>
    <xdr:to>
      <xdr:col>21</xdr:col>
      <xdr:colOff>647700</xdr:colOff>
      <xdr:row>8</xdr:row>
      <xdr:rowOff>38100</xdr:rowOff>
    </xdr:to>
    <xdr:sp macro="" textlink="">
      <xdr:nvSpPr>
        <xdr:cNvPr id="5093242" name="AutoShape 4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82575" y="1447800"/>
          <a:ext cx="952500" cy="381000"/>
        </a:xfrm>
        <a:prstGeom prst="leftArrow">
          <a:avLst>
            <a:gd name="adj1" fmla="val 50000"/>
            <a:gd name="adj2" fmla="val 62500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23133</xdr:colOff>
      <xdr:row>23</xdr:row>
      <xdr:rowOff>59872</xdr:rowOff>
    </xdr:from>
    <xdr:to>
      <xdr:col>8</xdr:col>
      <xdr:colOff>99333</xdr:colOff>
      <xdr:row>41</xdr:row>
      <xdr:rowOff>59872</xdr:rowOff>
    </xdr:to>
    <xdr:graphicFrame macro="">
      <xdr:nvGraphicFramePr>
        <xdr:cNvPr id="5093243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85725</xdr:colOff>
      <xdr:row>21</xdr:row>
      <xdr:rowOff>19050</xdr:rowOff>
    </xdr:from>
    <xdr:to>
      <xdr:col>21</xdr:col>
      <xdr:colOff>76200</xdr:colOff>
      <xdr:row>40</xdr:row>
      <xdr:rowOff>152400</xdr:rowOff>
    </xdr:to>
    <xdr:graphicFrame macro="">
      <xdr:nvGraphicFramePr>
        <xdr:cNvPr id="509324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95250</xdr:colOff>
      <xdr:row>20</xdr:row>
      <xdr:rowOff>38100</xdr:rowOff>
    </xdr:from>
    <xdr:to>
      <xdr:col>5</xdr:col>
      <xdr:colOff>131560</xdr:colOff>
      <xdr:row>21</xdr:row>
      <xdr:rowOff>40143</xdr:rowOff>
    </xdr:to>
    <xdr:sp macro="" textlink="">
      <xdr:nvSpPr>
        <xdr:cNvPr id="5133" name="Rectangle 13"/>
        <xdr:cNvSpPr>
          <a:spLocks noChangeArrowheads="1"/>
        </xdr:cNvSpPr>
      </xdr:nvSpPr>
      <xdr:spPr bwMode="auto">
        <a:xfrm>
          <a:off x="2171700" y="3867150"/>
          <a:ext cx="981075" cy="1714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Haga click acá</a:t>
          </a:r>
        </a:p>
      </xdr:txBody>
    </xdr:sp>
    <xdr:clientData/>
  </xdr:twoCellAnchor>
  <xdr:twoCellAnchor>
    <xdr:from>
      <xdr:col>15</xdr:col>
      <xdr:colOff>76200</xdr:colOff>
      <xdr:row>20</xdr:row>
      <xdr:rowOff>9525</xdr:rowOff>
    </xdr:from>
    <xdr:to>
      <xdr:col>17</xdr:col>
      <xdr:colOff>38100</xdr:colOff>
      <xdr:row>21</xdr:row>
      <xdr:rowOff>19050</xdr:rowOff>
    </xdr:to>
    <xdr:sp macro="" textlink="">
      <xdr:nvSpPr>
        <xdr:cNvPr id="5134" name="Rectangle 14"/>
        <xdr:cNvSpPr>
          <a:spLocks noChangeArrowheads="1"/>
        </xdr:cNvSpPr>
      </xdr:nvSpPr>
      <xdr:spPr bwMode="auto">
        <a:xfrm>
          <a:off x="9763125" y="3838575"/>
          <a:ext cx="981075" cy="1714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Haga click acá</a:t>
          </a:r>
        </a:p>
      </xdr:txBody>
    </xdr:sp>
    <xdr:clientData/>
  </xdr:twoCellAnchor>
  <xdr:twoCellAnchor>
    <xdr:from>
      <xdr:col>3</xdr:col>
      <xdr:colOff>238125</xdr:colOff>
      <xdr:row>19</xdr:row>
      <xdr:rowOff>28575</xdr:rowOff>
    </xdr:from>
    <xdr:to>
      <xdr:col>3</xdr:col>
      <xdr:colOff>733425</xdr:colOff>
      <xdr:row>20</xdr:row>
      <xdr:rowOff>19050</xdr:rowOff>
    </xdr:to>
    <xdr:sp macro="" textlink="">
      <xdr:nvSpPr>
        <xdr:cNvPr id="5093247" name="AutoShape 15"/>
        <xdr:cNvSpPr>
          <a:spLocks noChangeArrowheads="1"/>
        </xdr:cNvSpPr>
      </xdr:nvSpPr>
      <xdr:spPr bwMode="auto">
        <a:xfrm>
          <a:off x="1838325" y="3695700"/>
          <a:ext cx="495300" cy="152400"/>
        </a:xfrm>
        <a:prstGeom prst="leftArrow">
          <a:avLst>
            <a:gd name="adj1" fmla="val 50000"/>
            <a:gd name="adj2" fmla="val 8125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190500</xdr:colOff>
      <xdr:row>19</xdr:row>
      <xdr:rowOff>38100</xdr:rowOff>
    </xdr:from>
    <xdr:to>
      <xdr:col>15</xdr:col>
      <xdr:colOff>685800</xdr:colOff>
      <xdr:row>20</xdr:row>
      <xdr:rowOff>28575</xdr:rowOff>
    </xdr:to>
    <xdr:sp macro="" textlink="">
      <xdr:nvSpPr>
        <xdr:cNvPr id="5093248" name="AutoShape 16"/>
        <xdr:cNvSpPr>
          <a:spLocks noChangeArrowheads="1"/>
        </xdr:cNvSpPr>
      </xdr:nvSpPr>
      <xdr:spPr bwMode="auto">
        <a:xfrm>
          <a:off x="9410700" y="3705225"/>
          <a:ext cx="495300" cy="152400"/>
        </a:xfrm>
        <a:prstGeom prst="leftArrow">
          <a:avLst>
            <a:gd name="adj1" fmla="val 50000"/>
            <a:gd name="adj2" fmla="val 8125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112395</xdr:rowOff>
    </xdr:from>
    <xdr:to>
      <xdr:col>6</xdr:col>
      <xdr:colOff>339109</xdr:colOff>
      <xdr:row>2</xdr:row>
      <xdr:rowOff>93588</xdr:rowOff>
    </xdr:to>
    <xdr:sp macro="" textlink="">
      <xdr:nvSpPr>
        <xdr:cNvPr id="6150" name="Rectangle 6"/>
        <xdr:cNvSpPr>
          <a:spLocks noChangeArrowheads="1"/>
        </xdr:cNvSpPr>
      </xdr:nvSpPr>
      <xdr:spPr bwMode="auto">
        <a:xfrm>
          <a:off x="219075" y="114300"/>
          <a:ext cx="4095750" cy="295275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INFORMACIÓN FINANCIERA GENERAL</a:t>
          </a:r>
        </a:p>
      </xdr:txBody>
    </xdr:sp>
    <xdr:clientData/>
  </xdr:twoCellAnchor>
  <xdr:twoCellAnchor>
    <xdr:from>
      <xdr:col>1</xdr:col>
      <xdr:colOff>9525</xdr:colOff>
      <xdr:row>0</xdr:row>
      <xdr:rowOff>104775</xdr:rowOff>
    </xdr:from>
    <xdr:to>
      <xdr:col>6</xdr:col>
      <xdr:colOff>333375</xdr:colOff>
      <xdr:row>18</xdr:row>
      <xdr:rowOff>123825</xdr:rowOff>
    </xdr:to>
    <xdr:sp macro="" textlink="">
      <xdr:nvSpPr>
        <xdr:cNvPr id="6516576" name="AutoShape 7"/>
        <xdr:cNvSpPr>
          <a:spLocks noChangeArrowheads="1"/>
        </xdr:cNvSpPr>
      </xdr:nvSpPr>
      <xdr:spPr bwMode="auto">
        <a:xfrm>
          <a:off x="200025" y="104775"/>
          <a:ext cx="4114800" cy="2933700"/>
        </a:xfrm>
        <a:prstGeom prst="roundRect">
          <a:avLst>
            <a:gd name="adj" fmla="val 1176"/>
          </a:avLst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453390</xdr:colOff>
      <xdr:row>0</xdr:row>
      <xdr:rowOff>112395</xdr:rowOff>
    </xdr:from>
    <xdr:to>
      <xdr:col>10</xdr:col>
      <xdr:colOff>169575</xdr:colOff>
      <xdr:row>2</xdr:row>
      <xdr:rowOff>19122</xdr:rowOff>
    </xdr:to>
    <xdr:sp macro="" textlink="">
      <xdr:nvSpPr>
        <xdr:cNvPr id="6153" name="Rectangle 9"/>
        <xdr:cNvSpPr>
          <a:spLocks noChangeArrowheads="1"/>
        </xdr:cNvSpPr>
      </xdr:nvSpPr>
      <xdr:spPr bwMode="auto">
        <a:xfrm>
          <a:off x="4429125" y="114300"/>
          <a:ext cx="2676525" cy="228600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EXCEDENTE</a:t>
          </a:r>
        </a:p>
      </xdr:txBody>
    </xdr:sp>
    <xdr:clientData/>
  </xdr:twoCellAnchor>
  <xdr:twoCellAnchor>
    <xdr:from>
      <xdr:col>6</xdr:col>
      <xdr:colOff>390525</xdr:colOff>
      <xdr:row>10</xdr:row>
      <xdr:rowOff>104775</xdr:rowOff>
    </xdr:from>
    <xdr:to>
      <xdr:col>10</xdr:col>
      <xdr:colOff>28575</xdr:colOff>
      <xdr:row>19</xdr:row>
      <xdr:rowOff>142875</xdr:rowOff>
    </xdr:to>
    <xdr:graphicFrame macro="">
      <xdr:nvGraphicFramePr>
        <xdr:cNvPr id="6516578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453390</xdr:colOff>
      <xdr:row>12</xdr:row>
      <xdr:rowOff>19050</xdr:rowOff>
    </xdr:from>
    <xdr:to>
      <xdr:col>10</xdr:col>
      <xdr:colOff>179099</xdr:colOff>
      <xdr:row>13</xdr:row>
      <xdr:rowOff>58037</xdr:rowOff>
    </xdr:to>
    <xdr:sp macro="" textlink="">
      <xdr:nvSpPr>
        <xdr:cNvPr id="6156" name="Rectangle 12"/>
        <xdr:cNvSpPr>
          <a:spLocks noChangeArrowheads="1"/>
        </xdr:cNvSpPr>
      </xdr:nvSpPr>
      <xdr:spPr bwMode="auto">
        <a:xfrm>
          <a:off x="4438650" y="1952625"/>
          <a:ext cx="2676525" cy="219075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INGRESOS POR MATRICULA / INGRESOS TOTALES</a:t>
          </a:r>
        </a:p>
      </xdr:txBody>
    </xdr:sp>
    <xdr:clientData/>
  </xdr:twoCellAnchor>
  <xdr:twoCellAnchor>
    <xdr:from>
      <xdr:col>0</xdr:col>
      <xdr:colOff>161925</xdr:colOff>
      <xdr:row>2</xdr:row>
      <xdr:rowOff>142875</xdr:rowOff>
    </xdr:from>
    <xdr:to>
      <xdr:col>7</xdr:col>
      <xdr:colOff>247650</xdr:colOff>
      <xdr:row>18</xdr:row>
      <xdr:rowOff>66675</xdr:rowOff>
    </xdr:to>
    <xdr:graphicFrame macro="">
      <xdr:nvGraphicFramePr>
        <xdr:cNvPr id="6516580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2</xdr:row>
      <xdr:rowOff>38100</xdr:rowOff>
    </xdr:from>
    <xdr:to>
      <xdr:col>10</xdr:col>
      <xdr:colOff>676275</xdr:colOff>
      <xdr:row>11</xdr:row>
      <xdr:rowOff>66675</xdr:rowOff>
    </xdr:to>
    <xdr:graphicFrame macro="">
      <xdr:nvGraphicFramePr>
        <xdr:cNvPr id="6516581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2</xdr:row>
      <xdr:rowOff>66675</xdr:rowOff>
    </xdr:from>
    <xdr:to>
      <xdr:col>13</xdr:col>
      <xdr:colOff>0</xdr:colOff>
      <xdr:row>18</xdr:row>
      <xdr:rowOff>85725</xdr:rowOff>
    </xdr:to>
    <xdr:graphicFrame macro="">
      <xdr:nvGraphicFramePr>
        <xdr:cNvPr id="651658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219075</xdr:colOff>
      <xdr:row>2</xdr:row>
      <xdr:rowOff>104775</xdr:rowOff>
    </xdr:from>
    <xdr:to>
      <xdr:col>17</xdr:col>
      <xdr:colOff>371475</xdr:colOff>
      <xdr:row>18</xdr:row>
      <xdr:rowOff>85725</xdr:rowOff>
    </xdr:to>
    <xdr:graphicFrame macro="">
      <xdr:nvGraphicFramePr>
        <xdr:cNvPr id="651658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310515</xdr:colOff>
      <xdr:row>0</xdr:row>
      <xdr:rowOff>76200</xdr:rowOff>
    </xdr:from>
    <xdr:to>
      <xdr:col>13</xdr:col>
      <xdr:colOff>121</xdr:colOff>
      <xdr:row>2</xdr:row>
      <xdr:rowOff>28575</xdr:rowOff>
    </xdr:to>
    <xdr:sp macro="" textlink="">
      <xdr:nvSpPr>
        <xdr:cNvPr id="6164" name="Rectangle 20"/>
        <xdr:cNvSpPr>
          <a:spLocks noChangeArrowheads="1"/>
        </xdr:cNvSpPr>
      </xdr:nvSpPr>
      <xdr:spPr bwMode="auto">
        <a:xfrm>
          <a:off x="7239000" y="76200"/>
          <a:ext cx="4276725" cy="276225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Periodo I</a:t>
          </a:r>
        </a:p>
      </xdr:txBody>
    </xdr:sp>
    <xdr:clientData/>
  </xdr:twoCellAnchor>
  <xdr:twoCellAnchor>
    <xdr:from>
      <xdr:col>12</xdr:col>
      <xdr:colOff>93345</xdr:colOff>
      <xdr:row>0</xdr:row>
      <xdr:rowOff>76200</xdr:rowOff>
    </xdr:from>
    <xdr:to>
      <xdr:col>16</xdr:col>
      <xdr:colOff>729614</xdr:colOff>
      <xdr:row>2</xdr:row>
      <xdr:rowOff>28575</xdr:rowOff>
    </xdr:to>
    <xdr:sp macro="" textlink="">
      <xdr:nvSpPr>
        <xdr:cNvPr id="6165" name="Rectangle 21"/>
        <xdr:cNvSpPr>
          <a:spLocks noChangeArrowheads="1"/>
        </xdr:cNvSpPr>
      </xdr:nvSpPr>
      <xdr:spPr bwMode="auto">
        <a:xfrm>
          <a:off x="11506200" y="76200"/>
          <a:ext cx="3543300" cy="276225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          Periodo II</a:t>
          </a:r>
        </a:p>
      </xdr:txBody>
    </xdr:sp>
    <xdr:clientData/>
  </xdr:twoCellAnchor>
  <xdr:twoCellAnchor>
    <xdr:from>
      <xdr:col>10</xdr:col>
      <xdr:colOff>304800</xdr:colOff>
      <xdr:row>0</xdr:row>
      <xdr:rowOff>85725</xdr:rowOff>
    </xdr:from>
    <xdr:to>
      <xdr:col>16</xdr:col>
      <xdr:colOff>733425</xdr:colOff>
      <xdr:row>18</xdr:row>
      <xdr:rowOff>123825</xdr:rowOff>
    </xdr:to>
    <xdr:sp macro="" textlink="">
      <xdr:nvSpPr>
        <xdr:cNvPr id="6516586" name="AutoShape 19"/>
        <xdr:cNvSpPr>
          <a:spLocks noChangeArrowheads="1"/>
        </xdr:cNvSpPr>
      </xdr:nvSpPr>
      <xdr:spPr bwMode="auto">
        <a:xfrm>
          <a:off x="7248525" y="85725"/>
          <a:ext cx="7800975" cy="2952750"/>
        </a:xfrm>
        <a:prstGeom prst="roundRect">
          <a:avLst>
            <a:gd name="adj" fmla="val 426"/>
          </a:avLst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47625</xdr:colOff>
      <xdr:row>0</xdr:row>
      <xdr:rowOff>104775</xdr:rowOff>
    </xdr:from>
    <xdr:to>
      <xdr:col>12</xdr:col>
      <xdr:colOff>47625</xdr:colOff>
      <xdr:row>18</xdr:row>
      <xdr:rowOff>142875</xdr:rowOff>
    </xdr:to>
    <xdr:sp macro="" textlink="">
      <xdr:nvSpPr>
        <xdr:cNvPr id="6516587" name="Line 22"/>
        <xdr:cNvSpPr>
          <a:spLocks noChangeShapeType="1"/>
        </xdr:cNvSpPr>
      </xdr:nvSpPr>
      <xdr:spPr bwMode="auto">
        <a:xfrm flipH="1">
          <a:off x="11468100" y="104775"/>
          <a:ext cx="0" cy="295275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457200</xdr:colOff>
      <xdr:row>0</xdr:row>
      <xdr:rowOff>104775</xdr:rowOff>
    </xdr:from>
    <xdr:to>
      <xdr:col>10</xdr:col>
      <xdr:colOff>171450</xdr:colOff>
      <xdr:row>18</xdr:row>
      <xdr:rowOff>123825</xdr:rowOff>
    </xdr:to>
    <xdr:sp macro="" textlink="">
      <xdr:nvSpPr>
        <xdr:cNvPr id="6516588" name="AutoShape 10"/>
        <xdr:cNvSpPr>
          <a:spLocks noChangeArrowheads="1"/>
        </xdr:cNvSpPr>
      </xdr:nvSpPr>
      <xdr:spPr bwMode="auto">
        <a:xfrm>
          <a:off x="4438650" y="104775"/>
          <a:ext cx="2676525" cy="2933700"/>
        </a:xfrm>
        <a:prstGeom prst="roundRect">
          <a:avLst>
            <a:gd name="adj" fmla="val 1963"/>
          </a:avLst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2238375</xdr:colOff>
      <xdr:row>55</xdr:row>
      <xdr:rowOff>0</xdr:rowOff>
    </xdr:from>
    <xdr:to>
      <xdr:col>11</xdr:col>
      <xdr:colOff>3638550</xdr:colOff>
      <xdr:row>58</xdr:row>
      <xdr:rowOff>47625</xdr:rowOff>
    </xdr:to>
    <xdr:sp macro="" textlink="">
      <xdr:nvSpPr>
        <xdr:cNvPr id="6516589" name="AutoShape 23"/>
        <xdr:cNvSpPr>
          <a:spLocks noChangeArrowheads="1"/>
        </xdr:cNvSpPr>
      </xdr:nvSpPr>
      <xdr:spPr bwMode="auto">
        <a:xfrm>
          <a:off x="9944100" y="9286875"/>
          <a:ext cx="1400175" cy="647700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2428875</xdr:colOff>
      <xdr:row>55</xdr:row>
      <xdr:rowOff>66675</xdr:rowOff>
    </xdr:from>
    <xdr:to>
      <xdr:col>11</xdr:col>
      <xdr:colOff>3371850</xdr:colOff>
      <xdr:row>57</xdr:row>
      <xdr:rowOff>123825</xdr:rowOff>
    </xdr:to>
    <xdr:sp macro="" textlink="">
      <xdr:nvSpPr>
        <xdr:cNvPr id="6516590" name="AutoShape 24">
          <a:hlinkClick xmlns:r="http://schemas.openxmlformats.org/officeDocument/2006/relationships" r:id="rId6"/>
        </xdr:cNvPr>
        <xdr:cNvSpPr>
          <a:spLocks noChangeArrowheads="1"/>
        </xdr:cNvSpPr>
      </xdr:nvSpPr>
      <xdr:spPr bwMode="auto">
        <a:xfrm>
          <a:off x="10134600" y="9353550"/>
          <a:ext cx="942975" cy="485775"/>
        </a:xfrm>
        <a:prstGeom prst="leftArrow">
          <a:avLst>
            <a:gd name="adj1" fmla="val 50000"/>
            <a:gd name="adj2" fmla="val 48529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200025</xdr:colOff>
      <xdr:row>38</xdr:row>
      <xdr:rowOff>47625</xdr:rowOff>
    </xdr:from>
    <xdr:to>
      <xdr:col>19</xdr:col>
      <xdr:colOff>95250</xdr:colOff>
      <xdr:row>58</xdr:row>
      <xdr:rowOff>66675</xdr:rowOff>
    </xdr:to>
    <xdr:graphicFrame macro="">
      <xdr:nvGraphicFramePr>
        <xdr:cNvPr id="6516591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261937</xdr:colOff>
      <xdr:row>26</xdr:row>
      <xdr:rowOff>142875</xdr:rowOff>
    </xdr:from>
    <xdr:to>
      <xdr:col>19</xdr:col>
      <xdr:colOff>728662</xdr:colOff>
      <xdr:row>30</xdr:row>
      <xdr:rowOff>80282</xdr:rowOff>
    </xdr:to>
    <xdr:sp macro="" textlink="">
      <xdr:nvSpPr>
        <xdr:cNvPr id="20" name="AutoShape 2"/>
        <xdr:cNvSpPr>
          <a:spLocks noChangeArrowheads="1"/>
        </xdr:cNvSpPr>
      </xdr:nvSpPr>
      <xdr:spPr bwMode="auto">
        <a:xfrm>
          <a:off x="16287750" y="4643438"/>
          <a:ext cx="1228725" cy="604157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321468</xdr:colOff>
      <xdr:row>27</xdr:row>
      <xdr:rowOff>71438</xdr:rowOff>
    </xdr:from>
    <xdr:to>
      <xdr:col>19</xdr:col>
      <xdr:colOff>511968</xdr:colOff>
      <xdr:row>29</xdr:row>
      <xdr:rowOff>123145</xdr:rowOff>
    </xdr:to>
    <xdr:sp macro="" textlink="">
      <xdr:nvSpPr>
        <xdr:cNvPr id="21" name="AutoShape 4">
          <a:hlinkClick xmlns:r="http://schemas.openxmlformats.org/officeDocument/2006/relationships" r:id="rId6"/>
        </xdr:cNvPr>
        <xdr:cNvSpPr>
          <a:spLocks noChangeArrowheads="1"/>
        </xdr:cNvSpPr>
      </xdr:nvSpPr>
      <xdr:spPr bwMode="auto">
        <a:xfrm>
          <a:off x="16347281" y="4738688"/>
          <a:ext cx="952500" cy="385082"/>
        </a:xfrm>
        <a:prstGeom prst="leftArrow">
          <a:avLst>
            <a:gd name="adj1" fmla="val 50000"/>
            <a:gd name="adj2" fmla="val 62500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47625</xdr:rowOff>
    </xdr:from>
    <xdr:to>
      <xdr:col>4</xdr:col>
      <xdr:colOff>790575</xdr:colOff>
      <xdr:row>16</xdr:row>
      <xdr:rowOff>333375</xdr:rowOff>
    </xdr:to>
    <xdr:graphicFrame macro="">
      <xdr:nvGraphicFramePr>
        <xdr:cNvPr id="659634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690561</xdr:colOff>
      <xdr:row>10</xdr:row>
      <xdr:rowOff>73818</xdr:rowOff>
    </xdr:from>
    <xdr:to>
      <xdr:col>26</xdr:col>
      <xdr:colOff>392907</xdr:colOff>
      <xdr:row>16</xdr:row>
      <xdr:rowOff>702468</xdr:rowOff>
    </xdr:to>
    <xdr:graphicFrame macro="">
      <xdr:nvGraphicFramePr>
        <xdr:cNvPr id="659634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916781</xdr:colOff>
      <xdr:row>1</xdr:row>
      <xdr:rowOff>142875</xdr:rowOff>
    </xdr:from>
    <xdr:to>
      <xdr:col>26</xdr:col>
      <xdr:colOff>59531</xdr:colOff>
      <xdr:row>11</xdr:row>
      <xdr:rowOff>104775</xdr:rowOff>
    </xdr:to>
    <xdr:graphicFrame macro="">
      <xdr:nvGraphicFramePr>
        <xdr:cNvPr id="659634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0</xdr:row>
      <xdr:rowOff>96520</xdr:rowOff>
    </xdr:from>
    <xdr:to>
      <xdr:col>4</xdr:col>
      <xdr:colOff>772112</xdr:colOff>
      <xdr:row>2</xdr:row>
      <xdr:rowOff>121920</xdr:rowOff>
    </xdr:to>
    <xdr:sp macro="" textlink="">
      <xdr:nvSpPr>
        <xdr:cNvPr id="2077" name="Rectangle 29"/>
        <xdr:cNvSpPr>
          <a:spLocks noChangeArrowheads="1"/>
        </xdr:cNvSpPr>
      </xdr:nvSpPr>
      <xdr:spPr bwMode="auto">
        <a:xfrm>
          <a:off x="241300" y="88900"/>
          <a:ext cx="4435475" cy="355600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INFORMACIÓN FINANCIERA GENERAL</a:t>
          </a:r>
        </a:p>
      </xdr:txBody>
    </xdr:sp>
    <xdr:clientData/>
  </xdr:twoCellAnchor>
  <xdr:twoCellAnchor>
    <xdr:from>
      <xdr:col>1</xdr:col>
      <xdr:colOff>0</xdr:colOff>
      <xdr:row>0</xdr:row>
      <xdr:rowOff>57150</xdr:rowOff>
    </xdr:from>
    <xdr:to>
      <xdr:col>4</xdr:col>
      <xdr:colOff>742950</xdr:colOff>
      <xdr:row>16</xdr:row>
      <xdr:rowOff>400050</xdr:rowOff>
    </xdr:to>
    <xdr:sp macro="" textlink="">
      <xdr:nvSpPr>
        <xdr:cNvPr id="6596350" name="AutoShape 30"/>
        <xdr:cNvSpPr>
          <a:spLocks noChangeArrowheads="1"/>
        </xdr:cNvSpPr>
      </xdr:nvSpPr>
      <xdr:spPr bwMode="auto">
        <a:xfrm>
          <a:off x="219075" y="57150"/>
          <a:ext cx="4410075" cy="2933700"/>
        </a:xfrm>
        <a:prstGeom prst="roundRect">
          <a:avLst>
            <a:gd name="adj" fmla="val 1176"/>
          </a:avLst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906780</xdr:colOff>
      <xdr:row>0</xdr:row>
      <xdr:rowOff>66675</xdr:rowOff>
    </xdr:from>
    <xdr:to>
      <xdr:col>26</xdr:col>
      <xdr:colOff>0</xdr:colOff>
      <xdr:row>1</xdr:row>
      <xdr:rowOff>150430</xdr:rowOff>
    </xdr:to>
    <xdr:sp macro="" textlink="">
      <xdr:nvSpPr>
        <xdr:cNvPr id="2079" name="Rectangle 31"/>
        <xdr:cNvSpPr>
          <a:spLocks noChangeArrowheads="1"/>
        </xdr:cNvSpPr>
      </xdr:nvSpPr>
      <xdr:spPr bwMode="auto">
        <a:xfrm>
          <a:off x="4931093" y="66675"/>
          <a:ext cx="9987438" cy="250443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EXCEDENTE</a:t>
          </a:r>
        </a:p>
        <a:p>
          <a:pPr algn="ctr" rtl="1">
            <a:defRPr sz="1000"/>
          </a:pPr>
          <a:endParaRPr lang="es-ES" sz="1100" b="1" i="0" strike="noStrike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899160</xdr:colOff>
      <xdr:row>12</xdr:row>
      <xdr:rowOff>19050</xdr:rowOff>
    </xdr:from>
    <xdr:to>
      <xdr:col>26</xdr:col>
      <xdr:colOff>0</xdr:colOff>
      <xdr:row>13</xdr:row>
      <xdr:rowOff>76200</xdr:rowOff>
    </xdr:to>
    <xdr:sp macro="" textlink="">
      <xdr:nvSpPr>
        <xdr:cNvPr id="2080" name="Rectangle 32"/>
        <xdr:cNvSpPr>
          <a:spLocks noChangeArrowheads="1"/>
        </xdr:cNvSpPr>
      </xdr:nvSpPr>
      <xdr:spPr bwMode="auto">
        <a:xfrm>
          <a:off x="4923473" y="2019300"/>
          <a:ext cx="9995058" cy="223838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GASTOS DE PERSONAL / GASTOS TOTALESz</a:t>
          </a:r>
        </a:p>
      </xdr:txBody>
    </xdr:sp>
    <xdr:clientData/>
  </xdr:twoCellAnchor>
  <xdr:twoCellAnchor>
    <xdr:from>
      <xdr:col>4</xdr:col>
      <xdr:colOff>904875</xdr:colOff>
      <xdr:row>0</xdr:row>
      <xdr:rowOff>66675</xdr:rowOff>
    </xdr:from>
    <xdr:to>
      <xdr:col>26</xdr:col>
      <xdr:colOff>0</xdr:colOff>
      <xdr:row>16</xdr:row>
      <xdr:rowOff>409575</xdr:rowOff>
    </xdr:to>
    <xdr:sp macro="" textlink="">
      <xdr:nvSpPr>
        <xdr:cNvPr id="6596353" name="AutoShape 33"/>
        <xdr:cNvSpPr>
          <a:spLocks noChangeArrowheads="1"/>
        </xdr:cNvSpPr>
      </xdr:nvSpPr>
      <xdr:spPr bwMode="auto">
        <a:xfrm>
          <a:off x="4791075" y="66675"/>
          <a:ext cx="1971675" cy="2933700"/>
        </a:xfrm>
        <a:prstGeom prst="roundRect">
          <a:avLst>
            <a:gd name="adj" fmla="val 1278"/>
          </a:avLst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26</xdr:col>
      <xdr:colOff>0</xdr:colOff>
      <xdr:row>1</xdr:row>
      <xdr:rowOff>152400</xdr:rowOff>
    </xdr:from>
    <xdr:to>
      <xdr:col>42</xdr:col>
      <xdr:colOff>1276350</xdr:colOff>
      <xdr:row>16</xdr:row>
      <xdr:rowOff>371475</xdr:rowOff>
    </xdr:to>
    <xdr:graphicFrame macro="">
      <xdr:nvGraphicFramePr>
        <xdr:cNvPr id="6596354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0</xdr:row>
      <xdr:rowOff>57150</xdr:rowOff>
    </xdr:from>
    <xdr:to>
      <xdr:col>42</xdr:col>
      <xdr:colOff>657225</xdr:colOff>
      <xdr:row>16</xdr:row>
      <xdr:rowOff>400050</xdr:rowOff>
    </xdr:to>
    <xdr:sp macro="" textlink="">
      <xdr:nvSpPr>
        <xdr:cNvPr id="6596355" name="AutoShape 36"/>
        <xdr:cNvSpPr>
          <a:spLocks noChangeArrowheads="1"/>
        </xdr:cNvSpPr>
      </xdr:nvSpPr>
      <xdr:spPr bwMode="auto">
        <a:xfrm>
          <a:off x="6762750" y="57150"/>
          <a:ext cx="4886325" cy="2933700"/>
        </a:xfrm>
        <a:prstGeom prst="roundRect">
          <a:avLst>
            <a:gd name="adj" fmla="val 1963"/>
          </a:avLst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26</xdr:col>
      <xdr:colOff>0</xdr:colOff>
      <xdr:row>0</xdr:row>
      <xdr:rowOff>57150</xdr:rowOff>
    </xdr:from>
    <xdr:to>
      <xdr:col>42</xdr:col>
      <xdr:colOff>662896</xdr:colOff>
      <xdr:row>2</xdr:row>
      <xdr:rowOff>0</xdr:rowOff>
    </xdr:to>
    <xdr:sp macro="" textlink="">
      <xdr:nvSpPr>
        <xdr:cNvPr id="2085" name="Rectangle 37"/>
        <xdr:cNvSpPr>
          <a:spLocks noChangeArrowheads="1"/>
        </xdr:cNvSpPr>
      </xdr:nvSpPr>
      <xdr:spPr bwMode="auto">
        <a:xfrm>
          <a:off x="8686800" y="57150"/>
          <a:ext cx="4629150" cy="266700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ESTRUCTURA GASTOS PERSONAL</a:t>
          </a:r>
        </a:p>
      </xdr:txBody>
    </xdr:sp>
    <xdr:clientData/>
  </xdr:twoCellAnchor>
  <xdr:twoCellAnchor>
    <xdr:from>
      <xdr:col>42</xdr:col>
      <xdr:colOff>695325</xdr:colOff>
      <xdr:row>2</xdr:row>
      <xdr:rowOff>9525</xdr:rowOff>
    </xdr:from>
    <xdr:to>
      <xdr:col>44</xdr:col>
      <xdr:colOff>23813</xdr:colOff>
      <xdr:row>16</xdr:row>
      <xdr:rowOff>381000</xdr:rowOff>
    </xdr:to>
    <xdr:graphicFrame macro="">
      <xdr:nvGraphicFramePr>
        <xdr:cNvPr id="6596357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752476</xdr:colOff>
      <xdr:row>0</xdr:row>
      <xdr:rowOff>66675</xdr:rowOff>
    </xdr:from>
    <xdr:to>
      <xdr:col>44</xdr:col>
      <xdr:colOff>23814</xdr:colOff>
      <xdr:row>16</xdr:row>
      <xdr:rowOff>409575</xdr:rowOff>
    </xdr:to>
    <xdr:sp macro="" textlink="">
      <xdr:nvSpPr>
        <xdr:cNvPr id="6596358" name="AutoShape 45"/>
        <xdr:cNvSpPr>
          <a:spLocks noChangeArrowheads="1"/>
        </xdr:cNvSpPr>
      </xdr:nvSpPr>
      <xdr:spPr bwMode="auto">
        <a:xfrm>
          <a:off x="19540539" y="66675"/>
          <a:ext cx="4545806" cy="3009900"/>
        </a:xfrm>
        <a:prstGeom prst="roundRect">
          <a:avLst>
            <a:gd name="adj" fmla="val 1963"/>
          </a:avLst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42</xdr:col>
      <xdr:colOff>765810</xdr:colOff>
      <xdr:row>0</xdr:row>
      <xdr:rowOff>66675</xdr:rowOff>
    </xdr:from>
    <xdr:to>
      <xdr:col>44</xdr:col>
      <xdr:colOff>11907</xdr:colOff>
      <xdr:row>2</xdr:row>
      <xdr:rowOff>0</xdr:rowOff>
    </xdr:to>
    <xdr:sp macro="" textlink="">
      <xdr:nvSpPr>
        <xdr:cNvPr id="2094" name="Rectangle 46"/>
        <xdr:cNvSpPr>
          <a:spLocks noChangeArrowheads="1"/>
        </xdr:cNvSpPr>
      </xdr:nvSpPr>
      <xdr:spPr bwMode="auto">
        <a:xfrm>
          <a:off x="19553873" y="66675"/>
          <a:ext cx="4520565" cy="266700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HORAS TOTALES POR PERIODO</a:t>
          </a:r>
        </a:p>
      </xdr:txBody>
    </xdr:sp>
    <xdr:clientData/>
  </xdr:twoCellAnchor>
  <xdr:twoCellAnchor>
    <xdr:from>
      <xdr:col>44</xdr:col>
      <xdr:colOff>0</xdr:colOff>
      <xdr:row>27</xdr:row>
      <xdr:rowOff>0</xdr:rowOff>
    </xdr:from>
    <xdr:to>
      <xdr:col>45</xdr:col>
      <xdr:colOff>466725</xdr:colOff>
      <xdr:row>30</xdr:row>
      <xdr:rowOff>104095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23622000" y="5262563"/>
          <a:ext cx="1228725" cy="604157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119063</xdr:colOff>
      <xdr:row>27</xdr:row>
      <xdr:rowOff>71438</xdr:rowOff>
    </xdr:from>
    <xdr:to>
      <xdr:col>45</xdr:col>
      <xdr:colOff>309563</xdr:colOff>
      <xdr:row>29</xdr:row>
      <xdr:rowOff>123145</xdr:rowOff>
    </xdr:to>
    <xdr:sp macro="" textlink="">
      <xdr:nvSpPr>
        <xdr:cNvPr id="18" name="AutoShape 4">
          <a:hlinkClick xmlns:r="http://schemas.openxmlformats.org/officeDocument/2006/relationships" r:id="rId6"/>
        </xdr:cNvPr>
        <xdr:cNvSpPr>
          <a:spLocks noChangeArrowheads="1"/>
        </xdr:cNvSpPr>
      </xdr:nvSpPr>
      <xdr:spPr bwMode="auto">
        <a:xfrm>
          <a:off x="23741063" y="5334001"/>
          <a:ext cx="952500" cy="385082"/>
        </a:xfrm>
        <a:prstGeom prst="leftArrow">
          <a:avLst>
            <a:gd name="adj1" fmla="val 50000"/>
            <a:gd name="adj2" fmla="val 62500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47625</xdr:rowOff>
    </xdr:from>
    <xdr:to>
      <xdr:col>4</xdr:col>
      <xdr:colOff>142875</xdr:colOff>
      <xdr:row>16</xdr:row>
      <xdr:rowOff>333375</xdr:rowOff>
    </xdr:to>
    <xdr:graphicFrame macro="">
      <xdr:nvGraphicFramePr>
        <xdr:cNvPr id="643579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207282</xdr:colOff>
      <xdr:row>11</xdr:row>
      <xdr:rowOff>40368</xdr:rowOff>
    </xdr:from>
    <xdr:to>
      <xdr:col>10</xdr:col>
      <xdr:colOff>378732</xdr:colOff>
      <xdr:row>18</xdr:row>
      <xdr:rowOff>40368</xdr:rowOff>
    </xdr:to>
    <xdr:graphicFrame macro="">
      <xdr:nvGraphicFramePr>
        <xdr:cNvPr id="643579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161925</xdr:colOff>
      <xdr:row>2</xdr:row>
      <xdr:rowOff>38100</xdr:rowOff>
    </xdr:from>
    <xdr:to>
      <xdr:col>10</xdr:col>
      <xdr:colOff>466725</xdr:colOff>
      <xdr:row>12</xdr:row>
      <xdr:rowOff>0</xdr:rowOff>
    </xdr:to>
    <xdr:graphicFrame macro="">
      <xdr:nvGraphicFramePr>
        <xdr:cNvPr id="643579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38100</xdr:colOff>
      <xdr:row>0</xdr:row>
      <xdr:rowOff>57150</xdr:rowOff>
    </xdr:from>
    <xdr:to>
      <xdr:col>4</xdr:col>
      <xdr:colOff>26673</xdr:colOff>
      <xdr:row>2</xdr:row>
      <xdr:rowOff>36383</xdr:rowOff>
    </xdr:to>
    <xdr:sp macro="" textlink="">
      <xdr:nvSpPr>
        <xdr:cNvPr id="7173" name="Rectangle 5"/>
        <xdr:cNvSpPr>
          <a:spLocks noChangeArrowheads="1"/>
        </xdr:cNvSpPr>
      </xdr:nvSpPr>
      <xdr:spPr bwMode="auto">
        <a:xfrm>
          <a:off x="133350" y="57150"/>
          <a:ext cx="4572000" cy="295275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INFORMACIÓN FINANCIERA GENERAL</a:t>
          </a:r>
        </a:p>
      </xdr:txBody>
    </xdr:sp>
    <xdr:clientData/>
  </xdr:twoCellAnchor>
  <xdr:twoCellAnchor>
    <xdr:from>
      <xdr:col>1</xdr:col>
      <xdr:colOff>180975</xdr:colOff>
      <xdr:row>0</xdr:row>
      <xdr:rowOff>66675</xdr:rowOff>
    </xdr:from>
    <xdr:to>
      <xdr:col>4</xdr:col>
      <xdr:colOff>38100</xdr:colOff>
      <xdr:row>16</xdr:row>
      <xdr:rowOff>409575</xdr:rowOff>
    </xdr:to>
    <xdr:sp macro="" textlink="">
      <xdr:nvSpPr>
        <xdr:cNvPr id="6435797" name="AutoShape 6"/>
        <xdr:cNvSpPr>
          <a:spLocks noChangeArrowheads="1"/>
        </xdr:cNvSpPr>
      </xdr:nvSpPr>
      <xdr:spPr bwMode="auto">
        <a:xfrm>
          <a:off x="228600" y="66675"/>
          <a:ext cx="4533900" cy="2695575"/>
        </a:xfrm>
        <a:prstGeom prst="roundRect">
          <a:avLst>
            <a:gd name="adj" fmla="val 1176"/>
          </a:avLst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160020</xdr:colOff>
      <xdr:row>0</xdr:row>
      <xdr:rowOff>66675</xdr:rowOff>
    </xdr:from>
    <xdr:to>
      <xdr:col>9</xdr:col>
      <xdr:colOff>9527</xdr:colOff>
      <xdr:row>1</xdr:row>
      <xdr:rowOff>150666</xdr:rowOff>
    </xdr:to>
    <xdr:sp macro="" textlink="">
      <xdr:nvSpPr>
        <xdr:cNvPr id="7175" name="Rectangle 7"/>
        <xdr:cNvSpPr>
          <a:spLocks noChangeArrowheads="1"/>
        </xdr:cNvSpPr>
      </xdr:nvSpPr>
      <xdr:spPr bwMode="auto">
        <a:xfrm>
          <a:off x="4848225" y="66675"/>
          <a:ext cx="3914775" cy="247650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EXCEDENTE</a:t>
          </a:r>
        </a:p>
      </xdr:txBody>
    </xdr:sp>
    <xdr:clientData/>
  </xdr:twoCellAnchor>
  <xdr:twoCellAnchor>
    <xdr:from>
      <xdr:col>4</xdr:col>
      <xdr:colOff>160020</xdr:colOff>
      <xdr:row>12</xdr:row>
      <xdr:rowOff>9525</xdr:rowOff>
    </xdr:from>
    <xdr:to>
      <xdr:col>9</xdr:col>
      <xdr:colOff>28584</xdr:colOff>
      <xdr:row>13</xdr:row>
      <xdr:rowOff>76679</xdr:rowOff>
    </xdr:to>
    <xdr:sp macro="" textlink="">
      <xdr:nvSpPr>
        <xdr:cNvPr id="7176" name="Rectangle 8"/>
        <xdr:cNvSpPr>
          <a:spLocks noChangeArrowheads="1"/>
        </xdr:cNvSpPr>
      </xdr:nvSpPr>
      <xdr:spPr bwMode="auto">
        <a:xfrm>
          <a:off x="4848225" y="1962150"/>
          <a:ext cx="3933825" cy="219075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GASTOS DE PERSONAL / GASTOS TOTALES</a:t>
          </a:r>
        </a:p>
      </xdr:txBody>
    </xdr:sp>
    <xdr:clientData/>
  </xdr:twoCellAnchor>
  <xdr:twoCellAnchor>
    <xdr:from>
      <xdr:col>4</xdr:col>
      <xdr:colOff>161925</xdr:colOff>
      <xdr:row>0</xdr:row>
      <xdr:rowOff>66675</xdr:rowOff>
    </xdr:from>
    <xdr:to>
      <xdr:col>9</xdr:col>
      <xdr:colOff>9525</xdr:colOff>
      <xdr:row>16</xdr:row>
      <xdr:rowOff>409575</xdr:rowOff>
    </xdr:to>
    <xdr:sp macro="" textlink="">
      <xdr:nvSpPr>
        <xdr:cNvPr id="6435800" name="AutoShape 9"/>
        <xdr:cNvSpPr>
          <a:spLocks noChangeArrowheads="1"/>
        </xdr:cNvSpPr>
      </xdr:nvSpPr>
      <xdr:spPr bwMode="auto">
        <a:xfrm>
          <a:off x="4886325" y="66675"/>
          <a:ext cx="3914775" cy="2695575"/>
        </a:xfrm>
        <a:prstGeom prst="roundRect">
          <a:avLst>
            <a:gd name="adj" fmla="val 1278"/>
          </a:avLst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161925</xdr:colOff>
      <xdr:row>2</xdr:row>
      <xdr:rowOff>0</xdr:rowOff>
    </xdr:from>
    <xdr:to>
      <xdr:col>22</xdr:col>
      <xdr:colOff>457200</xdr:colOff>
      <xdr:row>17</xdr:row>
      <xdr:rowOff>114300</xdr:rowOff>
    </xdr:to>
    <xdr:graphicFrame macro="">
      <xdr:nvGraphicFramePr>
        <xdr:cNvPr id="643580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142875</xdr:colOff>
      <xdr:row>0</xdr:row>
      <xdr:rowOff>76200</xdr:rowOff>
    </xdr:from>
    <xdr:to>
      <xdr:col>13</xdr:col>
      <xdr:colOff>558200</xdr:colOff>
      <xdr:row>2</xdr:row>
      <xdr:rowOff>26719</xdr:rowOff>
    </xdr:to>
    <xdr:sp macro="" textlink="">
      <xdr:nvSpPr>
        <xdr:cNvPr id="7180" name="Rectangle 12"/>
        <xdr:cNvSpPr>
          <a:spLocks noChangeArrowheads="1"/>
        </xdr:cNvSpPr>
      </xdr:nvSpPr>
      <xdr:spPr bwMode="auto">
        <a:xfrm>
          <a:off x="8896350" y="76200"/>
          <a:ext cx="3467100" cy="266700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ESTRUCTURA GASTOS PERSONAL</a:t>
          </a:r>
        </a:p>
      </xdr:txBody>
    </xdr:sp>
    <xdr:clientData/>
  </xdr:twoCellAnchor>
  <xdr:twoCellAnchor>
    <xdr:from>
      <xdr:col>9</xdr:col>
      <xdr:colOff>123825</xdr:colOff>
      <xdr:row>0</xdr:row>
      <xdr:rowOff>76200</xdr:rowOff>
    </xdr:from>
    <xdr:to>
      <xdr:col>13</xdr:col>
      <xdr:colOff>542925</xdr:colOff>
      <xdr:row>16</xdr:row>
      <xdr:rowOff>419100</xdr:rowOff>
    </xdr:to>
    <xdr:sp macro="" textlink="">
      <xdr:nvSpPr>
        <xdr:cNvPr id="6435803" name="AutoShape 11"/>
        <xdr:cNvSpPr>
          <a:spLocks noChangeArrowheads="1"/>
        </xdr:cNvSpPr>
      </xdr:nvSpPr>
      <xdr:spPr bwMode="auto">
        <a:xfrm>
          <a:off x="8915400" y="76200"/>
          <a:ext cx="3467100" cy="2686050"/>
        </a:xfrm>
        <a:prstGeom prst="roundRect">
          <a:avLst>
            <a:gd name="adj" fmla="val 1963"/>
          </a:avLst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638175</xdr:colOff>
      <xdr:row>0</xdr:row>
      <xdr:rowOff>47625</xdr:rowOff>
    </xdr:from>
    <xdr:to>
      <xdr:col>17</xdr:col>
      <xdr:colOff>228600</xdr:colOff>
      <xdr:row>16</xdr:row>
      <xdr:rowOff>390525</xdr:rowOff>
    </xdr:to>
    <xdr:sp macro="" textlink="">
      <xdr:nvSpPr>
        <xdr:cNvPr id="6435804" name="AutoShape 14"/>
        <xdr:cNvSpPr>
          <a:spLocks noChangeArrowheads="1"/>
        </xdr:cNvSpPr>
      </xdr:nvSpPr>
      <xdr:spPr bwMode="auto">
        <a:xfrm>
          <a:off x="12477750" y="47625"/>
          <a:ext cx="2543175" cy="2714625"/>
        </a:xfrm>
        <a:prstGeom prst="roundRect">
          <a:avLst>
            <a:gd name="adj" fmla="val 1963"/>
          </a:avLst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634365</xdr:colOff>
      <xdr:row>0</xdr:row>
      <xdr:rowOff>66675</xdr:rowOff>
    </xdr:from>
    <xdr:to>
      <xdr:col>17</xdr:col>
      <xdr:colOff>217174</xdr:colOff>
      <xdr:row>2</xdr:row>
      <xdr:rowOff>0</xdr:rowOff>
    </xdr:to>
    <xdr:sp macro="" textlink="">
      <xdr:nvSpPr>
        <xdr:cNvPr id="7183" name="Rectangle 15"/>
        <xdr:cNvSpPr>
          <a:spLocks noChangeArrowheads="1"/>
        </xdr:cNvSpPr>
      </xdr:nvSpPr>
      <xdr:spPr bwMode="auto">
        <a:xfrm>
          <a:off x="12439650" y="66675"/>
          <a:ext cx="2628900" cy="257175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DISTRIBUCIÓN DE HONORARIOS</a:t>
          </a:r>
        </a:p>
      </xdr:txBody>
    </xdr:sp>
    <xdr:clientData/>
  </xdr:twoCellAnchor>
  <xdr:twoCellAnchor>
    <xdr:from>
      <xdr:col>13</xdr:col>
      <xdr:colOff>114300</xdr:colOff>
      <xdr:row>1</xdr:row>
      <xdr:rowOff>104775</xdr:rowOff>
    </xdr:from>
    <xdr:to>
      <xdr:col>17</xdr:col>
      <xdr:colOff>723900</xdr:colOff>
      <xdr:row>16</xdr:row>
      <xdr:rowOff>361950</xdr:rowOff>
    </xdr:to>
    <xdr:graphicFrame macro="">
      <xdr:nvGraphicFramePr>
        <xdr:cNvPr id="6435806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352425</xdr:colOff>
      <xdr:row>20</xdr:row>
      <xdr:rowOff>9525</xdr:rowOff>
    </xdr:from>
    <xdr:to>
      <xdr:col>11</xdr:col>
      <xdr:colOff>47625</xdr:colOff>
      <xdr:row>23</xdr:row>
      <xdr:rowOff>133350</xdr:rowOff>
    </xdr:to>
    <xdr:sp macro="" textlink="">
      <xdr:nvSpPr>
        <xdr:cNvPr id="6435807" name="AutoShape 18"/>
        <xdr:cNvSpPr>
          <a:spLocks noChangeArrowheads="1"/>
        </xdr:cNvSpPr>
      </xdr:nvSpPr>
      <xdr:spPr bwMode="auto">
        <a:xfrm>
          <a:off x="9144000" y="3295650"/>
          <a:ext cx="1219200" cy="647700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447675</xdr:colOff>
      <xdr:row>20</xdr:row>
      <xdr:rowOff>47625</xdr:rowOff>
    </xdr:from>
    <xdr:to>
      <xdr:col>10</xdr:col>
      <xdr:colOff>628650</xdr:colOff>
      <xdr:row>23</xdr:row>
      <xdr:rowOff>76200</xdr:rowOff>
    </xdr:to>
    <xdr:sp macro="" textlink="">
      <xdr:nvSpPr>
        <xdr:cNvPr id="6435808" name="AutoShape 19">
          <a:hlinkClick xmlns:r="http://schemas.openxmlformats.org/officeDocument/2006/relationships" r:id="rId6"/>
        </xdr:cNvPr>
        <xdr:cNvSpPr>
          <a:spLocks noChangeArrowheads="1"/>
        </xdr:cNvSpPr>
      </xdr:nvSpPr>
      <xdr:spPr bwMode="auto">
        <a:xfrm>
          <a:off x="9239250" y="3333750"/>
          <a:ext cx="942975" cy="552450"/>
        </a:xfrm>
        <a:prstGeom prst="leftArrow">
          <a:avLst>
            <a:gd name="adj1" fmla="val 50000"/>
            <a:gd name="adj2" fmla="val 42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352425</xdr:colOff>
      <xdr:row>20</xdr:row>
      <xdr:rowOff>9525</xdr:rowOff>
    </xdr:from>
    <xdr:to>
      <xdr:col>11</xdr:col>
      <xdr:colOff>47625</xdr:colOff>
      <xdr:row>23</xdr:row>
      <xdr:rowOff>133350</xdr:rowOff>
    </xdr:to>
    <xdr:sp macro="" textlink="">
      <xdr:nvSpPr>
        <xdr:cNvPr id="6435809" name="AutoShape 18"/>
        <xdr:cNvSpPr>
          <a:spLocks noChangeArrowheads="1"/>
        </xdr:cNvSpPr>
      </xdr:nvSpPr>
      <xdr:spPr bwMode="auto">
        <a:xfrm>
          <a:off x="9144000" y="3295650"/>
          <a:ext cx="1219200" cy="647700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447675</xdr:colOff>
      <xdr:row>20</xdr:row>
      <xdr:rowOff>47625</xdr:rowOff>
    </xdr:from>
    <xdr:to>
      <xdr:col>10</xdr:col>
      <xdr:colOff>628650</xdr:colOff>
      <xdr:row>23</xdr:row>
      <xdr:rowOff>76200</xdr:rowOff>
    </xdr:to>
    <xdr:sp macro="" textlink="">
      <xdr:nvSpPr>
        <xdr:cNvPr id="6435810" name="AutoShape 19">
          <a:hlinkClick xmlns:r="http://schemas.openxmlformats.org/officeDocument/2006/relationships" r:id="rId6"/>
        </xdr:cNvPr>
        <xdr:cNvSpPr>
          <a:spLocks noChangeArrowheads="1"/>
        </xdr:cNvSpPr>
      </xdr:nvSpPr>
      <xdr:spPr bwMode="auto">
        <a:xfrm>
          <a:off x="9239250" y="3333750"/>
          <a:ext cx="942975" cy="552450"/>
        </a:xfrm>
        <a:prstGeom prst="leftArrow">
          <a:avLst>
            <a:gd name="adj1" fmla="val 50000"/>
            <a:gd name="adj2" fmla="val 42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427</xdr:row>
      <xdr:rowOff>104775</xdr:rowOff>
    </xdr:from>
    <xdr:to>
      <xdr:col>5</xdr:col>
      <xdr:colOff>628650</xdr:colOff>
      <xdr:row>427</xdr:row>
      <xdr:rowOff>104775</xdr:rowOff>
    </xdr:to>
    <xdr:sp macro="" textlink="">
      <xdr:nvSpPr>
        <xdr:cNvPr id="7365089" name="Line 1"/>
        <xdr:cNvSpPr>
          <a:spLocks noChangeShapeType="1"/>
        </xdr:cNvSpPr>
      </xdr:nvSpPr>
      <xdr:spPr bwMode="auto">
        <a:xfrm>
          <a:off x="8734425" y="75352275"/>
          <a:ext cx="1885950" cy="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427</xdr:row>
      <xdr:rowOff>95250</xdr:rowOff>
    </xdr:from>
    <xdr:to>
      <xdr:col>8</xdr:col>
      <xdr:colOff>0</xdr:colOff>
      <xdr:row>427</xdr:row>
      <xdr:rowOff>95250</xdr:rowOff>
    </xdr:to>
    <xdr:sp macro="" textlink="">
      <xdr:nvSpPr>
        <xdr:cNvPr id="7365090" name="Line 2"/>
        <xdr:cNvSpPr>
          <a:spLocks noChangeShapeType="1"/>
        </xdr:cNvSpPr>
      </xdr:nvSpPr>
      <xdr:spPr bwMode="auto">
        <a:xfrm>
          <a:off x="12592050" y="75342750"/>
          <a:ext cx="0" cy="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104775</xdr:colOff>
      <xdr:row>427</xdr:row>
      <xdr:rowOff>104775</xdr:rowOff>
    </xdr:from>
    <xdr:to>
      <xdr:col>13</xdr:col>
      <xdr:colOff>628650</xdr:colOff>
      <xdr:row>427</xdr:row>
      <xdr:rowOff>104775</xdr:rowOff>
    </xdr:to>
    <xdr:sp macro="" textlink="">
      <xdr:nvSpPr>
        <xdr:cNvPr id="7365091" name="Line 3"/>
        <xdr:cNvSpPr>
          <a:spLocks noChangeShapeType="1"/>
        </xdr:cNvSpPr>
      </xdr:nvSpPr>
      <xdr:spPr bwMode="auto">
        <a:xfrm>
          <a:off x="16487775" y="75352275"/>
          <a:ext cx="1400175" cy="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104775</xdr:colOff>
      <xdr:row>427</xdr:row>
      <xdr:rowOff>104775</xdr:rowOff>
    </xdr:from>
    <xdr:to>
      <xdr:col>21</xdr:col>
      <xdr:colOff>628650</xdr:colOff>
      <xdr:row>427</xdr:row>
      <xdr:rowOff>104775</xdr:rowOff>
    </xdr:to>
    <xdr:sp macro="" textlink="">
      <xdr:nvSpPr>
        <xdr:cNvPr id="7365092" name="Line 4"/>
        <xdr:cNvSpPr>
          <a:spLocks noChangeShapeType="1"/>
        </xdr:cNvSpPr>
      </xdr:nvSpPr>
      <xdr:spPr bwMode="auto">
        <a:xfrm>
          <a:off x="26298525" y="75352275"/>
          <a:ext cx="1390650" cy="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104775</xdr:colOff>
      <xdr:row>427</xdr:row>
      <xdr:rowOff>104775</xdr:rowOff>
    </xdr:from>
    <xdr:to>
      <xdr:col>29</xdr:col>
      <xdr:colOff>628650</xdr:colOff>
      <xdr:row>427</xdr:row>
      <xdr:rowOff>104775</xdr:rowOff>
    </xdr:to>
    <xdr:sp macro="" textlink="">
      <xdr:nvSpPr>
        <xdr:cNvPr id="7365093" name="Line 5"/>
        <xdr:cNvSpPr>
          <a:spLocks noChangeShapeType="1"/>
        </xdr:cNvSpPr>
      </xdr:nvSpPr>
      <xdr:spPr bwMode="auto">
        <a:xfrm>
          <a:off x="36071175" y="75352275"/>
          <a:ext cx="1390650" cy="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104775</xdr:colOff>
      <xdr:row>427</xdr:row>
      <xdr:rowOff>104775</xdr:rowOff>
    </xdr:from>
    <xdr:to>
      <xdr:col>37</xdr:col>
      <xdr:colOff>628650</xdr:colOff>
      <xdr:row>427</xdr:row>
      <xdr:rowOff>104775</xdr:rowOff>
    </xdr:to>
    <xdr:sp macro="" textlink="">
      <xdr:nvSpPr>
        <xdr:cNvPr id="7365094" name="Line 6"/>
        <xdr:cNvSpPr>
          <a:spLocks noChangeShapeType="1"/>
        </xdr:cNvSpPr>
      </xdr:nvSpPr>
      <xdr:spPr bwMode="auto">
        <a:xfrm>
          <a:off x="45843825" y="75352275"/>
          <a:ext cx="1390650" cy="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104775</xdr:colOff>
      <xdr:row>427</xdr:row>
      <xdr:rowOff>104775</xdr:rowOff>
    </xdr:from>
    <xdr:to>
      <xdr:col>45</xdr:col>
      <xdr:colOff>628650</xdr:colOff>
      <xdr:row>427</xdr:row>
      <xdr:rowOff>104775</xdr:rowOff>
    </xdr:to>
    <xdr:sp macro="" textlink="">
      <xdr:nvSpPr>
        <xdr:cNvPr id="7365095" name="Line 7"/>
        <xdr:cNvSpPr>
          <a:spLocks noChangeShapeType="1"/>
        </xdr:cNvSpPr>
      </xdr:nvSpPr>
      <xdr:spPr bwMode="auto">
        <a:xfrm>
          <a:off x="55616475" y="75352275"/>
          <a:ext cx="1390650" cy="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123826</xdr:rowOff>
    </xdr:from>
    <xdr:to>
      <xdr:col>1</xdr:col>
      <xdr:colOff>1023937</xdr:colOff>
      <xdr:row>16</xdr:row>
      <xdr:rowOff>142875</xdr:rowOff>
    </xdr:to>
    <xdr:graphicFrame macro="">
      <xdr:nvGraphicFramePr>
        <xdr:cNvPr id="736509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10</xdr:row>
      <xdr:rowOff>85725</xdr:rowOff>
    </xdr:from>
    <xdr:to>
      <xdr:col>8</xdr:col>
      <xdr:colOff>609600</xdr:colOff>
      <xdr:row>17</xdr:row>
      <xdr:rowOff>85725</xdr:rowOff>
    </xdr:to>
    <xdr:graphicFrame macro="">
      <xdr:nvGraphicFramePr>
        <xdr:cNvPr id="736509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2</xdr:row>
      <xdr:rowOff>38100</xdr:rowOff>
    </xdr:from>
    <xdr:to>
      <xdr:col>4</xdr:col>
      <xdr:colOff>1447800</xdr:colOff>
      <xdr:row>12</xdr:row>
      <xdr:rowOff>0</xdr:rowOff>
    </xdr:to>
    <xdr:graphicFrame macro="">
      <xdr:nvGraphicFramePr>
        <xdr:cNvPr id="736509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107950</xdr:rowOff>
    </xdr:from>
    <xdr:to>
      <xdr:col>1</xdr:col>
      <xdr:colOff>784812</xdr:colOff>
      <xdr:row>2</xdr:row>
      <xdr:rowOff>79375</xdr:rowOff>
    </xdr:to>
    <xdr:sp macro="" textlink="">
      <xdr:nvSpPr>
        <xdr:cNvPr id="51211" name="Rectangle 11"/>
        <xdr:cNvSpPr>
          <a:spLocks noChangeArrowheads="1"/>
        </xdr:cNvSpPr>
      </xdr:nvSpPr>
      <xdr:spPr bwMode="auto">
        <a:xfrm>
          <a:off x="50800" y="107950"/>
          <a:ext cx="4006850" cy="301625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INFORMACIÓN FINANCIERA GENERAL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1152525</xdr:colOff>
      <xdr:row>16</xdr:row>
      <xdr:rowOff>457200</xdr:rowOff>
    </xdr:to>
    <xdr:sp macro="" textlink="">
      <xdr:nvSpPr>
        <xdr:cNvPr id="7365100" name="AutoShape 12"/>
        <xdr:cNvSpPr>
          <a:spLocks noChangeArrowheads="1"/>
        </xdr:cNvSpPr>
      </xdr:nvSpPr>
      <xdr:spPr bwMode="auto">
        <a:xfrm>
          <a:off x="47625" y="0"/>
          <a:ext cx="4667250" cy="3048000"/>
        </a:xfrm>
        <a:prstGeom prst="roundRect">
          <a:avLst>
            <a:gd name="adj" fmla="val 1176"/>
          </a:avLst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114300</xdr:colOff>
      <xdr:row>0</xdr:row>
      <xdr:rowOff>66675</xdr:rowOff>
    </xdr:from>
    <xdr:to>
      <xdr:col>4</xdr:col>
      <xdr:colOff>651534</xdr:colOff>
      <xdr:row>1</xdr:row>
      <xdr:rowOff>150430</xdr:rowOff>
    </xdr:to>
    <xdr:sp macro="" textlink="">
      <xdr:nvSpPr>
        <xdr:cNvPr id="51213" name="Rectangle 13"/>
        <xdr:cNvSpPr>
          <a:spLocks noChangeArrowheads="1"/>
        </xdr:cNvSpPr>
      </xdr:nvSpPr>
      <xdr:spPr bwMode="auto">
        <a:xfrm>
          <a:off x="4210050" y="66675"/>
          <a:ext cx="4276725" cy="247650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EXCEDENTE</a:t>
          </a:r>
        </a:p>
      </xdr:txBody>
    </xdr:sp>
    <xdr:clientData/>
  </xdr:twoCellAnchor>
  <xdr:twoCellAnchor>
    <xdr:from>
      <xdr:col>2</xdr:col>
      <xdr:colOff>114300</xdr:colOff>
      <xdr:row>12</xdr:row>
      <xdr:rowOff>19050</xdr:rowOff>
    </xdr:from>
    <xdr:to>
      <xdr:col>4</xdr:col>
      <xdr:colOff>662939</xdr:colOff>
      <xdr:row>13</xdr:row>
      <xdr:rowOff>76200</xdr:rowOff>
    </xdr:to>
    <xdr:sp macro="" textlink="">
      <xdr:nvSpPr>
        <xdr:cNvPr id="51214" name="Rectangle 14"/>
        <xdr:cNvSpPr>
          <a:spLocks noChangeArrowheads="1"/>
        </xdr:cNvSpPr>
      </xdr:nvSpPr>
      <xdr:spPr bwMode="auto">
        <a:xfrm>
          <a:off x="4210050" y="1962150"/>
          <a:ext cx="4295775" cy="219075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GASTOS DE PERSONAL / GASTOS TOTALES</a:t>
          </a:r>
        </a:p>
      </xdr:txBody>
    </xdr:sp>
    <xdr:clientData/>
  </xdr:twoCellAnchor>
  <xdr:twoCellAnchor>
    <xdr:from>
      <xdr:col>2</xdr:col>
      <xdr:colOff>114300</xdr:colOff>
      <xdr:row>0</xdr:row>
      <xdr:rowOff>66675</xdr:rowOff>
    </xdr:from>
    <xdr:to>
      <xdr:col>4</xdr:col>
      <xdr:colOff>647700</xdr:colOff>
      <xdr:row>16</xdr:row>
      <xdr:rowOff>409575</xdr:rowOff>
    </xdr:to>
    <xdr:sp macro="" textlink="">
      <xdr:nvSpPr>
        <xdr:cNvPr id="7365103" name="AutoShape 15"/>
        <xdr:cNvSpPr>
          <a:spLocks noChangeArrowheads="1"/>
        </xdr:cNvSpPr>
      </xdr:nvSpPr>
      <xdr:spPr bwMode="auto">
        <a:xfrm>
          <a:off x="5000625" y="66675"/>
          <a:ext cx="4276725" cy="2933700"/>
        </a:xfrm>
        <a:prstGeom prst="roundRect">
          <a:avLst>
            <a:gd name="adj" fmla="val 1278"/>
          </a:avLst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723900</xdr:colOff>
      <xdr:row>0</xdr:row>
      <xdr:rowOff>66675</xdr:rowOff>
    </xdr:from>
    <xdr:to>
      <xdr:col>8</xdr:col>
      <xdr:colOff>409575</xdr:colOff>
      <xdr:row>16</xdr:row>
      <xdr:rowOff>409575</xdr:rowOff>
    </xdr:to>
    <xdr:sp macro="" textlink="">
      <xdr:nvSpPr>
        <xdr:cNvPr id="7365104" name="AutoShape 17"/>
        <xdr:cNvSpPr>
          <a:spLocks noChangeArrowheads="1"/>
        </xdr:cNvSpPr>
      </xdr:nvSpPr>
      <xdr:spPr bwMode="auto">
        <a:xfrm>
          <a:off x="9353550" y="66675"/>
          <a:ext cx="3648075" cy="2933700"/>
        </a:xfrm>
        <a:prstGeom prst="roundRect">
          <a:avLst>
            <a:gd name="adj" fmla="val 1963"/>
          </a:avLst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729615</xdr:colOff>
      <xdr:row>0</xdr:row>
      <xdr:rowOff>66675</xdr:rowOff>
    </xdr:from>
    <xdr:to>
      <xdr:col>8</xdr:col>
      <xdr:colOff>417177</xdr:colOff>
      <xdr:row>2</xdr:row>
      <xdr:rowOff>1938</xdr:rowOff>
    </xdr:to>
    <xdr:sp macro="" textlink="">
      <xdr:nvSpPr>
        <xdr:cNvPr id="51218" name="Rectangle 18"/>
        <xdr:cNvSpPr>
          <a:spLocks noChangeArrowheads="1"/>
        </xdr:cNvSpPr>
      </xdr:nvSpPr>
      <xdr:spPr bwMode="auto">
        <a:xfrm>
          <a:off x="8572500" y="66675"/>
          <a:ext cx="3648075" cy="266700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ESTRUCTURA GASTOS PERSONAL</a:t>
          </a:r>
        </a:p>
      </xdr:txBody>
    </xdr:sp>
    <xdr:clientData/>
  </xdr:twoCellAnchor>
  <xdr:twoCellAnchor>
    <xdr:from>
      <xdr:col>8</xdr:col>
      <xdr:colOff>485775</xdr:colOff>
      <xdr:row>0</xdr:row>
      <xdr:rowOff>76200</xdr:rowOff>
    </xdr:from>
    <xdr:to>
      <xdr:col>11</xdr:col>
      <xdr:colOff>904875</xdr:colOff>
      <xdr:row>16</xdr:row>
      <xdr:rowOff>419100</xdr:rowOff>
    </xdr:to>
    <xdr:sp macro="" textlink="">
      <xdr:nvSpPr>
        <xdr:cNvPr id="7365106" name="AutoShape 19"/>
        <xdr:cNvSpPr>
          <a:spLocks noChangeArrowheads="1"/>
        </xdr:cNvSpPr>
      </xdr:nvSpPr>
      <xdr:spPr bwMode="auto">
        <a:xfrm>
          <a:off x="13077825" y="76200"/>
          <a:ext cx="2895600" cy="2933700"/>
        </a:xfrm>
        <a:prstGeom prst="roundRect">
          <a:avLst>
            <a:gd name="adj" fmla="val 1963"/>
          </a:avLst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466725</xdr:colOff>
      <xdr:row>2</xdr:row>
      <xdr:rowOff>9525</xdr:rowOff>
    </xdr:from>
    <xdr:to>
      <xdr:col>12</xdr:col>
      <xdr:colOff>342900</xdr:colOff>
      <xdr:row>16</xdr:row>
      <xdr:rowOff>428625</xdr:rowOff>
    </xdr:to>
    <xdr:graphicFrame macro="">
      <xdr:nvGraphicFramePr>
        <xdr:cNvPr id="736510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491490</xdr:colOff>
      <xdr:row>0</xdr:row>
      <xdr:rowOff>76200</xdr:rowOff>
    </xdr:from>
    <xdr:to>
      <xdr:col>11</xdr:col>
      <xdr:colOff>916321</xdr:colOff>
      <xdr:row>2</xdr:row>
      <xdr:rowOff>1991</xdr:rowOff>
    </xdr:to>
    <xdr:sp macro="" textlink="">
      <xdr:nvSpPr>
        <xdr:cNvPr id="51225" name="Rectangle 25"/>
        <xdr:cNvSpPr>
          <a:spLocks noChangeArrowheads="1"/>
        </xdr:cNvSpPr>
      </xdr:nvSpPr>
      <xdr:spPr bwMode="auto">
        <a:xfrm>
          <a:off x="12296775" y="76200"/>
          <a:ext cx="2886075" cy="257175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DISTRIBUCIÓN DE HONORARIOS</a:t>
          </a:r>
        </a:p>
      </xdr:txBody>
    </xdr:sp>
    <xdr:clientData/>
  </xdr:twoCellAnchor>
  <xdr:twoCellAnchor>
    <xdr:from>
      <xdr:col>4</xdr:col>
      <xdr:colOff>609600</xdr:colOff>
      <xdr:row>2</xdr:row>
      <xdr:rowOff>38100</xdr:rowOff>
    </xdr:from>
    <xdr:to>
      <xdr:col>12</xdr:col>
      <xdr:colOff>371475</xdr:colOff>
      <xdr:row>16</xdr:row>
      <xdr:rowOff>200025</xdr:rowOff>
    </xdr:to>
    <xdr:graphicFrame macro="">
      <xdr:nvGraphicFramePr>
        <xdr:cNvPr id="7365109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409575</xdr:colOff>
      <xdr:row>20</xdr:row>
      <xdr:rowOff>38100</xdr:rowOff>
    </xdr:from>
    <xdr:to>
      <xdr:col>9</xdr:col>
      <xdr:colOff>142875</xdr:colOff>
      <xdr:row>23</xdr:row>
      <xdr:rowOff>152400</xdr:rowOff>
    </xdr:to>
    <xdr:sp macro="" textlink="">
      <xdr:nvSpPr>
        <xdr:cNvPr id="7365110" name="AutoShape 29"/>
        <xdr:cNvSpPr>
          <a:spLocks noChangeArrowheads="1"/>
        </xdr:cNvSpPr>
      </xdr:nvSpPr>
      <xdr:spPr bwMode="auto">
        <a:xfrm>
          <a:off x="12446794" y="3752850"/>
          <a:ext cx="1221581" cy="697706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485775</xdr:colOff>
      <xdr:row>20</xdr:row>
      <xdr:rowOff>85725</xdr:rowOff>
    </xdr:from>
    <xdr:to>
      <xdr:col>8</xdr:col>
      <xdr:colOff>885825</xdr:colOff>
      <xdr:row>23</xdr:row>
      <xdr:rowOff>104775</xdr:rowOff>
    </xdr:to>
    <xdr:sp macro="" textlink="">
      <xdr:nvSpPr>
        <xdr:cNvPr id="7365111" name="AutoShape 30">
          <a:hlinkClick xmlns:r="http://schemas.openxmlformats.org/officeDocument/2006/relationships" r:id="rId6"/>
        </xdr:cNvPr>
        <xdr:cNvSpPr>
          <a:spLocks noChangeArrowheads="1"/>
        </xdr:cNvSpPr>
      </xdr:nvSpPr>
      <xdr:spPr bwMode="auto">
        <a:xfrm>
          <a:off x="12534900" y="3724275"/>
          <a:ext cx="942975" cy="609600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104775</xdr:colOff>
      <xdr:row>102</xdr:row>
      <xdr:rowOff>104775</xdr:rowOff>
    </xdr:from>
    <xdr:to>
      <xdr:col>2</xdr:col>
      <xdr:colOff>628650</xdr:colOff>
      <xdr:row>102</xdr:row>
      <xdr:rowOff>104775</xdr:rowOff>
    </xdr:to>
    <xdr:sp macro="" textlink="">
      <xdr:nvSpPr>
        <xdr:cNvPr id="7365112" name="Line 1"/>
        <xdr:cNvSpPr>
          <a:spLocks noChangeShapeType="1"/>
        </xdr:cNvSpPr>
      </xdr:nvSpPr>
      <xdr:spPr bwMode="auto">
        <a:xfrm>
          <a:off x="3667125" y="10172700"/>
          <a:ext cx="1847850" cy="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102</xdr:row>
      <xdr:rowOff>95250</xdr:rowOff>
    </xdr:from>
    <xdr:to>
      <xdr:col>8</xdr:col>
      <xdr:colOff>0</xdr:colOff>
      <xdr:row>102</xdr:row>
      <xdr:rowOff>95250</xdr:rowOff>
    </xdr:to>
    <xdr:sp macro="" textlink="">
      <xdr:nvSpPr>
        <xdr:cNvPr id="7365113" name="Line 2"/>
        <xdr:cNvSpPr>
          <a:spLocks noChangeShapeType="1"/>
        </xdr:cNvSpPr>
      </xdr:nvSpPr>
      <xdr:spPr bwMode="auto">
        <a:xfrm>
          <a:off x="12592050" y="10163175"/>
          <a:ext cx="0" cy="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104775</xdr:colOff>
      <xdr:row>102</xdr:row>
      <xdr:rowOff>104775</xdr:rowOff>
    </xdr:from>
    <xdr:to>
      <xdr:col>21</xdr:col>
      <xdr:colOff>628650</xdr:colOff>
      <xdr:row>102</xdr:row>
      <xdr:rowOff>104775</xdr:rowOff>
    </xdr:to>
    <xdr:sp macro="" textlink="">
      <xdr:nvSpPr>
        <xdr:cNvPr id="7365115" name="Line 4"/>
        <xdr:cNvSpPr>
          <a:spLocks noChangeShapeType="1"/>
        </xdr:cNvSpPr>
      </xdr:nvSpPr>
      <xdr:spPr bwMode="auto">
        <a:xfrm>
          <a:off x="26298525" y="10172700"/>
          <a:ext cx="1390650" cy="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104775</xdr:colOff>
      <xdr:row>102</xdr:row>
      <xdr:rowOff>104775</xdr:rowOff>
    </xdr:from>
    <xdr:to>
      <xdr:col>29</xdr:col>
      <xdr:colOff>628650</xdr:colOff>
      <xdr:row>102</xdr:row>
      <xdr:rowOff>104775</xdr:rowOff>
    </xdr:to>
    <xdr:sp macro="" textlink="">
      <xdr:nvSpPr>
        <xdr:cNvPr id="7365116" name="Line 5"/>
        <xdr:cNvSpPr>
          <a:spLocks noChangeShapeType="1"/>
        </xdr:cNvSpPr>
      </xdr:nvSpPr>
      <xdr:spPr bwMode="auto">
        <a:xfrm>
          <a:off x="36071175" y="10172700"/>
          <a:ext cx="1390650" cy="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104775</xdr:colOff>
      <xdr:row>102</xdr:row>
      <xdr:rowOff>104775</xdr:rowOff>
    </xdr:from>
    <xdr:to>
      <xdr:col>37</xdr:col>
      <xdr:colOff>628650</xdr:colOff>
      <xdr:row>102</xdr:row>
      <xdr:rowOff>104775</xdr:rowOff>
    </xdr:to>
    <xdr:sp macro="" textlink="">
      <xdr:nvSpPr>
        <xdr:cNvPr id="7365117" name="Line 6"/>
        <xdr:cNvSpPr>
          <a:spLocks noChangeShapeType="1"/>
        </xdr:cNvSpPr>
      </xdr:nvSpPr>
      <xdr:spPr bwMode="auto">
        <a:xfrm>
          <a:off x="45843825" y="10172700"/>
          <a:ext cx="1390650" cy="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104775</xdr:colOff>
      <xdr:row>102</xdr:row>
      <xdr:rowOff>104775</xdr:rowOff>
    </xdr:from>
    <xdr:to>
      <xdr:col>45</xdr:col>
      <xdr:colOff>628650</xdr:colOff>
      <xdr:row>102</xdr:row>
      <xdr:rowOff>104775</xdr:rowOff>
    </xdr:to>
    <xdr:sp macro="" textlink="">
      <xdr:nvSpPr>
        <xdr:cNvPr id="7365118" name="Line 7"/>
        <xdr:cNvSpPr>
          <a:spLocks noChangeShapeType="1"/>
        </xdr:cNvSpPr>
      </xdr:nvSpPr>
      <xdr:spPr bwMode="auto">
        <a:xfrm>
          <a:off x="55616475" y="10172700"/>
          <a:ext cx="1390650" cy="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000000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000000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  <pageSetUpPr fitToPage="1"/>
  </sheetPr>
  <dimension ref="A1:F37"/>
  <sheetViews>
    <sheetView zoomScale="95" workbookViewId="0">
      <selection activeCell="B9" sqref="B9"/>
    </sheetView>
  </sheetViews>
  <sheetFormatPr baseColWidth="10" defaultRowHeight="12.75" x14ac:dyDescent="0.2"/>
  <cols>
    <col min="1" max="1" width="1.7109375" style="5" customWidth="1"/>
    <col min="2" max="2" width="29.7109375" style="71" bestFit="1" customWidth="1"/>
    <col min="3" max="3" width="110.42578125" style="71" customWidth="1"/>
    <col min="4" max="4" width="3" style="71" customWidth="1"/>
    <col min="5" max="16384" width="11.42578125" style="71"/>
  </cols>
  <sheetData>
    <row r="1" spans="1:6" x14ac:dyDescent="0.2">
      <c r="B1" s="72"/>
      <c r="C1" s="72"/>
      <c r="D1" s="5"/>
      <c r="E1" s="5"/>
      <c r="F1" s="5"/>
    </row>
    <row r="2" spans="1:6" x14ac:dyDescent="0.2">
      <c r="B2" s="72"/>
      <c r="C2" s="72"/>
      <c r="D2" s="5"/>
      <c r="E2" s="5"/>
      <c r="F2" s="5"/>
    </row>
    <row r="3" spans="1:6" x14ac:dyDescent="0.2">
      <c r="B3" s="72"/>
      <c r="C3" s="72"/>
      <c r="D3" s="5"/>
      <c r="E3" s="5"/>
      <c r="F3" s="5"/>
    </row>
    <row r="4" spans="1:6" x14ac:dyDescent="0.2">
      <c r="B4" s="72"/>
      <c r="C4" s="72"/>
      <c r="D4" s="5"/>
      <c r="E4" s="5"/>
      <c r="F4" s="5"/>
    </row>
    <row r="5" spans="1:6" x14ac:dyDescent="0.2">
      <c r="B5" s="72"/>
      <c r="C5" s="72"/>
      <c r="D5" s="5"/>
      <c r="E5" s="5"/>
      <c r="F5" s="5"/>
    </row>
    <row r="6" spans="1:6" s="171" customFormat="1" x14ac:dyDescent="0.2">
      <c r="A6" s="5"/>
      <c r="B6" s="5"/>
      <c r="C6" s="5"/>
      <c r="D6" s="5"/>
      <c r="E6" s="5"/>
      <c r="F6" s="5"/>
    </row>
    <row r="7" spans="1:6" s="171" customFormat="1" ht="13.5" thickBot="1" x14ac:dyDescent="0.25">
      <c r="A7" s="5"/>
      <c r="B7" s="5"/>
      <c r="C7" s="5"/>
      <c r="D7" s="5"/>
      <c r="E7" s="5"/>
      <c r="F7" s="5"/>
    </row>
    <row r="8" spans="1:6" ht="21" thickBot="1" x14ac:dyDescent="0.35">
      <c r="B8" s="73" t="s">
        <v>241</v>
      </c>
      <c r="C8" s="74"/>
      <c r="D8" s="5"/>
      <c r="E8" s="5"/>
      <c r="F8" s="5"/>
    </row>
    <row r="9" spans="1:6" s="75" customFormat="1" ht="45.6" customHeight="1" thickBot="1" x14ac:dyDescent="0.25">
      <c r="A9" s="170"/>
      <c r="B9" s="256" t="s">
        <v>138</v>
      </c>
      <c r="C9" s="476" t="s">
        <v>877</v>
      </c>
      <c r="D9" s="170"/>
      <c r="E9" s="170"/>
      <c r="F9" s="170"/>
    </row>
    <row r="10" spans="1:6" s="75" customFormat="1" ht="19.5" customHeight="1" thickBot="1" x14ac:dyDescent="0.25">
      <c r="A10" s="170"/>
      <c r="B10" s="810" t="s">
        <v>844</v>
      </c>
      <c r="C10" s="476" t="s">
        <v>870</v>
      </c>
      <c r="D10" s="170"/>
      <c r="E10" s="170"/>
      <c r="F10" s="170"/>
    </row>
    <row r="11" spans="1:6" s="75" customFormat="1" ht="29.25" customHeight="1" thickBot="1" x14ac:dyDescent="0.25">
      <c r="A11" s="170"/>
      <c r="B11" s="810" t="s">
        <v>845</v>
      </c>
      <c r="C11" s="476" t="s">
        <v>871</v>
      </c>
      <c r="D11" s="170"/>
      <c r="E11" s="170"/>
      <c r="F11" s="170"/>
    </row>
    <row r="12" spans="1:6" s="75" customFormat="1" ht="24.95" customHeight="1" thickBot="1" x14ac:dyDescent="0.25">
      <c r="A12" s="170"/>
      <c r="B12" s="256" t="s">
        <v>242</v>
      </c>
      <c r="C12" s="476" t="s">
        <v>876</v>
      </c>
      <c r="D12" s="170"/>
      <c r="E12" s="170"/>
      <c r="F12" s="170"/>
    </row>
    <row r="13" spans="1:6" s="75" customFormat="1" ht="24.95" customHeight="1" thickBot="1" x14ac:dyDescent="0.25">
      <c r="A13" s="170"/>
      <c r="B13" s="583" t="s">
        <v>243</v>
      </c>
      <c r="C13" s="484" t="s">
        <v>661</v>
      </c>
      <c r="D13" s="170"/>
      <c r="E13" s="170"/>
      <c r="F13" s="170"/>
    </row>
    <row r="14" spans="1:6" s="75" customFormat="1" ht="159.75" customHeight="1" thickBot="1" x14ac:dyDescent="0.25">
      <c r="A14" s="170"/>
      <c r="B14" s="584" t="s">
        <v>282</v>
      </c>
      <c r="C14" s="484" t="s">
        <v>850</v>
      </c>
      <c r="D14" s="170"/>
      <c r="E14" s="170"/>
      <c r="F14" s="170"/>
    </row>
    <row r="15" spans="1:6" s="75" customFormat="1" ht="24.95" customHeight="1" thickBot="1" x14ac:dyDescent="0.25">
      <c r="A15" s="170"/>
      <c r="B15" s="257" t="s">
        <v>83</v>
      </c>
      <c r="C15" s="484" t="s">
        <v>851</v>
      </c>
      <c r="D15" s="170"/>
      <c r="E15" s="170"/>
      <c r="F15" s="170"/>
    </row>
    <row r="16" spans="1:6" s="75" customFormat="1" ht="24.95" customHeight="1" thickBot="1" x14ac:dyDescent="0.25">
      <c r="A16" s="170"/>
      <c r="B16" s="257" t="s">
        <v>280</v>
      </c>
      <c r="C16" s="484" t="s">
        <v>675</v>
      </c>
      <c r="D16" s="170"/>
      <c r="E16" s="170"/>
      <c r="F16" s="170"/>
    </row>
    <row r="17" spans="1:6" s="75" customFormat="1" ht="24.95" customHeight="1" thickBot="1" x14ac:dyDescent="0.25">
      <c r="A17" s="170"/>
      <c r="B17" s="808" t="s">
        <v>676</v>
      </c>
      <c r="C17" s="484" t="s">
        <v>872</v>
      </c>
      <c r="D17" s="170"/>
      <c r="E17" s="170"/>
      <c r="F17" s="170"/>
    </row>
    <row r="18" spans="1:6" s="75" customFormat="1" ht="24.95" customHeight="1" thickBot="1" x14ac:dyDescent="0.25">
      <c r="A18" s="170"/>
      <c r="B18" s="809" t="s">
        <v>677</v>
      </c>
      <c r="C18" s="522" t="s">
        <v>873</v>
      </c>
      <c r="D18" s="170"/>
      <c r="E18" s="170"/>
      <c r="F18" s="170"/>
    </row>
    <row r="19" spans="1:6" s="75" customFormat="1" ht="24.95" customHeight="1" thickBot="1" x14ac:dyDescent="0.25">
      <c r="A19" s="170"/>
      <c r="B19" s="809" t="s">
        <v>678</v>
      </c>
      <c r="C19" s="522" t="s">
        <v>846</v>
      </c>
      <c r="D19" s="170"/>
      <c r="E19" s="170"/>
      <c r="F19" s="170"/>
    </row>
    <row r="20" spans="1:6" s="75" customFormat="1" ht="24.95" customHeight="1" thickBot="1" x14ac:dyDescent="0.25">
      <c r="A20" s="170"/>
      <c r="B20" s="809" t="s">
        <v>667</v>
      </c>
      <c r="C20" s="522" t="s">
        <v>847</v>
      </c>
      <c r="D20" s="170"/>
      <c r="E20" s="170"/>
      <c r="F20" s="170"/>
    </row>
    <row r="21" spans="1:6" s="75" customFormat="1" ht="26.25" customHeight="1" thickBot="1" x14ac:dyDescent="0.25">
      <c r="A21" s="170"/>
      <c r="B21" s="809" t="s">
        <v>849</v>
      </c>
      <c r="C21" s="522" t="s">
        <v>848</v>
      </c>
      <c r="D21" s="170"/>
      <c r="E21" s="170"/>
      <c r="F21" s="170"/>
    </row>
    <row r="22" spans="1:6" x14ac:dyDescent="0.2">
      <c r="B22" s="5"/>
      <c r="C22" s="5"/>
      <c r="D22" s="5"/>
      <c r="E22" s="5"/>
      <c r="F22" s="5"/>
    </row>
    <row r="23" spans="1:6" ht="13.5" thickBot="1" x14ac:dyDescent="0.25">
      <c r="B23" s="1075" t="s">
        <v>673</v>
      </c>
      <c r="C23" s="1075"/>
      <c r="D23" s="5"/>
      <c r="E23" s="5"/>
      <c r="F23" s="5"/>
    </row>
    <row r="24" spans="1:6" x14ac:dyDescent="0.2">
      <c r="B24" s="261" t="s">
        <v>679</v>
      </c>
      <c r="C24" s="263"/>
      <c r="D24" s="5"/>
      <c r="E24" s="5"/>
      <c r="F24" s="5"/>
    </row>
    <row r="25" spans="1:6" x14ac:dyDescent="0.2">
      <c r="B25" s="260" t="s">
        <v>680</v>
      </c>
      <c r="C25" s="259"/>
      <c r="D25" s="5"/>
      <c r="E25" s="5"/>
      <c r="F25" s="5"/>
    </row>
    <row r="26" spans="1:6" x14ac:dyDescent="0.2">
      <c r="B26" s="260" t="s">
        <v>678</v>
      </c>
      <c r="C26" s="259"/>
      <c r="D26" s="5"/>
      <c r="E26" s="5"/>
      <c r="F26" s="5"/>
    </row>
    <row r="27" spans="1:6" x14ac:dyDescent="0.2">
      <c r="B27" s="260" t="s">
        <v>529</v>
      </c>
      <c r="C27" s="259"/>
      <c r="D27" s="5"/>
      <c r="E27" s="5"/>
      <c r="F27" s="5"/>
    </row>
    <row r="28" spans="1:6" x14ac:dyDescent="0.2">
      <c r="B28" s="260" t="s">
        <v>93</v>
      </c>
      <c r="C28" s="259"/>
      <c r="D28" s="5"/>
      <c r="E28" s="5"/>
      <c r="F28" s="5"/>
    </row>
    <row r="29" spans="1:6" x14ac:dyDescent="0.2">
      <c r="B29" s="258" t="s">
        <v>244</v>
      </c>
      <c r="C29" s="259"/>
      <c r="D29" s="5"/>
      <c r="E29" s="5"/>
      <c r="F29" s="5"/>
    </row>
    <row r="30" spans="1:6" x14ac:dyDescent="0.2">
      <c r="B30" s="260" t="s">
        <v>234</v>
      </c>
      <c r="C30" s="264"/>
      <c r="D30" s="5"/>
      <c r="E30" s="5"/>
      <c r="F30" s="5"/>
    </row>
    <row r="31" spans="1:6" x14ac:dyDescent="0.2">
      <c r="B31" s="260" t="s">
        <v>493</v>
      </c>
      <c r="C31" s="264"/>
      <c r="D31" s="5"/>
      <c r="E31" s="5"/>
      <c r="F31" s="5"/>
    </row>
    <row r="32" spans="1:6" x14ac:dyDescent="0.2">
      <c r="B32" s="260" t="s">
        <v>245</v>
      </c>
      <c r="C32" s="264"/>
      <c r="D32" s="5"/>
      <c r="E32" s="5"/>
      <c r="F32" s="5"/>
    </row>
    <row r="33" spans="2:6" x14ac:dyDescent="0.2">
      <c r="B33" s="258" t="s">
        <v>246</v>
      </c>
      <c r="C33" s="259"/>
      <c r="D33" s="5"/>
      <c r="E33" s="5"/>
      <c r="F33" s="5"/>
    </row>
    <row r="34" spans="2:6" x14ac:dyDescent="0.2">
      <c r="B34" s="260" t="s">
        <v>247</v>
      </c>
      <c r="C34" s="264"/>
      <c r="D34" s="5"/>
      <c r="E34" s="5"/>
      <c r="F34" s="5"/>
    </row>
    <row r="35" spans="2:6" ht="13.5" thickBot="1" x14ac:dyDescent="0.25">
      <c r="B35" s="262" t="s">
        <v>248</v>
      </c>
      <c r="C35" s="265"/>
      <c r="D35" s="5"/>
      <c r="E35" s="5"/>
      <c r="F35" s="5"/>
    </row>
    <row r="36" spans="2:6" x14ac:dyDescent="0.2">
      <c r="B36" s="5"/>
      <c r="C36" s="5"/>
      <c r="D36" s="5"/>
      <c r="E36" s="5"/>
      <c r="F36" s="5"/>
    </row>
    <row r="37" spans="2:6" x14ac:dyDescent="0.2">
      <c r="B37" s="5"/>
      <c r="C37" s="5"/>
      <c r="D37" s="5"/>
      <c r="E37" s="5"/>
      <c r="F37" s="5"/>
    </row>
  </sheetData>
  <mergeCells count="1">
    <mergeCell ref="B23:C23"/>
  </mergeCells>
  <phoneticPr fontId="27" type="noConversion"/>
  <hyperlinks>
    <hyperlink ref="B29:C29" location="AFILIACIONES!A1" display="Afiliaciones"/>
    <hyperlink ref="B33:C33" location="INVER.OTROS.EQUIPOS!A1" display="Inversión otros equipos"/>
    <hyperlink ref="B9" location="PRESUPUESTO!A1" display="Presupuesto"/>
    <hyperlink ref="B12" location="ALUMNOS!A1" display="Alumnos"/>
    <hyperlink ref="B13" location="MAT.!A1" display="Matrículas"/>
    <hyperlink ref="B15" location="HONORARIOS!A1" display="Honorarios"/>
    <hyperlink ref="B16" location="CONVENIOS!A1" display="Convenios"/>
    <hyperlink ref="B17" location="EDUC.CONT.!A1" display="Educacion Continuada"/>
    <hyperlink ref="B24" location="'PROY INVEST.'!A1" display="Proyectos de Investigacion"/>
    <hyperlink ref="B25" location="P.PROY.SOCIAL!A1" display="Proyectos con Proyeccion social"/>
    <hyperlink ref="B26" location="GEST.REC.HUM.!A1" display="Gastion del Recurso Humano"/>
    <hyperlink ref="B28" location="BIBLIOTECA!A1" display="Biblioteca"/>
    <hyperlink ref="B30" location="IMPRESOS.PUBLIC!A1" display="Impresos y Publicaciones"/>
    <hyperlink ref="B32" location="INVER.EQUIPO.COMP!A1" display="Inversión equipos cómputo"/>
    <hyperlink ref="B34" location="INVER.MUEBLES!A1" display="Inversión muebles y enseres"/>
    <hyperlink ref="B35" location="ADECUAC.LOCATIVAS!A1" display="Adecuaciones locativas"/>
    <hyperlink ref="B31" location="MANTEN.EQUIP.!A1" display="Mantenimiento de Equipo"/>
    <hyperlink ref="B18" location="ASESOR.Y.CONSULT.!A1" display="Asesorias y consultorias"/>
    <hyperlink ref="B20" location="'OTRAS ACTIV.'!A1" display="Otras Actividades/Eventos"/>
    <hyperlink ref="B14" location="NOMINA!A1" display="Nómina "/>
    <hyperlink ref="B19" location="GEST.REC.HUM.!Área_de_impresión" display="Gestión del Recurso Humano"/>
    <hyperlink ref="B27" location="SALIDAS!A1" display="Salidas de Campo"/>
    <hyperlink ref="B10" location="'PTO - PDI'!A1" display="PTO - PDI"/>
    <hyperlink ref="B11" location="'PTO + EC'!A1" display="PTO + EC"/>
    <hyperlink ref="B21" location="'ADICIONALES PD'!A1" display="Adicionales PD"/>
  </hyperlinks>
  <printOptions horizontalCentered="1" verticalCentered="1"/>
  <pageMargins left="0.15748031496062992" right="0.15748031496062992" top="0.98425196850393704" bottom="0.98425196850393704" header="0" footer="0"/>
  <pageSetup scale="8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shapeId="4097" r:id="rId4">
          <objectPr defaultSize="0" autoPict="0" r:id="rId5">
            <anchor moveWithCells="1" sizeWithCells="1">
              <from>
                <xdr:col>1</xdr:col>
                <xdr:colOff>0</xdr:colOff>
                <xdr:row>0</xdr:row>
                <xdr:rowOff>0</xdr:rowOff>
              </from>
              <to>
                <xdr:col>2</xdr:col>
                <xdr:colOff>1495425</xdr:colOff>
                <xdr:row>5</xdr:row>
                <xdr:rowOff>9525</xdr:rowOff>
              </to>
            </anchor>
          </objectPr>
        </oleObject>
      </mc:Choice>
      <mc:Fallback>
        <oleObject shapeId="4097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K228"/>
  <sheetViews>
    <sheetView zoomScale="80" zoomScaleNormal="80" workbookViewId="0">
      <pane xSplit="2" ySplit="26" topLeftCell="C75" activePane="bottomRight" state="frozen"/>
      <selection activeCell="K44" sqref="K44"/>
      <selection pane="topRight" activeCell="K44" sqref="K44"/>
      <selection pane="bottomLeft" activeCell="K44" sqref="K44"/>
      <selection pane="bottomRight" activeCell="D69" sqref="D69"/>
    </sheetView>
  </sheetViews>
  <sheetFormatPr baseColWidth="10" defaultRowHeight="12.75" outlineLevelRow="1" x14ac:dyDescent="0.2"/>
  <cols>
    <col min="1" max="1" width="0.7109375" style="104" customWidth="1"/>
    <col min="2" max="2" width="11.85546875" style="104" customWidth="1"/>
    <col min="3" max="3" width="24" style="104" bestFit="1" customWidth="1"/>
    <col min="4" max="4" width="34.28515625" style="104" customWidth="1"/>
    <col min="5" max="5" width="14.85546875" style="104" customWidth="1"/>
    <col min="6" max="6" width="15.7109375" style="116" customWidth="1"/>
    <col min="7" max="7" width="15.7109375" style="104" customWidth="1"/>
    <col min="8" max="8" width="4" style="106" customWidth="1"/>
    <col min="9" max="16" width="11.42578125" style="104"/>
    <col min="17" max="17" width="10" style="104" customWidth="1"/>
    <col min="18" max="18" width="11.42578125" style="104"/>
    <col min="19" max="16384" width="11.42578125" style="151"/>
  </cols>
  <sheetData>
    <row r="1" spans="1:89" s="132" customFormat="1" hidden="1" outlineLevel="1" x14ac:dyDescent="0.2">
      <c r="A1" s="76"/>
      <c r="B1" s="77"/>
      <c r="C1" s="77"/>
      <c r="D1" s="77"/>
      <c r="E1" s="77"/>
      <c r="F1" s="78"/>
      <c r="G1" s="79"/>
      <c r="H1" s="80"/>
      <c r="I1" s="77"/>
      <c r="J1" s="77"/>
      <c r="K1" s="77"/>
      <c r="L1" s="77"/>
      <c r="M1" s="77"/>
      <c r="N1" s="77"/>
      <c r="O1" s="77"/>
      <c r="P1" s="81"/>
      <c r="Q1" s="81"/>
      <c r="R1" s="81"/>
      <c r="S1" s="131"/>
      <c r="U1" s="133"/>
      <c r="V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4"/>
    </row>
    <row r="2" spans="1:89" s="141" customFormat="1" hidden="1" outlineLevel="1" x14ac:dyDescent="0.2">
      <c r="A2" s="82"/>
      <c r="B2" s="83"/>
      <c r="C2" s="83"/>
      <c r="D2" s="83"/>
      <c r="E2" s="84"/>
      <c r="F2" s="85"/>
      <c r="G2" s="86"/>
      <c r="H2" s="87"/>
      <c r="I2" s="83"/>
      <c r="J2" s="83"/>
      <c r="K2" s="83"/>
      <c r="L2" s="88"/>
      <c r="M2" s="88"/>
      <c r="N2" s="88"/>
      <c r="O2" s="83"/>
      <c r="P2" s="89"/>
      <c r="Q2" s="89"/>
      <c r="R2" s="89"/>
      <c r="S2" s="135"/>
      <c r="T2" s="136"/>
      <c r="U2" s="136"/>
      <c r="V2" s="137"/>
      <c r="W2" s="138"/>
      <c r="X2" s="137"/>
      <c r="Y2" s="137"/>
      <c r="Z2" s="137"/>
      <c r="AA2" s="137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40"/>
      <c r="CD2" s="142"/>
      <c r="CE2" s="142"/>
      <c r="CF2" s="142"/>
      <c r="CG2" s="142"/>
      <c r="CH2" s="142"/>
      <c r="CI2" s="142"/>
      <c r="CJ2" s="142"/>
      <c r="CK2" s="142"/>
    </row>
    <row r="3" spans="1:89" s="141" customFormat="1" hidden="1" outlineLevel="1" x14ac:dyDescent="0.2">
      <c r="A3" s="82"/>
      <c r="B3" s="83"/>
      <c r="C3" s="83"/>
      <c r="D3" s="83"/>
      <c r="E3" s="84"/>
      <c r="F3" s="85"/>
      <c r="G3" s="86"/>
      <c r="H3" s="87"/>
      <c r="I3" s="83"/>
      <c r="J3" s="83"/>
      <c r="K3" s="83"/>
      <c r="L3" s="88"/>
      <c r="M3" s="88"/>
      <c r="N3" s="88"/>
      <c r="O3" s="83"/>
      <c r="P3" s="89"/>
      <c r="Q3" s="89"/>
      <c r="R3" s="89"/>
      <c r="S3" s="135"/>
      <c r="T3" s="136"/>
      <c r="U3" s="136"/>
      <c r="V3" s="137"/>
      <c r="W3" s="138"/>
      <c r="X3" s="137"/>
      <c r="Y3" s="137"/>
      <c r="Z3" s="137"/>
      <c r="AA3" s="137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40"/>
      <c r="CD3" s="142"/>
      <c r="CE3" s="142"/>
      <c r="CF3" s="142"/>
      <c r="CG3" s="142"/>
      <c r="CH3" s="142"/>
      <c r="CI3" s="142"/>
      <c r="CJ3" s="142"/>
      <c r="CK3" s="142"/>
    </row>
    <row r="4" spans="1:89" s="141" customFormat="1" hidden="1" outlineLevel="1" x14ac:dyDescent="0.2">
      <c r="A4" s="82"/>
      <c r="B4" s="83"/>
      <c r="C4" s="83"/>
      <c r="D4" s="83"/>
      <c r="E4" s="84"/>
      <c r="F4" s="85"/>
      <c r="G4" s="86"/>
      <c r="H4" s="83"/>
      <c r="I4" s="83"/>
      <c r="J4" s="83"/>
      <c r="K4" s="83"/>
      <c r="L4" s="88"/>
      <c r="M4" s="88"/>
      <c r="N4" s="88"/>
      <c r="O4" s="83"/>
      <c r="P4" s="89"/>
      <c r="Q4" s="89"/>
      <c r="R4" s="89"/>
      <c r="S4" s="135"/>
      <c r="T4" s="136"/>
      <c r="U4" s="136"/>
      <c r="V4" s="137"/>
      <c r="W4" s="138"/>
      <c r="X4" s="137"/>
      <c r="Y4" s="137"/>
      <c r="Z4" s="137"/>
      <c r="AA4" s="137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40"/>
      <c r="CD4" s="142"/>
      <c r="CE4" s="142"/>
      <c r="CF4" s="142"/>
      <c r="CG4" s="142"/>
      <c r="CH4" s="142"/>
      <c r="CI4" s="142"/>
      <c r="CJ4" s="142"/>
      <c r="CK4" s="142"/>
    </row>
    <row r="5" spans="1:89" s="141" customFormat="1" hidden="1" outlineLevel="1" x14ac:dyDescent="0.2">
      <c r="A5" s="82"/>
      <c r="B5" s="83"/>
      <c r="C5" s="83"/>
      <c r="D5" s="83"/>
      <c r="E5" s="84"/>
      <c r="F5" s="85"/>
      <c r="G5" s="86"/>
      <c r="H5" s="83"/>
      <c r="I5" s="83"/>
      <c r="J5" s="83"/>
      <c r="K5" s="83"/>
      <c r="L5" s="88"/>
      <c r="M5" s="88"/>
      <c r="N5" s="88"/>
      <c r="O5" s="83"/>
      <c r="P5" s="89"/>
      <c r="Q5" s="89"/>
      <c r="R5" s="89"/>
      <c r="S5" s="135"/>
      <c r="T5" s="136"/>
      <c r="U5" s="136"/>
      <c r="V5" s="137"/>
      <c r="W5" s="138"/>
      <c r="X5" s="137"/>
      <c r="Y5" s="137"/>
      <c r="Z5" s="137"/>
      <c r="AA5" s="137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40"/>
      <c r="CD5" s="142"/>
      <c r="CE5" s="142"/>
      <c r="CF5" s="142"/>
      <c r="CG5" s="142"/>
      <c r="CH5" s="142"/>
      <c r="CI5" s="142"/>
      <c r="CJ5" s="142"/>
      <c r="CK5" s="142"/>
    </row>
    <row r="6" spans="1:89" s="141" customFormat="1" hidden="1" outlineLevel="1" x14ac:dyDescent="0.2">
      <c r="A6" s="82"/>
      <c r="B6" s="83"/>
      <c r="C6" s="83"/>
      <c r="D6" s="83"/>
      <c r="E6" s="84"/>
      <c r="F6" s="85"/>
      <c r="G6" s="86"/>
      <c r="H6" s="83"/>
      <c r="I6" s="83"/>
      <c r="J6" s="83"/>
      <c r="K6" s="83"/>
      <c r="L6" s="88"/>
      <c r="M6" s="88"/>
      <c r="N6" s="88"/>
      <c r="O6" s="83"/>
      <c r="P6" s="90"/>
      <c r="Q6" s="89"/>
      <c r="R6" s="89"/>
      <c r="S6" s="135"/>
      <c r="T6" s="136"/>
      <c r="U6" s="136"/>
      <c r="V6" s="137"/>
      <c r="W6" s="138"/>
      <c r="X6" s="137"/>
      <c r="Y6" s="137"/>
      <c r="Z6" s="137"/>
      <c r="AA6" s="137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40"/>
      <c r="CD6" s="142"/>
      <c r="CE6" s="142"/>
      <c r="CF6" s="142"/>
      <c r="CG6" s="142"/>
      <c r="CH6" s="142"/>
      <c r="CI6" s="142"/>
      <c r="CJ6" s="142"/>
      <c r="CK6" s="142"/>
    </row>
    <row r="7" spans="1:89" s="141" customFormat="1" hidden="1" outlineLevel="1" x14ac:dyDescent="0.2">
      <c r="A7" s="82"/>
      <c r="B7" s="83"/>
      <c r="C7" s="83"/>
      <c r="D7" s="83"/>
      <c r="E7" s="84"/>
      <c r="F7" s="85"/>
      <c r="G7" s="86"/>
      <c r="H7" s="83"/>
      <c r="I7" s="83"/>
      <c r="J7" s="83"/>
      <c r="K7" s="83"/>
      <c r="L7" s="88"/>
      <c r="M7" s="88"/>
      <c r="N7" s="88"/>
      <c r="O7" s="83"/>
      <c r="P7" s="89"/>
      <c r="Q7" s="89"/>
      <c r="R7" s="89"/>
      <c r="S7" s="135"/>
      <c r="T7" s="136"/>
      <c r="U7" s="136"/>
      <c r="V7" s="137"/>
      <c r="W7" s="138"/>
      <c r="X7" s="137"/>
      <c r="Y7" s="137"/>
      <c r="Z7" s="137"/>
      <c r="AA7" s="137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40"/>
      <c r="CD7" s="142"/>
      <c r="CE7" s="142"/>
      <c r="CF7" s="142"/>
      <c r="CG7" s="142"/>
      <c r="CH7" s="142"/>
      <c r="CI7" s="142"/>
      <c r="CJ7" s="142"/>
      <c r="CK7" s="142"/>
    </row>
    <row r="8" spans="1:89" s="141" customFormat="1" hidden="1" outlineLevel="1" x14ac:dyDescent="0.2">
      <c r="A8" s="82"/>
      <c r="B8" s="83"/>
      <c r="C8" s="83"/>
      <c r="D8" s="83"/>
      <c r="E8" s="84"/>
      <c r="F8" s="85"/>
      <c r="G8" s="86"/>
      <c r="H8" s="83"/>
      <c r="I8" s="83"/>
      <c r="J8" s="83"/>
      <c r="K8" s="83"/>
      <c r="L8" s="88"/>
      <c r="M8" s="88"/>
      <c r="N8" s="88"/>
      <c r="O8" s="83"/>
      <c r="P8" s="89"/>
      <c r="Q8" s="89"/>
      <c r="R8" s="89"/>
      <c r="S8" s="135"/>
      <c r="T8" s="136"/>
      <c r="U8" s="136"/>
      <c r="V8" s="137"/>
      <c r="W8" s="138"/>
      <c r="X8" s="137"/>
      <c r="Y8" s="137"/>
      <c r="Z8" s="137"/>
      <c r="AA8" s="137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40"/>
      <c r="CD8" s="142"/>
      <c r="CE8" s="142"/>
      <c r="CF8" s="142"/>
      <c r="CG8" s="142"/>
      <c r="CH8" s="142"/>
      <c r="CI8" s="142"/>
      <c r="CJ8" s="142"/>
      <c r="CK8" s="142"/>
    </row>
    <row r="9" spans="1:89" s="141" customFormat="1" hidden="1" outlineLevel="1" x14ac:dyDescent="0.2">
      <c r="A9" s="82"/>
      <c r="B9" s="83"/>
      <c r="C9" s="83"/>
      <c r="D9" s="83"/>
      <c r="E9" s="84"/>
      <c r="F9" s="85"/>
      <c r="G9" s="86"/>
      <c r="H9" s="83"/>
      <c r="I9" s="83"/>
      <c r="J9" s="83"/>
      <c r="K9" s="83"/>
      <c r="L9" s="88"/>
      <c r="M9" s="88"/>
      <c r="N9" s="88"/>
      <c r="O9" s="83"/>
      <c r="P9" s="89"/>
      <c r="Q9" s="89"/>
      <c r="R9" s="89"/>
      <c r="S9" s="135"/>
      <c r="T9" s="136"/>
      <c r="U9" s="136"/>
      <c r="V9" s="137"/>
      <c r="W9" s="138"/>
      <c r="X9" s="137"/>
      <c r="Y9" s="137"/>
      <c r="Z9" s="137"/>
      <c r="AA9" s="137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40"/>
      <c r="CD9" s="142"/>
      <c r="CE9" s="142"/>
      <c r="CF9" s="142"/>
      <c r="CG9" s="142"/>
      <c r="CH9" s="142"/>
      <c r="CI9" s="142"/>
      <c r="CJ9" s="142"/>
      <c r="CK9" s="142"/>
    </row>
    <row r="10" spans="1:89" s="141" customFormat="1" hidden="1" outlineLevel="1" x14ac:dyDescent="0.2">
      <c r="A10" s="82"/>
      <c r="B10" s="83"/>
      <c r="C10" s="83"/>
      <c r="D10" s="83"/>
      <c r="E10" s="84"/>
      <c r="F10" s="85"/>
      <c r="G10" s="86"/>
      <c r="H10" s="83"/>
      <c r="I10" s="83"/>
      <c r="J10" s="83"/>
      <c r="K10" s="83"/>
      <c r="L10" s="88"/>
      <c r="M10" s="88"/>
      <c r="N10" s="88"/>
      <c r="O10" s="83"/>
      <c r="P10" s="89"/>
      <c r="Q10" s="89"/>
      <c r="R10" s="89"/>
      <c r="S10" s="135"/>
      <c r="T10" s="136"/>
      <c r="U10" s="136"/>
      <c r="V10" s="137"/>
      <c r="W10" s="138"/>
      <c r="X10" s="137"/>
      <c r="Y10" s="137"/>
      <c r="Z10" s="137"/>
      <c r="AA10" s="137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40"/>
      <c r="CD10" s="142"/>
      <c r="CE10" s="142"/>
      <c r="CF10" s="142"/>
      <c r="CG10" s="142"/>
      <c r="CH10" s="142"/>
      <c r="CI10" s="142"/>
      <c r="CJ10" s="142"/>
      <c r="CK10" s="142"/>
    </row>
    <row r="11" spans="1:89" s="141" customFormat="1" hidden="1" outlineLevel="1" x14ac:dyDescent="0.2">
      <c r="A11" s="82"/>
      <c r="B11" s="83"/>
      <c r="C11" s="83"/>
      <c r="D11" s="83"/>
      <c r="E11" s="84"/>
      <c r="F11" s="85"/>
      <c r="G11" s="86"/>
      <c r="H11" s="83"/>
      <c r="I11" s="83"/>
      <c r="J11" s="83"/>
      <c r="K11" s="83"/>
      <c r="L11" s="88"/>
      <c r="M11" s="88"/>
      <c r="N11" s="88"/>
      <c r="O11" s="83"/>
      <c r="P11" s="89"/>
      <c r="Q11" s="89"/>
      <c r="R11" s="89"/>
      <c r="S11" s="135"/>
      <c r="T11" s="136"/>
      <c r="U11" s="136"/>
      <c r="V11" s="137"/>
      <c r="W11" s="138"/>
      <c r="X11" s="137"/>
      <c r="Y11" s="137"/>
      <c r="Z11" s="137"/>
      <c r="AA11" s="137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40"/>
      <c r="CD11" s="142"/>
      <c r="CE11" s="142"/>
      <c r="CF11" s="142"/>
      <c r="CG11" s="142"/>
      <c r="CH11" s="142"/>
      <c r="CI11" s="142"/>
      <c r="CJ11" s="142"/>
      <c r="CK11" s="142"/>
    </row>
    <row r="12" spans="1:89" s="141" customFormat="1" hidden="1" outlineLevel="1" x14ac:dyDescent="0.2">
      <c r="A12" s="82"/>
      <c r="B12" s="83"/>
      <c r="C12" s="83"/>
      <c r="D12" s="83"/>
      <c r="E12" s="84"/>
      <c r="F12" s="85"/>
      <c r="G12" s="86"/>
      <c r="H12" s="83"/>
      <c r="I12" s="83"/>
      <c r="J12" s="83"/>
      <c r="K12" s="83"/>
      <c r="L12" s="88"/>
      <c r="M12" s="88"/>
      <c r="N12" s="88"/>
      <c r="O12" s="83"/>
      <c r="P12" s="89"/>
      <c r="Q12" s="89"/>
      <c r="R12" s="89"/>
      <c r="S12" s="135"/>
      <c r="T12" s="136"/>
      <c r="U12" s="136"/>
      <c r="V12" s="137"/>
      <c r="W12" s="138"/>
      <c r="X12" s="137"/>
      <c r="Y12" s="137"/>
      <c r="Z12" s="137"/>
      <c r="AA12" s="137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40"/>
      <c r="CD12" s="142"/>
      <c r="CE12" s="142"/>
      <c r="CF12" s="142"/>
      <c r="CG12" s="142"/>
      <c r="CH12" s="142"/>
      <c r="CI12" s="142"/>
      <c r="CJ12" s="142"/>
      <c r="CK12" s="142"/>
    </row>
    <row r="13" spans="1:89" s="141" customFormat="1" hidden="1" outlineLevel="1" x14ac:dyDescent="0.2">
      <c r="A13" s="82"/>
      <c r="B13" s="83"/>
      <c r="C13" s="83"/>
      <c r="D13" s="83"/>
      <c r="E13" s="84"/>
      <c r="F13" s="85"/>
      <c r="G13" s="86"/>
      <c r="H13" s="83"/>
      <c r="I13" s="83"/>
      <c r="J13" s="83"/>
      <c r="K13" s="83"/>
      <c r="L13" s="88"/>
      <c r="M13" s="88"/>
      <c r="N13" s="88"/>
      <c r="O13" s="83"/>
      <c r="P13" s="89"/>
      <c r="Q13" s="89"/>
      <c r="R13" s="89"/>
      <c r="S13" s="135"/>
      <c r="T13" s="136"/>
      <c r="U13" s="136"/>
      <c r="V13" s="137"/>
      <c r="W13" s="138"/>
      <c r="X13" s="137"/>
      <c r="Y13" s="137"/>
      <c r="Z13" s="137"/>
      <c r="AA13" s="137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40"/>
      <c r="CD13" s="142"/>
      <c r="CE13" s="142"/>
      <c r="CF13" s="142"/>
      <c r="CG13" s="142"/>
      <c r="CH13" s="142"/>
      <c r="CI13" s="142"/>
      <c r="CJ13" s="142"/>
      <c r="CK13" s="142"/>
    </row>
    <row r="14" spans="1:89" s="141" customFormat="1" hidden="1" outlineLevel="1" x14ac:dyDescent="0.2">
      <c r="A14" s="82"/>
      <c r="B14" s="83"/>
      <c r="C14" s="83"/>
      <c r="D14" s="83"/>
      <c r="E14" s="84"/>
      <c r="F14" s="85"/>
      <c r="G14" s="86"/>
      <c r="H14" s="83"/>
      <c r="I14" s="83"/>
      <c r="J14" s="83"/>
      <c r="K14" s="83"/>
      <c r="L14" s="88"/>
      <c r="M14" s="88"/>
      <c r="N14" s="88"/>
      <c r="O14" s="83"/>
      <c r="P14" s="89"/>
      <c r="Q14" s="89"/>
      <c r="R14" s="89"/>
      <c r="S14" s="135"/>
      <c r="T14" s="136"/>
      <c r="U14" s="136"/>
      <c r="V14" s="137"/>
      <c r="W14" s="138"/>
      <c r="X14" s="137"/>
      <c r="Y14" s="137"/>
      <c r="Z14" s="137"/>
      <c r="AA14" s="137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40"/>
      <c r="CD14" s="142"/>
      <c r="CE14" s="142"/>
      <c r="CF14" s="142"/>
      <c r="CG14" s="142"/>
      <c r="CH14" s="142"/>
      <c r="CI14" s="142"/>
      <c r="CJ14" s="142"/>
      <c r="CK14" s="142"/>
    </row>
    <row r="15" spans="1:89" s="141" customFormat="1" hidden="1" outlineLevel="1" x14ac:dyDescent="0.2">
      <c r="A15" s="82"/>
      <c r="B15" s="83"/>
      <c r="C15" s="83"/>
      <c r="D15" s="83"/>
      <c r="E15" s="84"/>
      <c r="F15" s="85"/>
      <c r="G15" s="86"/>
      <c r="H15" s="83"/>
      <c r="I15" s="83"/>
      <c r="J15" s="83"/>
      <c r="K15" s="83"/>
      <c r="L15" s="88"/>
      <c r="M15" s="88"/>
      <c r="N15" s="88"/>
      <c r="O15" s="83"/>
      <c r="P15" s="89"/>
      <c r="Q15" s="89"/>
      <c r="R15" s="89"/>
      <c r="S15" s="135"/>
      <c r="T15" s="136"/>
      <c r="U15" s="136"/>
      <c r="V15" s="137"/>
      <c r="W15" s="138"/>
      <c r="X15" s="137"/>
      <c r="Y15" s="137"/>
      <c r="Z15" s="137"/>
      <c r="AA15" s="137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40"/>
      <c r="CD15" s="142"/>
      <c r="CE15" s="142"/>
      <c r="CF15" s="142"/>
      <c r="CG15" s="142"/>
      <c r="CH15" s="142"/>
      <c r="CI15" s="142"/>
      <c r="CJ15" s="142"/>
      <c r="CK15" s="142"/>
    </row>
    <row r="16" spans="1:89" s="141" customFormat="1" hidden="1" outlineLevel="1" x14ac:dyDescent="0.2">
      <c r="A16" s="82"/>
      <c r="B16" s="83"/>
      <c r="C16" s="90"/>
      <c r="D16" s="83"/>
      <c r="E16" s="84"/>
      <c r="F16" s="91"/>
      <c r="G16" s="86"/>
      <c r="H16" s="83"/>
      <c r="I16" s="83"/>
      <c r="J16" s="83"/>
      <c r="K16" s="83"/>
      <c r="L16" s="88"/>
      <c r="M16" s="88"/>
      <c r="N16" s="88"/>
      <c r="O16" s="83"/>
      <c r="P16" s="89"/>
      <c r="Q16" s="89"/>
      <c r="R16" s="89"/>
      <c r="S16" s="135"/>
      <c r="T16" s="136"/>
      <c r="U16" s="136"/>
      <c r="V16" s="137"/>
      <c r="W16" s="138"/>
      <c r="X16" s="137"/>
      <c r="Y16" s="137"/>
      <c r="Z16" s="137"/>
      <c r="AA16" s="137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40"/>
      <c r="CD16" s="142"/>
      <c r="CE16" s="142"/>
      <c r="CF16" s="142"/>
      <c r="CG16" s="142"/>
      <c r="CH16" s="142"/>
      <c r="CI16" s="142"/>
      <c r="CJ16" s="142"/>
      <c r="CK16" s="142"/>
    </row>
    <row r="17" spans="1:89" s="149" customFormat="1" ht="13.5" hidden="1" outlineLevel="1" thickBot="1" x14ac:dyDescent="0.25">
      <c r="A17" s="92"/>
      <c r="B17" s="93"/>
      <c r="C17" s="93"/>
      <c r="D17" s="93"/>
      <c r="E17" s="94"/>
      <c r="F17" s="95"/>
      <c r="G17" s="96"/>
      <c r="H17" s="93"/>
      <c r="I17" s="93"/>
      <c r="J17" s="93"/>
      <c r="K17" s="93"/>
      <c r="L17" s="97"/>
      <c r="M17" s="97"/>
      <c r="N17" s="97"/>
      <c r="O17" s="93"/>
      <c r="P17" s="98"/>
      <c r="Q17" s="98"/>
      <c r="R17" s="98"/>
      <c r="S17" s="143"/>
      <c r="T17" s="144"/>
      <c r="U17" s="144"/>
      <c r="V17" s="145"/>
      <c r="W17" s="146"/>
      <c r="X17" s="145"/>
      <c r="Y17" s="145"/>
      <c r="Z17" s="145"/>
      <c r="AA17" s="145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8"/>
      <c r="CD17" s="150"/>
      <c r="CE17" s="150"/>
      <c r="CF17" s="150"/>
      <c r="CG17" s="150"/>
      <c r="CH17" s="150"/>
      <c r="CI17" s="150"/>
      <c r="CJ17" s="150"/>
      <c r="CK17" s="150"/>
    </row>
    <row r="18" spans="1:89" collapsed="1" x14ac:dyDescent="0.2">
      <c r="A18" s="5"/>
      <c r="B18" s="5"/>
      <c r="C18" s="5"/>
      <c r="D18" s="5"/>
      <c r="E18" s="5"/>
      <c r="F18" s="5"/>
      <c r="G18" s="5"/>
      <c r="H18" s="5"/>
    </row>
    <row r="19" spans="1:89" ht="14.25" x14ac:dyDescent="0.2">
      <c r="A19" s="5"/>
      <c r="B19" s="5"/>
      <c r="C19" s="1209" t="s">
        <v>221</v>
      </c>
      <c r="D19" s="1209"/>
      <c r="E19" s="1209"/>
      <c r="F19" s="1209"/>
      <c r="G19" s="1209"/>
      <c r="H19" s="105"/>
    </row>
    <row r="20" spans="1:89" ht="14.25" x14ac:dyDescent="0.2">
      <c r="A20" s="5"/>
      <c r="B20" s="5"/>
      <c r="C20" s="1209" t="s">
        <v>222</v>
      </c>
      <c r="D20" s="1209"/>
      <c r="E20" s="1209"/>
      <c r="F20" s="1209"/>
      <c r="G20" s="1209"/>
      <c r="H20" s="105"/>
    </row>
    <row r="21" spans="1:89" ht="14.25" x14ac:dyDescent="0.2">
      <c r="A21" s="5"/>
      <c r="B21" s="5"/>
      <c r="C21" s="1209" t="s">
        <v>223</v>
      </c>
      <c r="D21" s="1209"/>
      <c r="E21" s="1209"/>
      <c r="F21" s="1209"/>
      <c r="G21" s="1209"/>
      <c r="H21" s="105"/>
    </row>
    <row r="22" spans="1:89" ht="13.5" customHeight="1" x14ac:dyDescent="0.2">
      <c r="A22" s="5"/>
      <c r="B22" s="5"/>
      <c r="C22" s="1209">
        <v>2018</v>
      </c>
      <c r="D22" s="1209"/>
      <c r="E22" s="1209"/>
      <c r="F22" s="1209"/>
      <c r="G22" s="1209"/>
      <c r="H22" s="105"/>
    </row>
    <row r="23" spans="1:89" ht="13.5" customHeight="1" thickBot="1" x14ac:dyDescent="0.25">
      <c r="A23" s="5"/>
      <c r="B23" s="5"/>
      <c r="C23" s="1210" t="str">
        <f>+PRESUPUESTO!B2</f>
        <v>MEDICINA PREGRADO</v>
      </c>
      <c r="D23" s="1210"/>
      <c r="E23" s="1210"/>
      <c r="F23" s="1210"/>
      <c r="G23" s="1210"/>
      <c r="H23" s="105"/>
    </row>
    <row r="24" spans="1:89" ht="17.25" customHeight="1" thickBot="1" x14ac:dyDescent="0.25">
      <c r="A24" s="5"/>
      <c r="B24" s="1199" t="s">
        <v>687</v>
      </c>
      <c r="C24" s="1200"/>
      <c r="D24" s="1200"/>
      <c r="E24" s="1200"/>
      <c r="F24" s="1200"/>
      <c r="G24" s="1201"/>
    </row>
    <row r="25" spans="1:89" s="152" customFormat="1" ht="39" customHeight="1" thickBot="1" x14ac:dyDescent="0.25">
      <c r="A25" s="5"/>
      <c r="B25" s="186" t="s">
        <v>419</v>
      </c>
      <c r="C25" s="107" t="s">
        <v>224</v>
      </c>
      <c r="D25" s="108" t="s">
        <v>225</v>
      </c>
      <c r="E25" s="534" t="s">
        <v>500</v>
      </c>
      <c r="F25" s="109" t="s">
        <v>226</v>
      </c>
      <c r="G25" s="110" t="s">
        <v>227</v>
      </c>
      <c r="H25" s="111"/>
      <c r="I25" s="1207" t="s">
        <v>169</v>
      </c>
      <c r="J25" s="1207"/>
      <c r="K25" s="1207"/>
      <c r="L25" s="1207"/>
      <c r="M25" s="112"/>
      <c r="N25" s="112"/>
      <c r="O25" s="112"/>
      <c r="P25" s="112"/>
      <c r="Q25" s="112"/>
      <c r="R25" s="112"/>
    </row>
    <row r="26" spans="1:89" s="152" customFormat="1" ht="18.75" customHeight="1" thickBot="1" x14ac:dyDescent="0.25">
      <c r="A26" s="5"/>
      <c r="B26" s="1202" t="s">
        <v>681</v>
      </c>
      <c r="C26" s="1203"/>
      <c r="D26" s="1203"/>
      <c r="E26" s="1203"/>
      <c r="F26" s="1203"/>
      <c r="G26" s="1204"/>
      <c r="H26" s="111"/>
      <c r="I26" s="1197" t="s">
        <v>433</v>
      </c>
      <c r="J26" s="1197"/>
      <c r="K26" s="1197"/>
      <c r="L26" s="1197"/>
      <c r="M26" s="112">
        <v>1.05</v>
      </c>
      <c r="N26" s="112"/>
      <c r="O26" s="112"/>
      <c r="P26" s="112"/>
      <c r="Q26" s="112"/>
      <c r="R26" s="112"/>
    </row>
    <row r="27" spans="1:89" ht="15.95" customHeight="1" x14ac:dyDescent="0.2">
      <c r="A27" s="5"/>
      <c r="B27" s="229"/>
      <c r="C27" s="980" t="s">
        <v>1368</v>
      </c>
      <c r="D27" s="1051" t="s">
        <v>169</v>
      </c>
      <c r="E27" s="538">
        <v>0</v>
      </c>
      <c r="F27" s="230">
        <v>0</v>
      </c>
      <c r="G27" s="114">
        <f>(E27*F27)+0</f>
        <v>0</v>
      </c>
      <c r="H27" s="113"/>
      <c r="I27" s="232" t="s">
        <v>692</v>
      </c>
      <c r="J27" s="232"/>
      <c r="K27" s="232"/>
      <c r="L27" s="232"/>
    </row>
    <row r="28" spans="1:89" ht="15.95" customHeight="1" x14ac:dyDescent="0.2">
      <c r="A28" s="5"/>
      <c r="B28" s="229"/>
      <c r="C28" s="189" t="s">
        <v>1369</v>
      </c>
      <c r="D28" s="1051" t="s">
        <v>1370</v>
      </c>
      <c r="E28" s="531">
        <v>0</v>
      </c>
      <c r="F28" s="230">
        <v>0</v>
      </c>
      <c r="G28" s="114">
        <f>(E28*F28)+6420320</f>
        <v>6420320</v>
      </c>
      <c r="H28" s="113"/>
      <c r="I28" s="232" t="s">
        <v>434</v>
      </c>
      <c r="J28" s="232"/>
      <c r="K28" s="232"/>
      <c r="L28" s="232"/>
    </row>
    <row r="29" spans="1:89" ht="15.95" customHeight="1" x14ac:dyDescent="0.2">
      <c r="A29" s="5"/>
      <c r="B29" s="229"/>
      <c r="C29" s="188" t="s">
        <v>1371</v>
      </c>
      <c r="D29" s="1051" t="s">
        <v>1372</v>
      </c>
      <c r="E29" s="531">
        <v>0</v>
      </c>
      <c r="F29" s="230">
        <v>0</v>
      </c>
      <c r="G29" s="114">
        <f>(E29*F29)+13068960</f>
        <v>13068960</v>
      </c>
      <c r="H29" s="113"/>
      <c r="I29" s="231" t="s">
        <v>866</v>
      </c>
      <c r="J29" s="231"/>
      <c r="K29" s="231"/>
      <c r="L29" s="231">
        <v>0</v>
      </c>
    </row>
    <row r="30" spans="1:89" ht="15.95" customHeight="1" x14ac:dyDescent="0.2">
      <c r="A30" s="5"/>
      <c r="B30" s="229"/>
      <c r="C30" s="188" t="s">
        <v>1373</v>
      </c>
      <c r="D30" s="1052" t="s">
        <v>1374</v>
      </c>
      <c r="E30" s="531">
        <v>0</v>
      </c>
      <c r="F30" s="230">
        <v>0</v>
      </c>
      <c r="G30" s="114">
        <f>(E30*F30)+9702126</f>
        <v>9702126</v>
      </c>
      <c r="H30" s="113"/>
      <c r="I30" s="1208" t="s">
        <v>169</v>
      </c>
      <c r="J30" s="1208"/>
      <c r="K30" s="1208"/>
      <c r="L30" s="1208"/>
    </row>
    <row r="31" spans="1:89" ht="15.95" customHeight="1" x14ac:dyDescent="0.2">
      <c r="A31" s="5"/>
      <c r="B31" s="229"/>
      <c r="C31" s="188" t="s">
        <v>1375</v>
      </c>
      <c r="D31" s="1052" t="s">
        <v>1376</v>
      </c>
      <c r="E31" s="531">
        <v>0</v>
      </c>
      <c r="F31" s="230">
        <v>0</v>
      </c>
      <c r="G31" s="114">
        <f>(E31*F31)+7357353</f>
        <v>7357353</v>
      </c>
      <c r="H31" s="113"/>
      <c r="I31" s="1208"/>
      <c r="J31" s="1208"/>
      <c r="K31" s="1208"/>
      <c r="L31" s="1208"/>
    </row>
    <row r="32" spans="1:89" ht="15.95" customHeight="1" x14ac:dyDescent="0.2">
      <c r="A32" s="5"/>
      <c r="B32" s="229"/>
      <c r="C32" s="980" t="s">
        <v>1377</v>
      </c>
      <c r="D32" s="1052"/>
      <c r="E32" s="531">
        <v>0</v>
      </c>
      <c r="F32" s="230">
        <v>0</v>
      </c>
      <c r="G32" s="114">
        <f>(E32*F32)+0</f>
        <v>0</v>
      </c>
      <c r="H32" s="113"/>
      <c r="I32" s="1208"/>
      <c r="J32" s="1208"/>
      <c r="K32" s="1208"/>
      <c r="L32" s="1208"/>
    </row>
    <row r="33" spans="1:12" ht="15.95" customHeight="1" x14ac:dyDescent="0.2">
      <c r="A33" s="5"/>
      <c r="B33" s="229"/>
      <c r="C33" s="188" t="s">
        <v>1369</v>
      </c>
      <c r="D33" s="1052" t="s">
        <v>1370</v>
      </c>
      <c r="E33" s="531">
        <v>0</v>
      </c>
      <c r="F33" s="230">
        <v>0</v>
      </c>
      <c r="G33" s="114">
        <f>(E33*F33)+12236975</f>
        <v>12236975</v>
      </c>
      <c r="H33" s="113"/>
      <c r="I33" s="1208"/>
      <c r="J33" s="1208"/>
      <c r="K33" s="1208"/>
      <c r="L33" s="1208"/>
    </row>
    <row r="34" spans="1:12" ht="15.95" customHeight="1" x14ac:dyDescent="0.2">
      <c r="A34" s="5"/>
      <c r="B34" s="229"/>
      <c r="C34" s="188" t="s">
        <v>1371</v>
      </c>
      <c r="D34" s="1052" t="s">
        <v>1372</v>
      </c>
      <c r="E34" s="531">
        <v>0</v>
      </c>
      <c r="F34" s="230">
        <v>0</v>
      </c>
      <c r="G34" s="114">
        <f>(E34*F34)+9956445</f>
        <v>9956445</v>
      </c>
      <c r="H34" s="113"/>
      <c r="I34" s="1208"/>
      <c r="J34" s="1208"/>
      <c r="K34" s="1208"/>
      <c r="L34" s="1208"/>
    </row>
    <row r="35" spans="1:12" ht="15.95" customHeight="1" x14ac:dyDescent="0.2">
      <c r="A35" s="5"/>
      <c r="B35" s="229"/>
      <c r="C35" s="188" t="s">
        <v>1375</v>
      </c>
      <c r="D35" s="1052" t="s">
        <v>1376</v>
      </c>
      <c r="E35" s="531">
        <v>0</v>
      </c>
      <c r="F35" s="230">
        <v>0</v>
      </c>
      <c r="G35" s="114">
        <f>(E35*F35)+7357353</f>
        <v>7357353</v>
      </c>
      <c r="H35" s="113"/>
      <c r="I35" s="1208"/>
      <c r="J35" s="1208"/>
      <c r="K35" s="1208"/>
      <c r="L35" s="1208"/>
    </row>
    <row r="36" spans="1:12" ht="15.95" customHeight="1" x14ac:dyDescent="0.2">
      <c r="A36" s="5"/>
      <c r="B36" s="229"/>
      <c r="C36" s="980" t="s">
        <v>1378</v>
      </c>
      <c r="D36" s="1052"/>
      <c r="E36" s="531">
        <v>0</v>
      </c>
      <c r="F36" s="230">
        <v>0</v>
      </c>
      <c r="G36" s="114">
        <f>(E36*F36)+0</f>
        <v>0</v>
      </c>
      <c r="H36" s="113"/>
      <c r="I36" s="1208"/>
      <c r="J36" s="1208"/>
      <c r="K36" s="1208"/>
      <c r="L36" s="1208"/>
    </row>
    <row r="37" spans="1:12" ht="15.95" customHeight="1" x14ac:dyDescent="0.2">
      <c r="A37" s="5"/>
      <c r="B37" s="229"/>
      <c r="C37" s="188" t="s">
        <v>1369</v>
      </c>
      <c r="D37" s="1052" t="s">
        <v>1370</v>
      </c>
      <c r="E37" s="531">
        <v>0</v>
      </c>
      <c r="F37" s="230">
        <v>0</v>
      </c>
      <c r="G37" s="114">
        <f>(E37*F37)+8736982</f>
        <v>8736982</v>
      </c>
      <c r="H37" s="113"/>
      <c r="I37" s="1208"/>
      <c r="J37" s="1208"/>
      <c r="K37" s="1208"/>
      <c r="L37" s="1208"/>
    </row>
    <row r="38" spans="1:12" ht="15.95" customHeight="1" x14ac:dyDescent="0.2">
      <c r="A38" s="5"/>
      <c r="B38" s="229"/>
      <c r="C38" s="188" t="s">
        <v>1371</v>
      </c>
      <c r="D38" s="1052" t="s">
        <v>1372</v>
      </c>
      <c r="E38" s="531">
        <v>0</v>
      </c>
      <c r="F38" s="230">
        <v>0</v>
      </c>
      <c r="G38" s="114">
        <f>(E38*F38)+11202251</f>
        <v>11202251</v>
      </c>
      <c r="H38" s="113"/>
      <c r="I38" s="1208"/>
      <c r="J38" s="1208"/>
      <c r="K38" s="1208"/>
      <c r="L38" s="1208"/>
    </row>
    <row r="39" spans="1:12" ht="15.95" customHeight="1" x14ac:dyDescent="0.2">
      <c r="A39" s="5"/>
      <c r="B39" s="229"/>
      <c r="C39" s="188" t="s">
        <v>1373</v>
      </c>
      <c r="D39" s="1052" t="s">
        <v>1374</v>
      </c>
      <c r="E39" s="531">
        <v>0</v>
      </c>
      <c r="F39" s="230">
        <v>0</v>
      </c>
      <c r="G39" s="114">
        <f>(E39*F39)+9095118</f>
        <v>9095118</v>
      </c>
      <c r="H39" s="113"/>
      <c r="I39" s="1208"/>
      <c r="J39" s="1208"/>
      <c r="K39" s="1208"/>
      <c r="L39" s="1208"/>
    </row>
    <row r="40" spans="1:12" ht="15.95" customHeight="1" x14ac:dyDescent="0.2">
      <c r="A40" s="5"/>
      <c r="B40" s="229"/>
      <c r="C40" s="188" t="s">
        <v>1375</v>
      </c>
      <c r="D40" s="1052" t="s">
        <v>1376</v>
      </c>
      <c r="E40" s="531">
        <v>0</v>
      </c>
      <c r="F40" s="230">
        <v>0</v>
      </c>
      <c r="G40" s="114">
        <f>(E40*F40)+6994000</f>
        <v>6994000</v>
      </c>
      <c r="H40" s="113"/>
      <c r="I40" s="1208"/>
      <c r="J40" s="1208"/>
      <c r="K40" s="1208"/>
      <c r="L40" s="1208"/>
    </row>
    <row r="41" spans="1:12" ht="15.95" customHeight="1" x14ac:dyDescent="0.2">
      <c r="A41" s="5"/>
      <c r="B41" s="229"/>
      <c r="C41" s="980" t="s">
        <v>1379</v>
      </c>
      <c r="D41" s="1052"/>
      <c r="E41" s="531">
        <v>0</v>
      </c>
      <c r="F41" s="230">
        <v>0</v>
      </c>
      <c r="G41" s="114">
        <f>(E41*F41)+0</f>
        <v>0</v>
      </c>
      <c r="H41" s="113"/>
      <c r="I41" s="1208"/>
      <c r="J41" s="1208"/>
      <c r="K41" s="1208"/>
      <c r="L41" s="1208"/>
    </row>
    <row r="42" spans="1:12" ht="15.95" customHeight="1" x14ac:dyDescent="0.2">
      <c r="A42" s="5"/>
      <c r="B42" s="229"/>
      <c r="C42" s="188" t="s">
        <v>1375</v>
      </c>
      <c r="D42" s="1052" t="s">
        <v>1376</v>
      </c>
      <c r="E42" s="531"/>
      <c r="F42" s="1053"/>
      <c r="G42" s="114">
        <f>(E42*F42)+12463000</f>
        <v>12463000</v>
      </c>
      <c r="H42" s="113"/>
      <c r="I42" s="1208"/>
      <c r="J42" s="1208"/>
      <c r="K42" s="1208"/>
      <c r="L42" s="1208"/>
    </row>
    <row r="43" spans="1:12" ht="15.95" customHeight="1" x14ac:dyDescent="0.2">
      <c r="A43" s="5"/>
      <c r="B43" s="229"/>
      <c r="C43" s="980" t="s">
        <v>1380</v>
      </c>
      <c r="D43" s="1052"/>
      <c r="E43" s="531"/>
      <c r="F43" s="1053"/>
      <c r="G43" s="114">
        <f>(E43*F43)+0</f>
        <v>0</v>
      </c>
      <c r="H43" s="113"/>
      <c r="I43" s="1208"/>
      <c r="J43" s="1208"/>
      <c r="K43" s="1208"/>
      <c r="L43" s="1208"/>
    </row>
    <row r="44" spans="1:12" ht="15.95" customHeight="1" x14ac:dyDescent="0.2">
      <c r="A44" s="5"/>
      <c r="B44" s="229"/>
      <c r="C44" s="188" t="s">
        <v>1373</v>
      </c>
      <c r="D44" s="1052" t="s">
        <v>1374</v>
      </c>
      <c r="E44" s="531"/>
      <c r="F44" s="1053"/>
      <c r="G44" s="114">
        <f>(E44*F44)+2350000</f>
        <v>2350000</v>
      </c>
      <c r="H44" s="113"/>
      <c r="I44" s="1208"/>
      <c r="J44" s="1208"/>
      <c r="K44" s="1208"/>
      <c r="L44" s="1208"/>
    </row>
    <row r="45" spans="1:12" ht="15.95" customHeight="1" x14ac:dyDescent="0.2">
      <c r="A45" s="5"/>
      <c r="B45" s="229"/>
      <c r="C45" s="188" t="s">
        <v>1375</v>
      </c>
      <c r="D45" s="1052" t="s">
        <v>1376</v>
      </c>
      <c r="E45" s="531"/>
      <c r="F45" s="1053"/>
      <c r="G45" s="114">
        <f>(E45*F45)+8736464</f>
        <v>8736464</v>
      </c>
      <c r="H45" s="113"/>
      <c r="I45" s="1208"/>
      <c r="J45" s="1208"/>
      <c r="K45" s="1208"/>
      <c r="L45" s="1208"/>
    </row>
    <row r="46" spans="1:12" ht="15.95" customHeight="1" x14ac:dyDescent="0.2">
      <c r="A46" s="5"/>
      <c r="B46" s="229"/>
      <c r="C46" s="1195" t="s">
        <v>1381</v>
      </c>
      <c r="D46" s="1196"/>
      <c r="E46" s="531"/>
      <c r="F46" s="1053"/>
      <c r="G46" s="114">
        <f>(E46*F46)+0</f>
        <v>0</v>
      </c>
      <c r="H46" s="113"/>
      <c r="I46" s="1208"/>
      <c r="J46" s="1208"/>
      <c r="K46" s="1208"/>
      <c r="L46" s="1208"/>
    </row>
    <row r="47" spans="1:12" ht="15.95" customHeight="1" x14ac:dyDescent="0.2">
      <c r="A47" s="5"/>
      <c r="B47" s="229"/>
      <c r="C47" s="188" t="s">
        <v>1373</v>
      </c>
      <c r="D47" s="1052" t="s">
        <v>1374</v>
      </c>
      <c r="E47" s="531"/>
      <c r="F47" s="1053"/>
      <c r="G47" s="114">
        <f>(E47*F47)+4080000</f>
        <v>4080000</v>
      </c>
      <c r="H47" s="113"/>
      <c r="I47" s="1208"/>
      <c r="J47" s="1208"/>
      <c r="K47" s="1208"/>
      <c r="L47" s="1208"/>
    </row>
    <row r="48" spans="1:12" ht="15.95" customHeight="1" x14ac:dyDescent="0.2">
      <c r="A48" s="5"/>
      <c r="B48" s="229"/>
      <c r="C48" s="1193" t="s">
        <v>1382</v>
      </c>
      <c r="D48" s="1194"/>
      <c r="E48" s="531"/>
      <c r="F48" s="1053"/>
      <c r="G48" s="114">
        <f>(E48*F48)+0</f>
        <v>0</v>
      </c>
      <c r="H48" s="113"/>
      <c r="I48" s="1208"/>
      <c r="J48" s="1208"/>
      <c r="K48" s="1208"/>
      <c r="L48" s="1208"/>
    </row>
    <row r="49" spans="1:12" ht="15.95" customHeight="1" x14ac:dyDescent="0.2">
      <c r="A49" s="5"/>
      <c r="B49" s="229"/>
      <c r="C49" s="188" t="s">
        <v>1373</v>
      </c>
      <c r="D49" s="1052" t="s">
        <v>1374</v>
      </c>
      <c r="E49" s="531"/>
      <c r="F49" s="1053"/>
      <c r="G49" s="114">
        <f>(E49*F49)+4080000</f>
        <v>4080000</v>
      </c>
      <c r="H49" s="113"/>
      <c r="I49" s="1208"/>
      <c r="J49" s="1208"/>
      <c r="K49" s="1208"/>
      <c r="L49" s="1208"/>
    </row>
    <row r="50" spans="1:12" ht="15.95" customHeight="1" x14ac:dyDescent="0.2">
      <c r="A50" s="5"/>
      <c r="B50" s="229"/>
      <c r="C50" s="980" t="s">
        <v>1383</v>
      </c>
      <c r="D50" s="1052"/>
      <c r="E50" s="531"/>
      <c r="F50" s="1053"/>
      <c r="G50" s="114">
        <f>(E50*F50)+0</f>
        <v>0</v>
      </c>
      <c r="H50" s="113"/>
      <c r="I50" s="1208"/>
      <c r="J50" s="1208"/>
      <c r="K50" s="1208"/>
      <c r="L50" s="1208"/>
    </row>
    <row r="51" spans="1:12" ht="15.95" customHeight="1" x14ac:dyDescent="0.2">
      <c r="A51" s="5"/>
      <c r="B51" s="229"/>
      <c r="C51" s="188" t="s">
        <v>1375</v>
      </c>
      <c r="D51" s="1051" t="s">
        <v>1376</v>
      </c>
      <c r="E51" s="531"/>
      <c r="F51" s="1053"/>
      <c r="G51" s="114">
        <f>(E51*F51)+2721980</f>
        <v>2721980</v>
      </c>
      <c r="H51" s="113"/>
      <c r="I51" s="1208"/>
      <c r="J51" s="1208"/>
      <c r="K51" s="1208"/>
      <c r="L51" s="1208"/>
    </row>
    <row r="52" spans="1:12" ht="15.95" customHeight="1" x14ac:dyDescent="0.2">
      <c r="A52" s="5"/>
      <c r="B52" s="229"/>
      <c r="C52" s="1193"/>
      <c r="D52" s="1194"/>
      <c r="E52" s="531"/>
      <c r="F52" s="1053"/>
      <c r="G52" s="114"/>
      <c r="H52" s="113"/>
      <c r="I52" s="1208"/>
      <c r="J52" s="1208"/>
      <c r="K52" s="1208"/>
      <c r="L52" s="1208"/>
    </row>
    <row r="53" spans="1:12" ht="15.95" customHeight="1" x14ac:dyDescent="0.2">
      <c r="A53" s="5"/>
      <c r="B53" s="229"/>
      <c r="C53" s="1193" t="s">
        <v>1384</v>
      </c>
      <c r="D53" s="1194"/>
      <c r="E53" s="531"/>
      <c r="F53" s="1053"/>
      <c r="G53" s="114">
        <f>(E53*F53)+0</f>
        <v>0</v>
      </c>
      <c r="H53" s="113"/>
      <c r="I53" s="231"/>
      <c r="J53" s="231"/>
      <c r="K53" s="231"/>
      <c r="L53" s="231"/>
    </row>
    <row r="54" spans="1:12" ht="15.95" customHeight="1" x14ac:dyDescent="0.2">
      <c r="A54" s="5"/>
      <c r="B54" s="229"/>
      <c r="C54" s="188" t="s">
        <v>1385</v>
      </c>
      <c r="D54" s="1052" t="s">
        <v>1376</v>
      </c>
      <c r="E54" s="531"/>
      <c r="F54" s="1053"/>
      <c r="G54" s="114">
        <f>(E54*F54)+600000</f>
        <v>600000</v>
      </c>
      <c r="H54" s="113"/>
      <c r="I54" s="231"/>
      <c r="J54" s="231"/>
      <c r="K54" s="231"/>
      <c r="L54" s="231"/>
    </row>
    <row r="55" spans="1:12" ht="15.95" customHeight="1" x14ac:dyDescent="0.2">
      <c r="A55" s="5"/>
      <c r="B55" s="229"/>
      <c r="C55" s="1193" t="s">
        <v>1386</v>
      </c>
      <c r="D55" s="1194"/>
      <c r="E55" s="531"/>
      <c r="F55" s="1053"/>
      <c r="G55" s="114">
        <f>(E55*F55)+0</f>
        <v>0</v>
      </c>
      <c r="H55" s="113"/>
    </row>
    <row r="56" spans="1:12" ht="15.95" customHeight="1" x14ac:dyDescent="0.2">
      <c r="A56" s="5"/>
      <c r="B56" s="229"/>
      <c r="C56" s="188" t="s">
        <v>1387</v>
      </c>
      <c r="D56" s="1052" t="s">
        <v>1374</v>
      </c>
      <c r="E56" s="531"/>
      <c r="F56" s="1053"/>
      <c r="G56" s="114">
        <f>(E56*F56)+900000</f>
        <v>900000</v>
      </c>
      <c r="H56" s="113"/>
    </row>
    <row r="57" spans="1:12" ht="15.95" customHeight="1" x14ac:dyDescent="0.2">
      <c r="A57" s="5"/>
      <c r="B57" s="229"/>
      <c r="C57" s="1193" t="s">
        <v>1388</v>
      </c>
      <c r="D57" s="1194"/>
      <c r="E57" s="531"/>
      <c r="F57" s="1053"/>
      <c r="G57" s="114">
        <f>(E57*F57)+0</f>
        <v>0</v>
      </c>
      <c r="H57" s="113"/>
    </row>
    <row r="58" spans="1:12" ht="15.95" customHeight="1" x14ac:dyDescent="0.2">
      <c r="A58" s="5"/>
      <c r="B58" s="229"/>
      <c r="C58" s="188" t="s">
        <v>1389</v>
      </c>
      <c r="D58" s="1052"/>
      <c r="E58" s="531"/>
      <c r="F58" s="1053"/>
      <c r="G58" s="114">
        <f>(E58*F58)+1653720</f>
        <v>1653720</v>
      </c>
      <c r="H58" s="113"/>
    </row>
    <row r="59" spans="1:12" ht="15.95" customHeight="1" x14ac:dyDescent="0.2">
      <c r="A59" s="5"/>
      <c r="B59" s="229"/>
      <c r="C59" s="188" t="s">
        <v>1390</v>
      </c>
      <c r="D59" s="1052" t="s">
        <v>1391</v>
      </c>
      <c r="E59" s="531">
        <v>15</v>
      </c>
      <c r="F59" s="230" t="s">
        <v>1392</v>
      </c>
      <c r="G59" s="114">
        <v>1200000</v>
      </c>
      <c r="H59" s="113"/>
    </row>
    <row r="60" spans="1:12" ht="15.95" customHeight="1" x14ac:dyDescent="0.2">
      <c r="A60" s="5"/>
      <c r="B60" s="229"/>
      <c r="C60" s="188"/>
      <c r="D60" s="103"/>
      <c r="E60" s="531"/>
      <c r="F60" s="230"/>
      <c r="G60" s="114"/>
      <c r="H60" s="113"/>
    </row>
    <row r="61" spans="1:12" ht="15.95" customHeight="1" x14ac:dyDescent="0.2">
      <c r="A61" s="5"/>
      <c r="B61" s="229"/>
      <c r="C61" s="980" t="s">
        <v>1393</v>
      </c>
      <c r="D61" s="103"/>
      <c r="E61" s="531"/>
      <c r="F61" s="99"/>
      <c r="G61" s="114"/>
      <c r="H61" s="113"/>
    </row>
    <row r="62" spans="1:12" ht="15.95" customHeight="1" x14ac:dyDescent="0.2">
      <c r="A62" s="5"/>
      <c r="B62" s="229"/>
      <c r="C62" s="188" t="s">
        <v>214</v>
      </c>
      <c r="D62" s="103" t="s">
        <v>1394</v>
      </c>
      <c r="E62" s="531">
        <v>0</v>
      </c>
      <c r="F62" s="99"/>
      <c r="G62" s="114">
        <v>8000000</v>
      </c>
      <c r="H62" s="113"/>
    </row>
    <row r="63" spans="1:12" ht="15.95" customHeight="1" x14ac:dyDescent="0.2">
      <c r="A63" s="5"/>
      <c r="B63" s="229"/>
      <c r="C63" s="188"/>
      <c r="D63" s="103"/>
      <c r="E63" s="531"/>
      <c r="F63" s="99"/>
      <c r="G63" s="114"/>
      <c r="H63" s="113"/>
    </row>
    <row r="64" spans="1:12" ht="15.95" customHeight="1" x14ac:dyDescent="0.2">
      <c r="A64" s="5"/>
      <c r="B64" s="229"/>
      <c r="C64" s="980" t="s">
        <v>1395</v>
      </c>
      <c r="D64" s="103"/>
      <c r="E64" s="531"/>
      <c r="F64" s="99"/>
      <c r="G64" s="114"/>
      <c r="H64" s="113"/>
    </row>
    <row r="65" spans="1:8" ht="15.95" customHeight="1" x14ac:dyDescent="0.2">
      <c r="A65" s="5"/>
      <c r="B65" s="229"/>
      <c r="C65" s="188" t="s">
        <v>215</v>
      </c>
      <c r="D65" s="103" t="s">
        <v>1396</v>
      </c>
      <c r="E65" s="531"/>
      <c r="F65" s="99"/>
      <c r="G65" s="114">
        <v>3000000</v>
      </c>
      <c r="H65" s="113"/>
    </row>
    <row r="66" spans="1:8" ht="15.95" customHeight="1" x14ac:dyDescent="0.2">
      <c r="A66" s="5"/>
      <c r="B66" s="229"/>
      <c r="C66" s="188"/>
      <c r="D66" s="103"/>
      <c r="E66" s="531"/>
      <c r="F66" s="99"/>
      <c r="G66" s="114"/>
      <c r="H66" s="113"/>
    </row>
    <row r="67" spans="1:8" ht="15.95" customHeight="1" x14ac:dyDescent="0.2">
      <c r="A67" s="5"/>
      <c r="B67" s="229"/>
      <c r="C67" s="188"/>
      <c r="D67" s="103"/>
      <c r="E67" s="531"/>
      <c r="F67" s="99"/>
      <c r="G67" s="114"/>
      <c r="H67" s="113"/>
    </row>
    <row r="68" spans="1:8" ht="15.95" customHeight="1" x14ac:dyDescent="0.2">
      <c r="A68" s="5"/>
      <c r="B68" s="229"/>
      <c r="C68" s="188"/>
      <c r="D68" s="103"/>
      <c r="E68" s="531"/>
      <c r="F68" s="99"/>
      <c r="G68" s="114"/>
      <c r="H68" s="113"/>
    </row>
    <row r="69" spans="1:8" ht="15.95" customHeight="1" x14ac:dyDescent="0.2">
      <c r="A69" s="5"/>
      <c r="B69" s="229"/>
      <c r="C69" s="188"/>
      <c r="D69" s="103"/>
      <c r="E69" s="531"/>
      <c r="F69" s="99"/>
      <c r="G69" s="114"/>
      <c r="H69" s="113"/>
    </row>
    <row r="70" spans="1:8" ht="15.95" customHeight="1" x14ac:dyDescent="0.2">
      <c r="A70" s="5"/>
      <c r="B70" s="229"/>
      <c r="C70" s="188"/>
      <c r="D70" s="103"/>
      <c r="E70" s="531"/>
      <c r="F70" s="99"/>
      <c r="G70" s="114"/>
      <c r="H70" s="113"/>
    </row>
    <row r="71" spans="1:8" ht="15.95" customHeight="1" x14ac:dyDescent="0.2">
      <c r="A71" s="5"/>
      <c r="B71" s="229"/>
      <c r="C71" s="188"/>
      <c r="D71" s="103"/>
      <c r="E71" s="531"/>
      <c r="F71" s="99"/>
      <c r="G71" s="114"/>
      <c r="H71" s="113"/>
    </row>
    <row r="72" spans="1:8" ht="15.95" customHeight="1" x14ac:dyDescent="0.2">
      <c r="A72" s="5"/>
      <c r="B72" s="229"/>
      <c r="C72" s="189"/>
      <c r="D72" s="103"/>
      <c r="E72" s="531"/>
      <c r="F72" s="99"/>
      <c r="G72" s="114">
        <f t="shared" ref="G72" si="0">E72*F72</f>
        <v>0</v>
      </c>
      <c r="H72" s="113"/>
    </row>
    <row r="73" spans="1:8" ht="15.95" customHeight="1" thickBot="1" x14ac:dyDescent="0.25">
      <c r="A73" s="5"/>
      <c r="B73" s="311">
        <v>5110350100</v>
      </c>
      <c r="C73" s="1205" t="s">
        <v>682</v>
      </c>
      <c r="D73" s="1206"/>
      <c r="E73" s="533">
        <f>SUM(E27:E72)</f>
        <v>15</v>
      </c>
      <c r="F73" s="312"/>
      <c r="G73" s="313">
        <f>SUM(G27:G72)</f>
        <v>151913047</v>
      </c>
      <c r="H73" s="113"/>
    </row>
    <row r="74" spans="1:8" ht="15.95" customHeight="1" thickBot="1" x14ac:dyDescent="0.25">
      <c r="A74" s="5"/>
      <c r="B74" s="1202" t="s">
        <v>683</v>
      </c>
      <c r="C74" s="1203"/>
      <c r="D74" s="1203"/>
      <c r="E74" s="1203"/>
      <c r="F74" s="1203"/>
      <c r="G74" s="1204"/>
      <c r="H74" s="113"/>
    </row>
    <row r="75" spans="1:8" ht="15.95" customHeight="1" x14ac:dyDescent="0.2">
      <c r="A75" s="5"/>
      <c r="B75" s="229"/>
      <c r="C75" s="187" t="s">
        <v>169</v>
      </c>
      <c r="D75" s="101" t="s">
        <v>169</v>
      </c>
      <c r="E75" s="537">
        <v>0</v>
      </c>
      <c r="F75" s="230">
        <f>MROUND($L$29*$M$26,1000)</f>
        <v>0</v>
      </c>
      <c r="G75" s="114">
        <f t="shared" ref="G75:G137" si="1">E75*F75</f>
        <v>0</v>
      </c>
      <c r="H75" s="113"/>
    </row>
    <row r="76" spans="1:8" ht="15.95" customHeight="1" x14ac:dyDescent="0.2">
      <c r="A76" s="5"/>
      <c r="B76" s="229"/>
      <c r="C76" s="980" t="s">
        <v>1368</v>
      </c>
      <c r="D76" s="1051" t="s">
        <v>169</v>
      </c>
      <c r="E76" s="537">
        <v>0</v>
      </c>
      <c r="F76" s="230">
        <f>MROUND($L$29*$M$26,1000)</f>
        <v>0</v>
      </c>
      <c r="G76" s="114">
        <f>(E76*F76)+0</f>
        <v>0</v>
      </c>
      <c r="H76" s="113"/>
    </row>
    <row r="77" spans="1:8" ht="15.95" customHeight="1" x14ac:dyDescent="0.2">
      <c r="A77" s="5"/>
      <c r="B77" s="229"/>
      <c r="C77" s="189" t="s">
        <v>1369</v>
      </c>
      <c r="D77" s="1051" t="s">
        <v>1370</v>
      </c>
      <c r="E77" s="538">
        <v>0</v>
      </c>
      <c r="F77" s="230">
        <v>0</v>
      </c>
      <c r="G77" s="114">
        <f>(E77*F77)+6420320</f>
        <v>6420320</v>
      </c>
      <c r="H77" s="113"/>
    </row>
    <row r="78" spans="1:8" ht="15.95" customHeight="1" x14ac:dyDescent="0.2">
      <c r="A78" s="5"/>
      <c r="B78" s="229"/>
      <c r="C78" s="188" t="s">
        <v>1371</v>
      </c>
      <c r="D78" s="1051" t="s">
        <v>1372</v>
      </c>
      <c r="E78" s="531">
        <v>0</v>
      </c>
      <c r="F78" s="230">
        <v>0</v>
      </c>
      <c r="G78" s="114">
        <f>(E78*F78)+13068960</f>
        <v>13068960</v>
      </c>
      <c r="H78" s="113"/>
    </row>
    <row r="79" spans="1:8" ht="15.95" customHeight="1" x14ac:dyDescent="0.2">
      <c r="A79" s="5"/>
      <c r="B79" s="229"/>
      <c r="C79" s="188" t="s">
        <v>1373</v>
      </c>
      <c r="D79" s="1052" t="s">
        <v>1374</v>
      </c>
      <c r="E79" s="531">
        <v>0</v>
      </c>
      <c r="F79" s="230">
        <v>0</v>
      </c>
      <c r="G79" s="114">
        <f>(E79*F79)+9702126</f>
        <v>9702126</v>
      </c>
      <c r="H79" s="113"/>
    </row>
    <row r="80" spans="1:8" ht="15.95" customHeight="1" x14ac:dyDescent="0.2">
      <c r="A80" s="5"/>
      <c r="B80" s="229"/>
      <c r="C80" s="188" t="s">
        <v>1375</v>
      </c>
      <c r="D80" s="1052" t="s">
        <v>1376</v>
      </c>
      <c r="E80" s="531">
        <v>0</v>
      </c>
      <c r="F80" s="230">
        <v>0</v>
      </c>
      <c r="G80" s="114">
        <f>(E80*F80)+7357353</f>
        <v>7357353</v>
      </c>
      <c r="H80" s="113"/>
    </row>
    <row r="81" spans="1:8" ht="15.95" customHeight="1" x14ac:dyDescent="0.2">
      <c r="A81" s="5"/>
      <c r="B81" s="229"/>
      <c r="C81" s="980" t="s">
        <v>1377</v>
      </c>
      <c r="D81" s="1052"/>
      <c r="E81" s="531">
        <v>0</v>
      </c>
      <c r="F81" s="230">
        <v>0</v>
      </c>
      <c r="G81" s="114">
        <f>(E81*F81)+0</f>
        <v>0</v>
      </c>
      <c r="H81" s="113"/>
    </row>
    <row r="82" spans="1:8" ht="15.95" customHeight="1" x14ac:dyDescent="0.2">
      <c r="A82" s="5"/>
      <c r="B82" s="229"/>
      <c r="C82" s="188" t="s">
        <v>1369</v>
      </c>
      <c r="D82" s="1052" t="s">
        <v>1370</v>
      </c>
      <c r="E82" s="531">
        <v>0</v>
      </c>
      <c r="F82" s="230">
        <v>0</v>
      </c>
      <c r="G82" s="114">
        <f>(E82*F82)+12236975</f>
        <v>12236975</v>
      </c>
      <c r="H82" s="113"/>
    </row>
    <row r="83" spans="1:8" ht="15.95" customHeight="1" x14ac:dyDescent="0.2">
      <c r="A83" s="5"/>
      <c r="B83" s="229"/>
      <c r="C83" s="188" t="s">
        <v>1371</v>
      </c>
      <c r="D83" s="1052" t="s">
        <v>1372</v>
      </c>
      <c r="E83" s="531">
        <v>0</v>
      </c>
      <c r="F83" s="230">
        <v>0</v>
      </c>
      <c r="G83" s="114">
        <f>(E83*F83)+9956445</f>
        <v>9956445</v>
      </c>
      <c r="H83" s="113"/>
    </row>
    <row r="84" spans="1:8" ht="15.95" customHeight="1" x14ac:dyDescent="0.2">
      <c r="A84" s="5"/>
      <c r="B84" s="229"/>
      <c r="C84" s="188" t="s">
        <v>1375</v>
      </c>
      <c r="D84" s="1052" t="s">
        <v>1376</v>
      </c>
      <c r="E84" s="531">
        <v>0</v>
      </c>
      <c r="F84" s="230">
        <v>0</v>
      </c>
      <c r="G84" s="114">
        <f>(E84*F84)+7357353</f>
        <v>7357353</v>
      </c>
      <c r="H84" s="113"/>
    </row>
    <row r="85" spans="1:8" ht="15.95" customHeight="1" x14ac:dyDescent="0.2">
      <c r="A85" s="5"/>
      <c r="B85" s="229"/>
      <c r="C85" s="980" t="s">
        <v>1378</v>
      </c>
      <c r="D85" s="1052"/>
      <c r="E85" s="531">
        <v>0</v>
      </c>
      <c r="F85" s="230">
        <v>0</v>
      </c>
      <c r="G85" s="114">
        <f>(E85*F85)+0</f>
        <v>0</v>
      </c>
      <c r="H85" s="113"/>
    </row>
    <row r="86" spans="1:8" ht="15.95" customHeight="1" x14ac:dyDescent="0.2">
      <c r="A86" s="5"/>
      <c r="B86" s="229"/>
      <c r="C86" s="188" t="s">
        <v>1369</v>
      </c>
      <c r="D86" s="1052" t="s">
        <v>1370</v>
      </c>
      <c r="E86" s="531">
        <v>0</v>
      </c>
      <c r="F86" s="230">
        <v>0</v>
      </c>
      <c r="G86" s="114">
        <f>(E86*F86)+8736982</f>
        <v>8736982</v>
      </c>
      <c r="H86" s="113"/>
    </row>
    <row r="87" spans="1:8" ht="15.95" customHeight="1" x14ac:dyDescent="0.2">
      <c r="A87" s="5"/>
      <c r="B87" s="229"/>
      <c r="C87" s="188" t="s">
        <v>1371</v>
      </c>
      <c r="D87" s="1052" t="s">
        <v>1372</v>
      </c>
      <c r="E87" s="531">
        <v>0</v>
      </c>
      <c r="F87" s="230">
        <v>0</v>
      </c>
      <c r="G87" s="114">
        <f>(E87*F87)+11202251</f>
        <v>11202251</v>
      </c>
      <c r="H87" s="113"/>
    </row>
    <row r="88" spans="1:8" ht="15.95" customHeight="1" x14ac:dyDescent="0.2">
      <c r="A88" s="5"/>
      <c r="B88" s="229"/>
      <c r="C88" s="188" t="s">
        <v>1373</v>
      </c>
      <c r="D88" s="1052" t="s">
        <v>1374</v>
      </c>
      <c r="E88" s="531">
        <v>0</v>
      </c>
      <c r="F88" s="230">
        <v>0</v>
      </c>
      <c r="G88" s="114">
        <f>(E88*F88)+9095118</f>
        <v>9095118</v>
      </c>
      <c r="H88" s="113"/>
    </row>
    <row r="89" spans="1:8" ht="15.95" customHeight="1" x14ac:dyDescent="0.2">
      <c r="A89" s="5"/>
      <c r="B89" s="229"/>
      <c r="C89" s="188" t="s">
        <v>1375</v>
      </c>
      <c r="D89" s="1052" t="s">
        <v>1376</v>
      </c>
      <c r="E89" s="531">
        <v>0</v>
      </c>
      <c r="F89" s="230">
        <v>0</v>
      </c>
      <c r="G89" s="114">
        <f>(E89*F89)+6994000</f>
        <v>6994000</v>
      </c>
      <c r="H89" s="113"/>
    </row>
    <row r="90" spans="1:8" ht="15.95" customHeight="1" x14ac:dyDescent="0.2">
      <c r="A90" s="5"/>
      <c r="B90" s="229"/>
      <c r="C90" s="980" t="s">
        <v>1379</v>
      </c>
      <c r="D90" s="1052"/>
      <c r="E90" s="531">
        <v>0</v>
      </c>
      <c r="F90" s="230">
        <v>0</v>
      </c>
      <c r="G90" s="114">
        <f>(E90*F90)+0</f>
        <v>0</v>
      </c>
      <c r="H90" s="113"/>
    </row>
    <row r="91" spans="1:8" ht="15.95" customHeight="1" x14ac:dyDescent="0.2">
      <c r="A91" s="5"/>
      <c r="B91" s="229"/>
      <c r="C91" s="188" t="s">
        <v>1375</v>
      </c>
      <c r="D91" s="1052" t="s">
        <v>1376</v>
      </c>
      <c r="E91" s="531"/>
      <c r="F91" s="1053"/>
      <c r="G91" s="114">
        <f>(E91*F91)+12463000</f>
        <v>12463000</v>
      </c>
      <c r="H91" s="113"/>
    </row>
    <row r="92" spans="1:8" ht="15.95" customHeight="1" x14ac:dyDescent="0.2">
      <c r="A92" s="5"/>
      <c r="B92" s="229"/>
      <c r="C92" s="980" t="s">
        <v>1380</v>
      </c>
      <c r="D92" s="1052"/>
      <c r="E92" s="531"/>
      <c r="F92" s="1053"/>
      <c r="G92" s="114">
        <f>(E92*F92)+0</f>
        <v>0</v>
      </c>
      <c r="H92" s="113"/>
    </row>
    <row r="93" spans="1:8" ht="15.95" customHeight="1" x14ac:dyDescent="0.2">
      <c r="A93" s="5"/>
      <c r="B93" s="229"/>
      <c r="C93" s="188" t="s">
        <v>1373</v>
      </c>
      <c r="D93" s="1052" t="s">
        <v>1374</v>
      </c>
      <c r="E93" s="531"/>
      <c r="F93" s="1053"/>
      <c r="G93" s="114">
        <f>(E93*F93)+2350000</f>
        <v>2350000</v>
      </c>
      <c r="H93" s="113"/>
    </row>
    <row r="94" spans="1:8" ht="15.95" customHeight="1" x14ac:dyDescent="0.2">
      <c r="A94" s="5"/>
      <c r="B94" s="229"/>
      <c r="C94" s="188" t="s">
        <v>1375</v>
      </c>
      <c r="D94" s="1052" t="s">
        <v>1376</v>
      </c>
      <c r="E94" s="531"/>
      <c r="F94" s="1053"/>
      <c r="G94" s="114">
        <f>(E94*F94)+8736464</f>
        <v>8736464</v>
      </c>
      <c r="H94" s="113"/>
    </row>
    <row r="95" spans="1:8" ht="15.95" customHeight="1" x14ac:dyDescent="0.2">
      <c r="A95" s="5"/>
      <c r="B95" s="229"/>
      <c r="C95" s="1195" t="s">
        <v>1381</v>
      </c>
      <c r="D95" s="1196"/>
      <c r="E95" s="531"/>
      <c r="F95" s="1053"/>
      <c r="G95" s="114">
        <f>(E95*F95)+0</f>
        <v>0</v>
      </c>
      <c r="H95" s="113"/>
    </row>
    <row r="96" spans="1:8" ht="15.95" customHeight="1" x14ac:dyDescent="0.2">
      <c r="A96" s="5"/>
      <c r="B96" s="229"/>
      <c r="C96" s="188" t="s">
        <v>1373</v>
      </c>
      <c r="D96" s="1052" t="s">
        <v>1374</v>
      </c>
      <c r="E96" s="531"/>
      <c r="F96" s="1053"/>
      <c r="G96" s="114">
        <f>(E96*F96)+4080000</f>
        <v>4080000</v>
      </c>
      <c r="H96" s="113"/>
    </row>
    <row r="97" spans="1:8" ht="15.95" customHeight="1" x14ac:dyDescent="0.2">
      <c r="A97" s="5"/>
      <c r="B97" s="229"/>
      <c r="C97" s="1193" t="s">
        <v>1382</v>
      </c>
      <c r="D97" s="1194"/>
      <c r="E97" s="531"/>
      <c r="F97" s="1053"/>
      <c r="G97" s="114">
        <f>(E97*F97)+0</f>
        <v>0</v>
      </c>
      <c r="H97" s="113"/>
    </row>
    <row r="98" spans="1:8" ht="15.95" customHeight="1" x14ac:dyDescent="0.2">
      <c r="A98" s="5"/>
      <c r="B98" s="229"/>
      <c r="C98" s="188" t="s">
        <v>1373</v>
      </c>
      <c r="D98" s="1052" t="s">
        <v>1374</v>
      </c>
      <c r="E98" s="531"/>
      <c r="F98" s="1053"/>
      <c r="G98" s="114">
        <f>(E98*F98)+4080000</f>
        <v>4080000</v>
      </c>
      <c r="H98" s="113"/>
    </row>
    <row r="99" spans="1:8" ht="15.95" customHeight="1" x14ac:dyDescent="0.2">
      <c r="A99" s="5"/>
      <c r="B99" s="229"/>
      <c r="C99" s="980" t="s">
        <v>1383</v>
      </c>
      <c r="D99" s="1052"/>
      <c r="E99" s="531"/>
      <c r="F99" s="1053"/>
      <c r="G99" s="114">
        <f>(E99*F99)+0</f>
        <v>0</v>
      </c>
      <c r="H99" s="113"/>
    </row>
    <row r="100" spans="1:8" ht="15.95" customHeight="1" x14ac:dyDescent="0.2">
      <c r="A100" s="5"/>
      <c r="B100" s="229"/>
      <c r="C100" s="188" t="s">
        <v>1375</v>
      </c>
      <c r="D100" s="1051" t="s">
        <v>1376</v>
      </c>
      <c r="E100" s="531"/>
      <c r="F100" s="1053"/>
      <c r="G100" s="114">
        <f>(E100*F100)+2721980</f>
        <v>2721980</v>
      </c>
      <c r="H100" s="113"/>
    </row>
    <row r="101" spans="1:8" ht="15.95" customHeight="1" x14ac:dyDescent="0.2">
      <c r="A101" s="5"/>
      <c r="B101" s="229"/>
      <c r="C101" s="1193"/>
      <c r="D101" s="1194"/>
      <c r="E101" s="531"/>
      <c r="F101" s="1053"/>
      <c r="G101" s="114"/>
      <c r="H101" s="113"/>
    </row>
    <row r="102" spans="1:8" ht="15.95" customHeight="1" x14ac:dyDescent="0.2">
      <c r="A102" s="5"/>
      <c r="B102" s="229"/>
      <c r="C102" s="1193" t="s">
        <v>1384</v>
      </c>
      <c r="D102" s="1194"/>
      <c r="E102" s="531"/>
      <c r="F102" s="1053"/>
      <c r="G102" s="114">
        <f>(E102*F102)+0</f>
        <v>0</v>
      </c>
      <c r="H102" s="113"/>
    </row>
    <row r="103" spans="1:8" ht="15.95" customHeight="1" x14ac:dyDescent="0.2">
      <c r="A103" s="5"/>
      <c r="B103" s="229"/>
      <c r="C103" s="188" t="s">
        <v>1385</v>
      </c>
      <c r="D103" s="1052" t="s">
        <v>1376</v>
      </c>
      <c r="E103" s="531"/>
      <c r="F103" s="1053"/>
      <c r="G103" s="114">
        <f>(E103*F103)+600000</f>
        <v>600000</v>
      </c>
      <c r="H103" s="113"/>
    </row>
    <row r="104" spans="1:8" ht="15.95" customHeight="1" x14ac:dyDescent="0.2">
      <c r="A104" s="5"/>
      <c r="B104" s="229"/>
      <c r="C104" s="1193" t="s">
        <v>1386</v>
      </c>
      <c r="D104" s="1194"/>
      <c r="E104" s="531"/>
      <c r="F104" s="1053"/>
      <c r="G104" s="114">
        <f>(E104*F104)+0</f>
        <v>0</v>
      </c>
      <c r="H104" s="113"/>
    </row>
    <row r="105" spans="1:8" ht="15.95" customHeight="1" x14ac:dyDescent="0.2">
      <c r="A105" s="5"/>
      <c r="B105" s="229"/>
      <c r="C105" s="188" t="s">
        <v>1387</v>
      </c>
      <c r="D105" s="1052" t="s">
        <v>1374</v>
      </c>
      <c r="E105" s="531"/>
      <c r="F105" s="1053"/>
      <c r="G105" s="114">
        <f>(E105*F105)+900000</f>
        <v>900000</v>
      </c>
      <c r="H105" s="113"/>
    </row>
    <row r="106" spans="1:8" ht="15.95" customHeight="1" x14ac:dyDescent="0.2">
      <c r="A106" s="5"/>
      <c r="B106" s="229"/>
      <c r="C106" s="1193" t="s">
        <v>1388</v>
      </c>
      <c r="D106" s="1194"/>
      <c r="E106" s="531"/>
      <c r="F106" s="1053"/>
      <c r="G106" s="114">
        <f>(E106*F106)+0</f>
        <v>0</v>
      </c>
      <c r="H106" s="113"/>
    </row>
    <row r="107" spans="1:8" ht="15.95" customHeight="1" x14ac:dyDescent="0.2">
      <c r="A107" s="5"/>
      <c r="B107" s="229"/>
      <c r="C107" s="188" t="s">
        <v>1389</v>
      </c>
      <c r="D107" s="1052"/>
      <c r="E107" s="531"/>
      <c r="F107" s="1053"/>
      <c r="G107" s="114">
        <f>(E107*F107)+1653720</f>
        <v>1653720</v>
      </c>
      <c r="H107" s="113"/>
    </row>
    <row r="108" spans="1:8" ht="15.95" customHeight="1" x14ac:dyDescent="0.2">
      <c r="A108" s="5"/>
      <c r="B108" s="229"/>
      <c r="C108" s="188" t="s">
        <v>1390</v>
      </c>
      <c r="D108" s="1052" t="s">
        <v>1391</v>
      </c>
      <c r="E108" s="531">
        <v>15</v>
      </c>
      <c r="F108" s="230" t="s">
        <v>1392</v>
      </c>
      <c r="G108" s="114">
        <v>1200000</v>
      </c>
      <c r="H108" s="113"/>
    </row>
    <row r="109" spans="1:8" ht="15.95" customHeight="1" x14ac:dyDescent="0.2">
      <c r="A109" s="5"/>
      <c r="B109" s="229"/>
      <c r="C109" s="188"/>
      <c r="D109" s="102"/>
      <c r="E109" s="531"/>
      <c r="F109" s="230"/>
      <c r="G109" s="114"/>
      <c r="H109" s="113"/>
    </row>
    <row r="110" spans="1:8" ht="15.95" customHeight="1" x14ac:dyDescent="0.2">
      <c r="A110" s="5"/>
      <c r="B110" s="229"/>
      <c r="C110" s="980" t="s">
        <v>1393</v>
      </c>
      <c r="D110" s="102"/>
      <c r="E110" s="531"/>
      <c r="F110" s="230"/>
      <c r="G110" s="114"/>
      <c r="H110" s="113"/>
    </row>
    <row r="111" spans="1:8" ht="15.95" customHeight="1" x14ac:dyDescent="0.2">
      <c r="A111" s="5"/>
      <c r="B111" s="229"/>
      <c r="C111" s="188" t="s">
        <v>214</v>
      </c>
      <c r="D111" s="103" t="s">
        <v>1394</v>
      </c>
      <c r="E111" s="531">
        <v>0</v>
      </c>
      <c r="F111" s="99"/>
      <c r="G111" s="114">
        <v>8000000</v>
      </c>
      <c r="H111" s="113"/>
    </row>
    <row r="112" spans="1:8" ht="15.95" customHeight="1" x14ac:dyDescent="0.2">
      <c r="A112" s="5"/>
      <c r="B112" s="229"/>
      <c r="C112" s="188"/>
      <c r="D112" s="102"/>
      <c r="E112" s="531"/>
      <c r="F112" s="230"/>
      <c r="G112" s="114"/>
      <c r="H112" s="113"/>
    </row>
    <row r="113" spans="1:8" ht="15.95" customHeight="1" x14ac:dyDescent="0.2">
      <c r="A113" s="5"/>
      <c r="B113" s="229"/>
      <c r="C113" s="980" t="s">
        <v>1395</v>
      </c>
      <c r="D113" s="103"/>
      <c r="E113" s="531"/>
      <c r="F113" s="99"/>
      <c r="G113" s="114"/>
      <c r="H113" s="113"/>
    </row>
    <row r="114" spans="1:8" ht="15.95" customHeight="1" x14ac:dyDescent="0.2">
      <c r="A114" s="5"/>
      <c r="B114" s="229"/>
      <c r="C114" s="188" t="s">
        <v>215</v>
      </c>
      <c r="D114" s="103" t="s">
        <v>1396</v>
      </c>
      <c r="E114" s="531"/>
      <c r="F114" s="99"/>
      <c r="G114" s="114">
        <v>3000000</v>
      </c>
      <c r="H114" s="113"/>
    </row>
    <row r="115" spans="1:8" ht="15.95" customHeight="1" x14ac:dyDescent="0.2">
      <c r="A115" s="5"/>
      <c r="B115" s="229"/>
      <c r="C115" s="188"/>
      <c r="D115" s="102"/>
      <c r="E115" s="531"/>
      <c r="F115" s="230"/>
      <c r="G115" s="114"/>
      <c r="H115" s="113"/>
    </row>
    <row r="116" spans="1:8" ht="15.95" customHeight="1" x14ac:dyDescent="0.2">
      <c r="A116" s="5"/>
      <c r="B116" s="229"/>
      <c r="C116" s="188"/>
      <c r="D116" s="102"/>
      <c r="E116" s="531"/>
      <c r="F116" s="230"/>
      <c r="G116" s="114"/>
      <c r="H116" s="113"/>
    </row>
    <row r="117" spans="1:8" ht="15.95" customHeight="1" x14ac:dyDescent="0.2">
      <c r="A117" s="5"/>
      <c r="B117" s="229"/>
      <c r="C117" s="188"/>
      <c r="D117" s="102"/>
      <c r="E117" s="531"/>
      <c r="F117" s="230"/>
      <c r="G117" s="114"/>
      <c r="H117" s="113"/>
    </row>
    <row r="118" spans="1:8" ht="15.95" customHeight="1" x14ac:dyDescent="0.2">
      <c r="A118" s="5"/>
      <c r="B118" s="229"/>
      <c r="C118" s="188"/>
      <c r="D118" s="102"/>
      <c r="E118" s="531">
        <v>0</v>
      </c>
      <c r="F118" s="230">
        <v>0</v>
      </c>
      <c r="G118" s="114">
        <f t="shared" ref="G118:G124" si="2">E118*F118</f>
        <v>0</v>
      </c>
      <c r="H118" s="113"/>
    </row>
    <row r="119" spans="1:8" ht="15.95" customHeight="1" x14ac:dyDescent="0.2">
      <c r="A119" s="5"/>
      <c r="B119" s="229"/>
      <c r="C119" s="188"/>
      <c r="D119" s="102"/>
      <c r="E119" s="531">
        <v>0</v>
      </c>
      <c r="F119" s="230">
        <v>0</v>
      </c>
      <c r="G119" s="114">
        <f t="shared" si="2"/>
        <v>0</v>
      </c>
      <c r="H119" s="113"/>
    </row>
    <row r="120" spans="1:8" ht="15.95" customHeight="1" x14ac:dyDescent="0.2">
      <c r="A120" s="5"/>
      <c r="B120" s="229"/>
      <c r="C120" s="188"/>
      <c r="D120" s="102"/>
      <c r="E120" s="531">
        <v>0</v>
      </c>
      <c r="F120" s="230">
        <v>0</v>
      </c>
      <c r="G120" s="114">
        <f t="shared" si="2"/>
        <v>0</v>
      </c>
      <c r="H120" s="113"/>
    </row>
    <row r="121" spans="1:8" ht="15.95" customHeight="1" x14ac:dyDescent="0.2">
      <c r="A121" s="5"/>
      <c r="B121" s="229"/>
      <c r="C121" s="188"/>
      <c r="D121" s="102"/>
      <c r="E121" s="531">
        <v>0</v>
      </c>
      <c r="F121" s="230">
        <v>0</v>
      </c>
      <c r="G121" s="114">
        <f t="shared" si="2"/>
        <v>0</v>
      </c>
      <c r="H121" s="113"/>
    </row>
    <row r="122" spans="1:8" ht="15.95" customHeight="1" x14ac:dyDescent="0.2">
      <c r="A122" s="5"/>
      <c r="B122" s="229"/>
      <c r="C122" s="188"/>
      <c r="D122" s="102"/>
      <c r="E122" s="531">
        <v>0</v>
      </c>
      <c r="F122" s="230">
        <v>0</v>
      </c>
      <c r="G122" s="114">
        <f t="shared" si="2"/>
        <v>0</v>
      </c>
      <c r="H122" s="113"/>
    </row>
    <row r="123" spans="1:8" ht="15.95" customHeight="1" x14ac:dyDescent="0.2">
      <c r="A123" s="5"/>
      <c r="B123" s="229"/>
      <c r="C123" s="188"/>
      <c r="D123" s="102"/>
      <c r="E123" s="531">
        <v>0</v>
      </c>
      <c r="F123" s="230">
        <v>0</v>
      </c>
      <c r="G123" s="114">
        <f t="shared" si="2"/>
        <v>0</v>
      </c>
      <c r="H123" s="113"/>
    </row>
    <row r="124" spans="1:8" ht="15.95" customHeight="1" x14ac:dyDescent="0.2">
      <c r="A124" s="5"/>
      <c r="B124" s="229"/>
      <c r="C124" s="188"/>
      <c r="D124" s="102"/>
      <c r="E124" s="531">
        <v>0</v>
      </c>
      <c r="F124" s="230">
        <v>0</v>
      </c>
      <c r="G124" s="114">
        <f t="shared" si="2"/>
        <v>0</v>
      </c>
      <c r="H124" s="113"/>
    </row>
    <row r="125" spans="1:8" ht="15.95" customHeight="1" x14ac:dyDescent="0.2">
      <c r="A125" s="5"/>
      <c r="B125" s="229"/>
      <c r="C125" s="188"/>
      <c r="D125" s="102"/>
      <c r="E125" s="531"/>
      <c r="F125" s="99"/>
      <c r="G125" s="114">
        <f t="shared" si="1"/>
        <v>0</v>
      </c>
      <c r="H125" s="113"/>
    </row>
    <row r="126" spans="1:8" ht="15.95" customHeight="1" x14ac:dyDescent="0.2">
      <c r="A126" s="5"/>
      <c r="B126" s="229"/>
      <c r="C126" s="188"/>
      <c r="D126" s="102"/>
      <c r="E126" s="531"/>
      <c r="F126" s="99"/>
      <c r="G126" s="114">
        <f t="shared" si="1"/>
        <v>0</v>
      </c>
      <c r="H126" s="113"/>
    </row>
    <row r="127" spans="1:8" ht="15.95" customHeight="1" x14ac:dyDescent="0.2">
      <c r="A127" s="5"/>
      <c r="B127" s="229"/>
      <c r="C127" s="188"/>
      <c r="D127" s="102"/>
      <c r="E127" s="531"/>
      <c r="F127" s="99"/>
      <c r="G127" s="114">
        <f t="shared" si="1"/>
        <v>0</v>
      </c>
      <c r="H127" s="113"/>
    </row>
    <row r="128" spans="1:8" ht="15.95" customHeight="1" x14ac:dyDescent="0.2">
      <c r="A128" s="5"/>
      <c r="B128" s="229"/>
      <c r="C128" s="188"/>
      <c r="D128" s="102"/>
      <c r="E128" s="531"/>
      <c r="F128" s="99"/>
      <c r="G128" s="114">
        <f t="shared" si="1"/>
        <v>0</v>
      </c>
      <c r="H128" s="113"/>
    </row>
    <row r="129" spans="1:18" ht="15.95" customHeight="1" x14ac:dyDescent="0.2">
      <c r="A129" s="5"/>
      <c r="B129" s="229"/>
      <c r="C129" s="188"/>
      <c r="D129" s="102"/>
      <c r="E129" s="531"/>
      <c r="F129" s="99"/>
      <c r="G129" s="114">
        <f t="shared" si="1"/>
        <v>0</v>
      </c>
      <c r="H129" s="113"/>
    </row>
    <row r="130" spans="1:18" ht="15.95" customHeight="1" x14ac:dyDescent="0.2">
      <c r="A130" s="5"/>
      <c r="B130" s="229"/>
      <c r="C130" s="188"/>
      <c r="D130" s="102"/>
      <c r="E130" s="531"/>
      <c r="F130" s="99"/>
      <c r="G130" s="114">
        <f t="shared" si="1"/>
        <v>0</v>
      </c>
      <c r="H130" s="113"/>
    </row>
    <row r="131" spans="1:18" ht="15.95" customHeight="1" x14ac:dyDescent="0.2">
      <c r="A131" s="5"/>
      <c r="B131" s="229"/>
      <c r="C131" s="188"/>
      <c r="D131" s="102"/>
      <c r="E131" s="531"/>
      <c r="F131" s="99"/>
      <c r="G131" s="114">
        <f t="shared" si="1"/>
        <v>0</v>
      </c>
      <c r="H131" s="113"/>
    </row>
    <row r="132" spans="1:18" ht="15.95" customHeight="1" x14ac:dyDescent="0.2">
      <c r="A132" s="5"/>
      <c r="B132" s="229"/>
      <c r="C132" s="188"/>
      <c r="D132" s="102"/>
      <c r="E132" s="531"/>
      <c r="F132" s="99"/>
      <c r="G132" s="114">
        <f t="shared" si="1"/>
        <v>0</v>
      </c>
      <c r="H132" s="113"/>
    </row>
    <row r="133" spans="1:18" ht="15.95" customHeight="1" x14ac:dyDescent="0.2">
      <c r="A133" s="5"/>
      <c r="B133" s="229"/>
      <c r="C133" s="188"/>
      <c r="D133" s="102"/>
      <c r="E133" s="531"/>
      <c r="F133" s="99"/>
      <c r="G133" s="114">
        <f t="shared" si="1"/>
        <v>0</v>
      </c>
      <c r="H133" s="113"/>
    </row>
    <row r="134" spans="1:18" ht="15.95" customHeight="1" x14ac:dyDescent="0.2">
      <c r="A134" s="5"/>
      <c r="B134" s="229"/>
      <c r="C134" s="188"/>
      <c r="D134" s="102"/>
      <c r="E134" s="531"/>
      <c r="F134" s="99"/>
      <c r="G134" s="114">
        <f t="shared" si="1"/>
        <v>0</v>
      </c>
      <c r="H134" s="113"/>
    </row>
    <row r="135" spans="1:18" ht="15.95" customHeight="1" x14ac:dyDescent="0.2">
      <c r="A135" s="5"/>
      <c r="B135" s="229"/>
      <c r="C135" s="188"/>
      <c r="D135" s="102"/>
      <c r="E135" s="531"/>
      <c r="F135" s="99"/>
      <c r="G135" s="114">
        <f t="shared" si="1"/>
        <v>0</v>
      </c>
      <c r="H135" s="113"/>
    </row>
    <row r="136" spans="1:18" ht="15.95" customHeight="1" x14ac:dyDescent="0.2">
      <c r="A136" s="5"/>
      <c r="B136" s="229"/>
      <c r="C136" s="188"/>
      <c r="D136" s="102"/>
      <c r="E136" s="531"/>
      <c r="F136" s="99"/>
      <c r="G136" s="114">
        <f t="shared" si="1"/>
        <v>0</v>
      </c>
      <c r="H136" s="113"/>
    </row>
    <row r="137" spans="1:18" ht="15.95" customHeight="1" x14ac:dyDescent="0.2">
      <c r="A137" s="5"/>
      <c r="B137" s="229"/>
      <c r="C137" s="188"/>
      <c r="D137" s="102"/>
      <c r="E137" s="531"/>
      <c r="F137" s="99"/>
      <c r="G137" s="114">
        <f t="shared" si="1"/>
        <v>0</v>
      </c>
      <c r="H137" s="113"/>
    </row>
    <row r="138" spans="1:18" ht="15.95" customHeight="1" thickBot="1" x14ac:dyDescent="0.25">
      <c r="A138" s="5"/>
      <c r="B138" s="311">
        <v>5110350100</v>
      </c>
      <c r="C138" s="1205" t="s">
        <v>684</v>
      </c>
      <c r="D138" s="1206"/>
      <c r="E138" s="533">
        <f>SUM(E75:E137)</f>
        <v>15</v>
      </c>
      <c r="F138" s="312"/>
      <c r="G138" s="313">
        <f>SUM(G75:G137)</f>
        <v>151913047</v>
      </c>
      <c r="H138" s="113"/>
    </row>
    <row r="139" spans="1:18" ht="6" customHeight="1" thickBot="1" x14ac:dyDescent="0.25">
      <c r="A139" s="5"/>
      <c r="B139" s="5"/>
    </row>
    <row r="140" spans="1:18" ht="14.25" thickBot="1" x14ac:dyDescent="0.25">
      <c r="A140" s="5"/>
      <c r="B140" s="5"/>
      <c r="D140" s="1198" t="s">
        <v>43</v>
      </c>
      <c r="E140" s="1198"/>
      <c r="F140" s="117"/>
      <c r="G140" s="118">
        <f>+G73+G138</f>
        <v>303826094</v>
      </c>
      <c r="H140" s="119"/>
    </row>
    <row r="141" spans="1:18" ht="13.5" thickBot="1" x14ac:dyDescent="0.25">
      <c r="A141" s="5"/>
      <c r="B141" s="5"/>
    </row>
    <row r="142" spans="1:18" ht="18.75" customHeight="1" thickBot="1" x14ac:dyDescent="0.25">
      <c r="A142" s="5"/>
      <c r="B142" s="1199" t="s">
        <v>688</v>
      </c>
      <c r="C142" s="1200"/>
      <c r="D142" s="1200"/>
      <c r="E142" s="1200"/>
      <c r="F142" s="1200"/>
      <c r="G142" s="1201"/>
    </row>
    <row r="143" spans="1:18" s="152" customFormat="1" ht="39" customHeight="1" thickBot="1" x14ac:dyDescent="0.25">
      <c r="A143" s="5"/>
      <c r="B143" s="186" t="s">
        <v>419</v>
      </c>
      <c r="C143" s="107" t="s">
        <v>229</v>
      </c>
      <c r="D143" s="107" t="s">
        <v>230</v>
      </c>
      <c r="E143" s="534" t="s">
        <v>500</v>
      </c>
      <c r="F143" s="120" t="s">
        <v>226</v>
      </c>
      <c r="G143" s="110" t="s">
        <v>227</v>
      </c>
      <c r="H143" s="111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</row>
    <row r="144" spans="1:18" ht="13.5" thickBot="1" x14ac:dyDescent="0.25">
      <c r="A144" s="5"/>
      <c r="B144" s="1202" t="s">
        <v>681</v>
      </c>
      <c r="C144" s="1203"/>
      <c r="D144" s="1203"/>
      <c r="E144" s="1203"/>
      <c r="F144" s="1203"/>
      <c r="G144" s="1204"/>
    </row>
    <row r="145" spans="1:12" ht="18" x14ac:dyDescent="0.2">
      <c r="A145" s="5"/>
      <c r="B145" s="229"/>
      <c r="C145" s="187"/>
      <c r="D145" s="570" t="s">
        <v>169</v>
      </c>
      <c r="E145" s="532">
        <v>0</v>
      </c>
      <c r="F145" s="99">
        <f>MROUND($L$148*$M$26,1000)</f>
        <v>0</v>
      </c>
      <c r="G145" s="114">
        <f t="shared" ref="G145:G153" si="3">E145*F145</f>
        <v>0</v>
      </c>
      <c r="I145" s="1197" t="s">
        <v>433</v>
      </c>
      <c r="J145" s="1197"/>
      <c r="K145" s="1197"/>
      <c r="L145" s="1197"/>
    </row>
    <row r="146" spans="1:12" x14ac:dyDescent="0.2">
      <c r="A146" s="5"/>
      <c r="B146" s="229"/>
      <c r="C146" s="187"/>
      <c r="D146" s="102" t="s">
        <v>169</v>
      </c>
      <c r="E146" s="532">
        <v>0</v>
      </c>
      <c r="F146" s="99">
        <v>0</v>
      </c>
      <c r="G146" s="114">
        <f t="shared" si="3"/>
        <v>0</v>
      </c>
      <c r="I146" s="232" t="s">
        <v>435</v>
      </c>
      <c r="J146" s="232"/>
      <c r="K146" s="232"/>
      <c r="L146" s="232"/>
    </row>
    <row r="147" spans="1:12" x14ac:dyDescent="0.2">
      <c r="A147" s="5"/>
      <c r="B147" s="229"/>
      <c r="C147" s="188"/>
      <c r="D147" s="102" t="s">
        <v>169</v>
      </c>
      <c r="E147" s="532">
        <v>0</v>
      </c>
      <c r="F147" s="99">
        <v>0</v>
      </c>
      <c r="G147" s="114">
        <f t="shared" si="3"/>
        <v>0</v>
      </c>
      <c r="I147" s="232" t="s">
        <v>200</v>
      </c>
      <c r="J147" s="232"/>
      <c r="K147" s="232"/>
      <c r="L147" s="232"/>
    </row>
    <row r="148" spans="1:12" x14ac:dyDescent="0.2">
      <c r="A148" s="5"/>
      <c r="B148" s="229"/>
      <c r="C148" s="188"/>
      <c r="D148" s="102" t="s">
        <v>169</v>
      </c>
      <c r="E148" s="532">
        <v>0</v>
      </c>
      <c r="F148" s="99">
        <v>0</v>
      </c>
      <c r="G148" s="114">
        <f t="shared" si="3"/>
        <v>0</v>
      </c>
      <c r="I148" s="104" t="s">
        <v>737</v>
      </c>
    </row>
    <row r="149" spans="1:12" x14ac:dyDescent="0.2">
      <c r="A149" s="5"/>
      <c r="B149" s="229"/>
      <c r="C149" s="188"/>
      <c r="D149" s="102"/>
      <c r="E149" s="532">
        <v>0</v>
      </c>
      <c r="F149" s="99">
        <v>0</v>
      </c>
      <c r="G149" s="114">
        <f t="shared" si="3"/>
        <v>0</v>
      </c>
    </row>
    <row r="150" spans="1:12" x14ac:dyDescent="0.2">
      <c r="A150" s="5"/>
      <c r="B150" s="229"/>
      <c r="C150" s="188"/>
      <c r="D150" s="102"/>
      <c r="E150" s="532">
        <v>0</v>
      </c>
      <c r="F150" s="99">
        <v>0</v>
      </c>
      <c r="G150" s="114">
        <f t="shared" si="3"/>
        <v>0</v>
      </c>
    </row>
    <row r="151" spans="1:12" x14ac:dyDescent="0.2">
      <c r="A151" s="5"/>
      <c r="B151" s="229"/>
      <c r="C151" s="188"/>
      <c r="D151" s="102"/>
      <c r="E151" s="532">
        <v>0</v>
      </c>
      <c r="F151" s="99">
        <v>0</v>
      </c>
      <c r="G151" s="114">
        <f t="shared" si="3"/>
        <v>0</v>
      </c>
    </row>
    <row r="152" spans="1:12" x14ac:dyDescent="0.2">
      <c r="A152" s="5"/>
      <c r="B152" s="229"/>
      <c r="C152" s="188"/>
      <c r="D152" s="102"/>
      <c r="E152" s="532">
        <v>0</v>
      </c>
      <c r="F152" s="99">
        <v>0</v>
      </c>
      <c r="G152" s="114">
        <f t="shared" si="3"/>
        <v>0</v>
      </c>
    </row>
    <row r="153" spans="1:12" ht="13.5" thickBot="1" x14ac:dyDescent="0.25">
      <c r="A153" s="5"/>
      <c r="B153" s="229"/>
      <c r="C153" s="188"/>
      <c r="D153" s="571"/>
      <c r="E153" s="532">
        <v>0</v>
      </c>
      <c r="F153" s="99">
        <v>0</v>
      </c>
      <c r="G153" s="114">
        <f t="shared" si="3"/>
        <v>0</v>
      </c>
    </row>
    <row r="154" spans="1:12" ht="13.5" thickBot="1" x14ac:dyDescent="0.25">
      <c r="A154" s="5"/>
      <c r="B154" s="311">
        <v>5110950000</v>
      </c>
      <c r="C154" s="1205" t="s">
        <v>682</v>
      </c>
      <c r="D154" s="1206"/>
      <c r="E154" s="533">
        <f>SUM(E145:E153)</f>
        <v>0</v>
      </c>
      <c r="F154" s="312"/>
      <c r="G154" s="763">
        <f>SUM(G145:G153)</f>
        <v>0</v>
      </c>
    </row>
    <row r="155" spans="1:12" ht="13.5" thickBot="1" x14ac:dyDescent="0.25">
      <c r="A155" s="5"/>
      <c r="B155" s="1202" t="s">
        <v>683</v>
      </c>
      <c r="C155" s="1203"/>
      <c r="D155" s="1203"/>
      <c r="E155" s="1203"/>
      <c r="F155" s="1203"/>
      <c r="G155" s="1204"/>
    </row>
    <row r="156" spans="1:12" x14ac:dyDescent="0.2">
      <c r="A156" s="5"/>
      <c r="B156" s="229"/>
      <c r="C156" s="188"/>
      <c r="D156" s="570" t="s">
        <v>169</v>
      </c>
      <c r="E156" s="532">
        <v>0</v>
      </c>
      <c r="F156" s="99">
        <f>MROUND($L$148*$M$26,1000)</f>
        <v>0</v>
      </c>
      <c r="G156" s="114">
        <f t="shared" ref="G156:G164" si="4">E156*F156</f>
        <v>0</v>
      </c>
    </row>
    <row r="157" spans="1:12" x14ac:dyDescent="0.2">
      <c r="A157" s="5"/>
      <c r="B157" s="229"/>
      <c r="C157" s="188"/>
      <c r="D157" s="102" t="s">
        <v>169</v>
      </c>
      <c r="E157" s="532">
        <v>0</v>
      </c>
      <c r="F157" s="99">
        <v>0</v>
      </c>
      <c r="G157" s="114">
        <f t="shared" si="4"/>
        <v>0</v>
      </c>
    </row>
    <row r="158" spans="1:12" x14ac:dyDescent="0.2">
      <c r="A158" s="5"/>
      <c r="B158" s="229"/>
      <c r="C158" s="188"/>
      <c r="D158" s="102" t="s">
        <v>169</v>
      </c>
      <c r="E158" s="532">
        <v>0</v>
      </c>
      <c r="F158" s="99">
        <v>0</v>
      </c>
      <c r="G158" s="114">
        <f t="shared" si="4"/>
        <v>0</v>
      </c>
    </row>
    <row r="159" spans="1:12" x14ac:dyDescent="0.2">
      <c r="A159" s="5"/>
      <c r="B159" s="229"/>
      <c r="C159" s="188"/>
      <c r="D159" s="102" t="s">
        <v>169</v>
      </c>
      <c r="E159" s="532">
        <v>0</v>
      </c>
      <c r="F159" s="99">
        <v>0</v>
      </c>
      <c r="G159" s="114">
        <f t="shared" si="4"/>
        <v>0</v>
      </c>
    </row>
    <row r="160" spans="1:12" x14ac:dyDescent="0.2">
      <c r="A160" s="5"/>
      <c r="B160" s="229"/>
      <c r="C160" s="188"/>
      <c r="D160" s="102"/>
      <c r="E160" s="532">
        <v>0</v>
      </c>
      <c r="F160" s="99">
        <v>0</v>
      </c>
      <c r="G160" s="114">
        <f t="shared" si="4"/>
        <v>0</v>
      </c>
    </row>
    <row r="161" spans="1:8" x14ac:dyDescent="0.2">
      <c r="A161" s="5"/>
      <c r="B161" s="229"/>
      <c r="C161" s="188"/>
      <c r="D161" s="102"/>
      <c r="E161" s="532">
        <v>0</v>
      </c>
      <c r="F161" s="99">
        <v>0</v>
      </c>
      <c r="G161" s="114">
        <f t="shared" si="4"/>
        <v>0</v>
      </c>
    </row>
    <row r="162" spans="1:8" x14ac:dyDescent="0.2">
      <c r="A162" s="5"/>
      <c r="B162" s="229"/>
      <c r="C162" s="188"/>
      <c r="D162" s="102"/>
      <c r="E162" s="532">
        <v>0</v>
      </c>
      <c r="F162" s="99">
        <v>0</v>
      </c>
      <c r="G162" s="114">
        <f t="shared" si="4"/>
        <v>0</v>
      </c>
    </row>
    <row r="163" spans="1:8" x14ac:dyDescent="0.2">
      <c r="A163" s="5"/>
      <c r="B163" s="229"/>
      <c r="C163" s="188"/>
      <c r="D163" s="102"/>
      <c r="E163" s="532">
        <v>0</v>
      </c>
      <c r="F163" s="99">
        <v>0</v>
      </c>
      <c r="G163" s="114">
        <f t="shared" si="4"/>
        <v>0</v>
      </c>
    </row>
    <row r="164" spans="1:8" ht="13.5" thickBot="1" x14ac:dyDescent="0.25">
      <c r="A164" s="5"/>
      <c r="B164" s="229"/>
      <c r="C164" s="190"/>
      <c r="D164" s="571"/>
      <c r="E164" s="536">
        <v>0</v>
      </c>
      <c r="F164" s="100">
        <v>0</v>
      </c>
      <c r="G164" s="115">
        <f t="shared" si="4"/>
        <v>0</v>
      </c>
    </row>
    <row r="165" spans="1:8" ht="13.5" thickBot="1" x14ac:dyDescent="0.25">
      <c r="A165" s="5"/>
      <c r="B165" s="311">
        <v>5110950000</v>
      </c>
      <c r="C165" s="1205" t="s">
        <v>684</v>
      </c>
      <c r="D165" s="1206"/>
      <c r="E165" s="533">
        <f>SUM(E156:E164)</f>
        <v>0</v>
      </c>
      <c r="F165" s="312"/>
      <c r="G165" s="763">
        <f>SUM(G156:G164)</f>
        <v>0</v>
      </c>
    </row>
    <row r="166" spans="1:8" ht="12.75" customHeight="1" thickBot="1" x14ac:dyDescent="0.25">
      <c r="A166" s="5"/>
      <c r="B166" s="5"/>
    </row>
    <row r="167" spans="1:8" ht="14.25" thickBot="1" x14ac:dyDescent="0.25">
      <c r="A167" s="5"/>
      <c r="B167" s="5"/>
      <c r="D167" s="1198" t="s">
        <v>231</v>
      </c>
      <c r="E167" s="1198"/>
      <c r="F167" s="117"/>
      <c r="G167" s="118">
        <f>+G154+G165</f>
        <v>0</v>
      </c>
      <c r="H167" s="119"/>
    </row>
    <row r="168" spans="1:8" x14ac:dyDescent="0.2">
      <c r="A168" s="5"/>
      <c r="B168" s="5"/>
    </row>
    <row r="169" spans="1:8" x14ac:dyDescent="0.2">
      <c r="A169" s="5"/>
      <c r="B169" s="5"/>
      <c r="C169" s="5"/>
      <c r="D169" s="5"/>
      <c r="E169" s="5"/>
      <c r="F169" s="5"/>
      <c r="G169" s="5"/>
      <c r="H169" s="5"/>
    </row>
    <row r="170" spans="1:8" x14ac:dyDescent="0.2">
      <c r="A170" s="5"/>
      <c r="B170" s="5"/>
      <c r="C170" s="5"/>
      <c r="D170" s="5"/>
      <c r="E170" s="5"/>
      <c r="F170" s="5"/>
      <c r="G170" s="5"/>
      <c r="H170" s="5"/>
    </row>
    <row r="171" spans="1:8" x14ac:dyDescent="0.2">
      <c r="A171" s="5"/>
      <c r="B171" s="5"/>
      <c r="C171" s="5"/>
      <c r="D171" s="5"/>
      <c r="E171" s="5"/>
      <c r="F171" s="5"/>
      <c r="G171" s="5"/>
      <c r="H171" s="5"/>
    </row>
    <row r="172" spans="1:8" x14ac:dyDescent="0.2">
      <c r="A172" s="5"/>
      <c r="B172" s="5"/>
      <c r="C172" s="5"/>
      <c r="D172" s="5"/>
      <c r="E172" s="5"/>
      <c r="F172" s="5"/>
      <c r="G172" s="5"/>
      <c r="H172" s="5"/>
    </row>
    <row r="173" spans="1:8" x14ac:dyDescent="0.2">
      <c r="A173" s="5"/>
      <c r="B173" s="5"/>
      <c r="C173" s="5"/>
      <c r="D173" s="5"/>
      <c r="E173" s="5"/>
      <c r="F173" s="5"/>
      <c r="G173" s="5"/>
      <c r="H173" s="5"/>
    </row>
    <row r="174" spans="1:8" x14ac:dyDescent="0.2">
      <c r="A174" s="5"/>
      <c r="B174" s="5"/>
      <c r="C174" s="5"/>
      <c r="D174" s="5"/>
      <c r="E174" s="5"/>
      <c r="F174" s="5"/>
      <c r="G174" s="5"/>
      <c r="H174" s="5"/>
    </row>
    <row r="175" spans="1:8" x14ac:dyDescent="0.2">
      <c r="A175" s="5"/>
      <c r="B175" s="5"/>
      <c r="C175" s="5"/>
      <c r="D175" s="5"/>
      <c r="E175" s="5"/>
      <c r="F175" s="5"/>
      <c r="G175" s="5"/>
      <c r="H175" s="5"/>
    </row>
    <row r="176" spans="1:8" x14ac:dyDescent="0.2">
      <c r="A176" s="5"/>
      <c r="B176" s="5"/>
      <c r="C176" s="5"/>
      <c r="D176" s="5"/>
      <c r="E176" s="5"/>
      <c r="F176" s="5"/>
      <c r="G176" s="5"/>
      <c r="H176" s="5"/>
    </row>
    <row r="177" spans="1:8" x14ac:dyDescent="0.2">
      <c r="A177" s="5"/>
      <c r="B177" s="5"/>
      <c r="C177" s="5"/>
      <c r="D177" s="5"/>
      <c r="E177" s="5"/>
      <c r="F177" s="5"/>
      <c r="G177" s="5"/>
      <c r="H177" s="5"/>
    </row>
    <row r="178" spans="1:8" x14ac:dyDescent="0.2">
      <c r="A178" s="5"/>
      <c r="B178" s="5"/>
      <c r="C178" s="5"/>
      <c r="D178" s="5"/>
      <c r="E178" s="5"/>
      <c r="F178" s="5"/>
      <c r="G178" s="5"/>
      <c r="H178" s="5"/>
    </row>
    <row r="179" spans="1:8" x14ac:dyDescent="0.2">
      <c r="A179" s="5"/>
      <c r="B179" s="5"/>
      <c r="C179" s="5"/>
      <c r="D179" s="5"/>
      <c r="E179" s="5"/>
      <c r="F179" s="5"/>
      <c r="G179" s="5"/>
      <c r="H179" s="5"/>
    </row>
    <row r="180" spans="1:8" x14ac:dyDescent="0.2">
      <c r="A180" s="5"/>
      <c r="B180" s="5"/>
      <c r="C180" s="5"/>
      <c r="D180" s="5"/>
      <c r="E180" s="5"/>
      <c r="F180" s="5"/>
      <c r="G180" s="5"/>
      <c r="H180" s="5"/>
    </row>
    <row r="181" spans="1:8" x14ac:dyDescent="0.2">
      <c r="A181" s="5"/>
      <c r="B181" s="5"/>
      <c r="C181" s="5"/>
      <c r="D181" s="5"/>
      <c r="E181" s="5"/>
      <c r="F181" s="5"/>
      <c r="G181" s="5"/>
      <c r="H181" s="5"/>
    </row>
    <row r="182" spans="1:8" x14ac:dyDescent="0.2">
      <c r="A182" s="5"/>
      <c r="B182" s="5"/>
      <c r="C182" s="5"/>
      <c r="D182" s="5"/>
      <c r="E182" s="5"/>
      <c r="F182" s="5"/>
      <c r="G182" s="5"/>
      <c r="H182" s="5"/>
    </row>
    <row r="183" spans="1:8" x14ac:dyDescent="0.2">
      <c r="A183" s="5"/>
      <c r="B183" s="5"/>
      <c r="C183" s="5"/>
      <c r="D183" s="5"/>
      <c r="E183" s="5"/>
      <c r="F183" s="5"/>
      <c r="G183" s="5"/>
      <c r="H183" s="5"/>
    </row>
    <row r="184" spans="1:8" x14ac:dyDescent="0.2">
      <c r="A184" s="5"/>
      <c r="B184" s="5"/>
      <c r="C184" s="5"/>
      <c r="D184" s="5"/>
      <c r="E184" s="5"/>
      <c r="F184" s="5"/>
      <c r="G184" s="5"/>
      <c r="H184" s="5"/>
    </row>
    <row r="185" spans="1:8" x14ac:dyDescent="0.2">
      <c r="A185" s="5"/>
      <c r="B185" s="5"/>
      <c r="C185" s="5"/>
      <c r="D185" s="5"/>
      <c r="E185" s="5"/>
      <c r="F185" s="5"/>
      <c r="G185" s="5"/>
      <c r="H185" s="5"/>
    </row>
    <row r="186" spans="1:8" x14ac:dyDescent="0.2">
      <c r="A186" s="5"/>
      <c r="B186" s="5"/>
      <c r="C186" s="5"/>
      <c r="D186" s="5"/>
      <c r="E186" s="5"/>
      <c r="F186" s="5"/>
      <c r="G186" s="5"/>
      <c r="H186" s="5"/>
    </row>
    <row r="187" spans="1:8" x14ac:dyDescent="0.2">
      <c r="A187" s="5"/>
      <c r="B187" s="5"/>
      <c r="C187" s="5"/>
      <c r="D187" s="5"/>
      <c r="E187" s="5"/>
      <c r="F187" s="5"/>
      <c r="G187" s="5"/>
      <c r="H187" s="5"/>
    </row>
    <row r="188" spans="1:8" x14ac:dyDescent="0.2">
      <c r="A188" s="5"/>
      <c r="B188" s="5"/>
      <c r="C188" s="5"/>
      <c r="D188" s="5"/>
      <c r="E188" s="5"/>
      <c r="F188" s="5"/>
      <c r="G188" s="5"/>
      <c r="H188" s="5"/>
    </row>
    <row r="189" spans="1:8" x14ac:dyDescent="0.2">
      <c r="A189" s="5"/>
      <c r="B189" s="5"/>
      <c r="C189" s="5"/>
      <c r="D189" s="5"/>
      <c r="E189" s="5"/>
      <c r="F189" s="5"/>
      <c r="G189" s="5"/>
      <c r="H189" s="5"/>
    </row>
    <row r="190" spans="1:8" x14ac:dyDescent="0.2">
      <c r="A190" s="5"/>
      <c r="B190" s="5"/>
      <c r="C190" s="5"/>
      <c r="D190" s="5"/>
      <c r="E190" s="5"/>
      <c r="F190" s="5"/>
      <c r="G190" s="5"/>
      <c r="H190" s="5"/>
    </row>
    <row r="191" spans="1:8" x14ac:dyDescent="0.2">
      <c r="A191" s="5"/>
      <c r="B191" s="5"/>
      <c r="C191" s="5"/>
      <c r="D191" s="5"/>
      <c r="E191" s="5"/>
      <c r="F191" s="5"/>
      <c r="G191" s="5"/>
      <c r="H191" s="5"/>
    </row>
    <row r="192" spans="1:8" x14ac:dyDescent="0.2">
      <c r="A192" s="5"/>
      <c r="B192" s="5"/>
      <c r="C192" s="5"/>
      <c r="D192" s="5"/>
      <c r="E192" s="5"/>
      <c r="F192" s="5"/>
      <c r="G192" s="5"/>
      <c r="H192" s="5"/>
    </row>
    <row r="193" spans="1:8" x14ac:dyDescent="0.2">
      <c r="A193" s="5"/>
      <c r="B193" s="5"/>
      <c r="C193" s="5"/>
      <c r="D193" s="5"/>
      <c r="E193" s="5"/>
      <c r="F193" s="5"/>
      <c r="G193" s="5"/>
      <c r="H193" s="5"/>
    </row>
    <row r="194" spans="1:8" x14ac:dyDescent="0.2">
      <c r="A194" s="5"/>
      <c r="B194" s="5"/>
      <c r="C194" s="5"/>
      <c r="D194" s="5"/>
      <c r="E194" s="5"/>
      <c r="F194" s="5"/>
      <c r="G194" s="5"/>
      <c r="H194" s="5"/>
    </row>
    <row r="195" spans="1:8" x14ac:dyDescent="0.2">
      <c r="A195" s="5"/>
      <c r="B195" s="5"/>
      <c r="C195" s="5"/>
      <c r="D195" s="5"/>
      <c r="E195" s="5"/>
      <c r="F195" s="5"/>
      <c r="G195" s="5"/>
      <c r="H195" s="5"/>
    </row>
    <row r="196" spans="1:8" x14ac:dyDescent="0.2">
      <c r="A196" s="5"/>
      <c r="B196" s="5"/>
      <c r="C196" s="5"/>
      <c r="D196" s="5"/>
      <c r="E196" s="5"/>
      <c r="F196" s="5"/>
      <c r="G196" s="5"/>
      <c r="H196" s="5"/>
    </row>
    <row r="197" spans="1:8" x14ac:dyDescent="0.2">
      <c r="A197" s="5"/>
      <c r="B197" s="5"/>
      <c r="C197" s="5"/>
      <c r="D197" s="5"/>
      <c r="E197" s="5"/>
      <c r="F197" s="5"/>
      <c r="G197" s="5"/>
      <c r="H197" s="5"/>
    </row>
    <row r="198" spans="1:8" x14ac:dyDescent="0.2">
      <c r="A198" s="5"/>
      <c r="B198" s="5"/>
      <c r="C198" s="5"/>
      <c r="D198" s="5"/>
      <c r="E198" s="5"/>
      <c r="F198" s="5"/>
      <c r="G198" s="5"/>
      <c r="H198" s="5"/>
    </row>
    <row r="199" spans="1:8" x14ac:dyDescent="0.2">
      <c r="A199" s="5"/>
      <c r="B199" s="5"/>
      <c r="C199" s="5"/>
      <c r="D199" s="5"/>
      <c r="E199" s="5"/>
      <c r="F199" s="5"/>
      <c r="G199" s="5"/>
      <c r="H199" s="5"/>
    </row>
    <row r="200" spans="1:8" x14ac:dyDescent="0.2">
      <c r="A200" s="5"/>
      <c r="B200" s="5"/>
      <c r="C200" s="5"/>
      <c r="D200" s="5"/>
      <c r="E200" s="5"/>
      <c r="F200" s="5"/>
      <c r="G200" s="5"/>
      <c r="H200" s="5"/>
    </row>
    <row r="201" spans="1:8" x14ac:dyDescent="0.2">
      <c r="A201" s="5"/>
      <c r="B201" s="5"/>
      <c r="C201" s="5"/>
      <c r="D201" s="5"/>
      <c r="E201" s="5"/>
      <c r="F201" s="5"/>
      <c r="G201" s="5"/>
      <c r="H201" s="5"/>
    </row>
    <row r="202" spans="1:8" x14ac:dyDescent="0.2">
      <c r="A202" s="5"/>
      <c r="B202" s="5"/>
      <c r="C202" s="5"/>
      <c r="D202" s="5"/>
      <c r="E202" s="5"/>
      <c r="F202" s="5"/>
      <c r="G202" s="5"/>
      <c r="H202" s="5"/>
    </row>
    <row r="203" spans="1:8" x14ac:dyDescent="0.2">
      <c r="A203" s="5"/>
      <c r="B203" s="5"/>
      <c r="C203" s="5"/>
      <c r="D203" s="5"/>
      <c r="E203" s="5"/>
      <c r="F203" s="5"/>
      <c r="G203" s="5"/>
      <c r="H203" s="5"/>
    </row>
    <row r="204" spans="1:8" x14ac:dyDescent="0.2">
      <c r="A204" s="5"/>
      <c r="B204" s="5"/>
      <c r="C204" s="5"/>
      <c r="D204" s="5"/>
      <c r="E204" s="5"/>
      <c r="F204" s="5"/>
      <c r="G204" s="5"/>
      <c r="H204" s="5"/>
    </row>
    <row r="205" spans="1:8" x14ac:dyDescent="0.2">
      <c r="A205" s="5"/>
      <c r="B205" s="5"/>
      <c r="C205" s="5"/>
      <c r="D205" s="5"/>
      <c r="E205" s="5"/>
      <c r="F205" s="5"/>
      <c r="G205" s="5"/>
      <c r="H205" s="5"/>
    </row>
    <row r="206" spans="1:8" x14ac:dyDescent="0.2">
      <c r="A206" s="5"/>
      <c r="B206" s="5"/>
      <c r="C206" s="5"/>
      <c r="D206" s="5"/>
      <c r="E206" s="5"/>
      <c r="F206" s="5"/>
      <c r="G206" s="5"/>
      <c r="H206" s="5"/>
    </row>
    <row r="207" spans="1:8" x14ac:dyDescent="0.2">
      <c r="A207" s="5"/>
      <c r="B207" s="5"/>
      <c r="C207" s="5"/>
      <c r="D207" s="5"/>
      <c r="E207" s="5"/>
      <c r="F207" s="5"/>
      <c r="G207" s="5"/>
      <c r="H207" s="5"/>
    </row>
    <row r="208" spans="1:8" x14ac:dyDescent="0.2">
      <c r="A208" s="5"/>
      <c r="B208" s="5"/>
      <c r="C208" s="5"/>
      <c r="D208" s="5"/>
      <c r="E208" s="5"/>
      <c r="F208" s="5"/>
      <c r="G208" s="5"/>
      <c r="H208" s="5"/>
    </row>
    <row r="209" spans="1:8" x14ac:dyDescent="0.2">
      <c r="A209" s="5"/>
      <c r="B209" s="5"/>
      <c r="C209" s="5"/>
      <c r="D209" s="5"/>
      <c r="E209" s="5"/>
      <c r="F209" s="5"/>
      <c r="G209" s="5"/>
      <c r="H209" s="5"/>
    </row>
    <row r="210" spans="1:8" x14ac:dyDescent="0.2">
      <c r="A210" s="5"/>
      <c r="B210" s="5"/>
      <c r="C210" s="5"/>
      <c r="D210" s="5"/>
      <c r="E210" s="5"/>
      <c r="F210" s="5"/>
      <c r="G210" s="5"/>
      <c r="H210" s="5"/>
    </row>
    <row r="211" spans="1:8" x14ac:dyDescent="0.2">
      <c r="A211" s="5"/>
      <c r="B211" s="5"/>
      <c r="C211" s="5"/>
      <c r="D211" s="5"/>
      <c r="E211" s="5"/>
      <c r="F211" s="5"/>
      <c r="G211" s="5"/>
      <c r="H211" s="5"/>
    </row>
    <row r="212" spans="1:8" x14ac:dyDescent="0.2">
      <c r="A212" s="5"/>
      <c r="B212" s="5"/>
      <c r="C212" s="5"/>
      <c r="D212" s="5"/>
      <c r="E212" s="5"/>
      <c r="F212" s="5"/>
      <c r="G212" s="5"/>
      <c r="H212" s="5"/>
    </row>
    <row r="213" spans="1:8" x14ac:dyDescent="0.2">
      <c r="A213" s="5"/>
      <c r="B213" s="5"/>
      <c r="C213" s="5"/>
      <c r="D213" s="5"/>
      <c r="E213" s="5"/>
      <c r="F213" s="5"/>
      <c r="G213" s="5"/>
      <c r="H213" s="5"/>
    </row>
    <row r="214" spans="1:8" x14ac:dyDescent="0.2">
      <c r="A214" s="5"/>
      <c r="B214" s="5"/>
      <c r="C214" s="5"/>
      <c r="D214" s="5"/>
      <c r="E214" s="5"/>
      <c r="F214" s="5"/>
      <c r="G214" s="5"/>
      <c r="H214" s="5"/>
    </row>
    <row r="215" spans="1:8" x14ac:dyDescent="0.2">
      <c r="A215" s="5"/>
      <c r="B215" s="5"/>
      <c r="C215" s="5"/>
      <c r="D215" s="5"/>
      <c r="E215" s="5"/>
      <c r="F215" s="5"/>
      <c r="G215" s="5"/>
      <c r="H215" s="5"/>
    </row>
    <row r="216" spans="1:8" x14ac:dyDescent="0.2">
      <c r="A216" s="5"/>
      <c r="B216" s="5"/>
      <c r="C216" s="5"/>
      <c r="D216" s="5"/>
      <c r="E216" s="5"/>
      <c r="F216" s="5"/>
      <c r="G216" s="5"/>
      <c r="H216" s="5"/>
    </row>
    <row r="217" spans="1:8" x14ac:dyDescent="0.2">
      <c r="A217" s="5"/>
      <c r="B217" s="5"/>
      <c r="C217" s="5"/>
      <c r="D217" s="5"/>
      <c r="E217" s="5"/>
      <c r="F217" s="5"/>
      <c r="G217" s="5"/>
      <c r="H217" s="5"/>
    </row>
    <row r="218" spans="1:8" x14ac:dyDescent="0.2">
      <c r="A218" s="5"/>
      <c r="B218" s="5"/>
      <c r="C218" s="5"/>
      <c r="D218" s="5"/>
      <c r="E218" s="5"/>
      <c r="F218" s="5"/>
      <c r="G218" s="5"/>
      <c r="H218" s="5"/>
    </row>
    <row r="219" spans="1:8" x14ac:dyDescent="0.2">
      <c r="A219" s="5"/>
      <c r="B219" s="5"/>
      <c r="C219" s="5"/>
      <c r="D219" s="5"/>
      <c r="E219" s="5"/>
      <c r="F219" s="5"/>
      <c r="G219" s="5"/>
      <c r="H219" s="5"/>
    </row>
    <row r="220" spans="1:8" x14ac:dyDescent="0.2">
      <c r="A220" s="5"/>
      <c r="B220" s="5"/>
      <c r="C220" s="5"/>
      <c r="D220" s="5"/>
      <c r="E220" s="121"/>
      <c r="F220" s="122"/>
      <c r="G220" s="121"/>
      <c r="H220" s="5"/>
    </row>
    <row r="221" spans="1:8" x14ac:dyDescent="0.2">
      <c r="A221" s="5"/>
      <c r="B221" s="5"/>
      <c r="C221" s="5"/>
      <c r="D221" s="5"/>
      <c r="E221" s="121"/>
      <c r="F221" s="122"/>
      <c r="G221" s="121"/>
      <c r="H221" s="5"/>
    </row>
    <row r="222" spans="1:8" x14ac:dyDescent="0.2">
      <c r="A222" s="5"/>
      <c r="B222" s="5"/>
      <c r="C222" s="5"/>
      <c r="D222" s="5"/>
      <c r="E222" s="123"/>
      <c r="F222" s="124"/>
      <c r="G222" s="123"/>
      <c r="H222" s="5"/>
    </row>
    <row r="223" spans="1:8" x14ac:dyDescent="0.2">
      <c r="A223" s="5"/>
      <c r="B223" s="5"/>
      <c r="C223" s="5"/>
      <c r="D223" s="5"/>
      <c r="E223" s="123"/>
      <c r="F223" s="124"/>
      <c r="G223" s="123"/>
      <c r="H223" s="5"/>
    </row>
    <row r="224" spans="1:8" x14ac:dyDescent="0.2">
      <c r="A224" s="5"/>
      <c r="B224" s="5"/>
      <c r="C224" s="5"/>
      <c r="D224" s="5"/>
      <c r="E224" s="123"/>
      <c r="F224" s="124"/>
      <c r="G224" s="123"/>
      <c r="H224" s="5"/>
    </row>
    <row r="225" spans="1:8" ht="15" x14ac:dyDescent="0.2">
      <c r="A225" s="5"/>
      <c r="B225" s="5"/>
      <c r="C225" s="5"/>
      <c r="D225" s="5"/>
      <c r="E225" s="123" t="s">
        <v>228</v>
      </c>
      <c r="F225" s="124"/>
      <c r="G225" s="125" t="e">
        <v>#REF!</v>
      </c>
      <c r="H225" s="5"/>
    </row>
    <row r="226" spans="1:8" x14ac:dyDescent="0.2">
      <c r="A226" s="5"/>
      <c r="B226" s="5"/>
      <c r="C226" s="5"/>
      <c r="D226" s="5"/>
      <c r="E226" s="123"/>
      <c r="F226" s="124"/>
      <c r="G226" s="123"/>
      <c r="H226" s="5"/>
    </row>
    <row r="227" spans="1:8" ht="15" x14ac:dyDescent="0.2">
      <c r="A227" s="5"/>
      <c r="B227" s="5"/>
      <c r="C227" s="5"/>
      <c r="D227" s="5"/>
      <c r="E227" s="535" t="s">
        <v>232</v>
      </c>
      <c r="F227" s="126"/>
      <c r="G227" s="125" t="e">
        <v>#REF!</v>
      </c>
      <c r="H227" s="5"/>
    </row>
    <row r="228" spans="1:8" x14ac:dyDescent="0.2">
      <c r="A228" s="5"/>
      <c r="B228" s="5"/>
      <c r="C228" s="5"/>
      <c r="D228" s="5"/>
      <c r="E228" s="123"/>
      <c r="F228" s="124"/>
      <c r="G228" s="123"/>
      <c r="H228" s="5"/>
    </row>
  </sheetData>
  <protectedRanges>
    <protectedRange sqref="C145:F154 C156:F165 G154 G165 C75:F75 C61:F73 C109:F138" name="Rango4_1"/>
    <protectedRange sqref="C154:G154 C165:G165 C75:F75 C61:F73 C109:F138" name="Rango8_1"/>
    <protectedRange sqref="C156:F164 C145:F153" name="Rango9_1"/>
    <protectedRange sqref="C145:F154 C156:F165 G154 G165 C75:F75 C61:F73 C109:F138" name="Rango4_2"/>
    <protectedRange sqref="C154:G154 C165:G165 C75:F75 C61:F73 C109:F138" name="Rango8_2"/>
    <protectedRange sqref="C156:F164 C145:F153" name="Rango9_2"/>
    <protectedRange sqref="C60:F60" name="Rango4_1_6"/>
    <protectedRange sqref="C60:F60" name="Rango8_1_6"/>
    <protectedRange sqref="C60:F60" name="Rango4_2_6"/>
    <protectedRange sqref="C60:F60" name="Rango8_2_6"/>
    <protectedRange sqref="E27:F58" name="Rango4_1_4"/>
    <protectedRange sqref="E27:F58" name="Rango8_1_4"/>
    <protectedRange sqref="E27:F58" name="Rango4_2_4"/>
    <protectedRange sqref="E27:F58" name="Rango8_2_4"/>
    <protectedRange sqref="C27:D58" name="Rango4_1_3_2"/>
    <protectedRange sqref="C27:D58" name="Rango8_1_3_2"/>
    <protectedRange sqref="C27:D58" name="Rango4_2_3_2"/>
    <protectedRange sqref="C27:D58" name="Rango8_2_3_2"/>
    <protectedRange sqref="C59:F59" name="Rango4_1_6_2"/>
    <protectedRange sqref="C59:F59" name="Rango8_1_6_2"/>
    <protectedRange sqref="C59:F59" name="Rango4_2_6_2"/>
    <protectedRange sqref="C59:F59" name="Rango8_2_6_2"/>
    <protectedRange sqref="E76:F107" name="Rango4_1_5"/>
    <protectedRange sqref="E76:F107" name="Rango8_1_5"/>
    <protectedRange sqref="E76:F107" name="Rango4_2_5"/>
    <protectedRange sqref="E76:F107" name="Rango8_2_5"/>
    <protectedRange sqref="C76:D107" name="Rango4_1_3_3"/>
    <protectedRange sqref="C76:D107" name="Rango8_1_3_3"/>
    <protectedRange sqref="C76:D107" name="Rango4_2_3_3"/>
    <protectedRange sqref="C76:D107" name="Rango8_2_3_3"/>
    <protectedRange sqref="C108:F108" name="Rango4_1_6_3"/>
    <protectedRange sqref="C108:F108" name="Rango8_1_6_3"/>
    <protectedRange sqref="C108:F108" name="Rango4_2_6_3"/>
    <protectedRange sqref="C108:F108" name="Rango8_2_6_3"/>
  </protectedRanges>
  <mergeCells count="33">
    <mergeCell ref="D167:E167"/>
    <mergeCell ref="C19:G19"/>
    <mergeCell ref="C20:G20"/>
    <mergeCell ref="B24:G24"/>
    <mergeCell ref="C23:G23"/>
    <mergeCell ref="C21:G21"/>
    <mergeCell ref="C22:G22"/>
    <mergeCell ref="C138:D138"/>
    <mergeCell ref="C165:D165"/>
    <mergeCell ref="C53:D53"/>
    <mergeCell ref="C104:D104"/>
    <mergeCell ref="C95:D95"/>
    <mergeCell ref="B155:G155"/>
    <mergeCell ref="C97:D97"/>
    <mergeCell ref="C101:D101"/>
    <mergeCell ref="C102:D102"/>
    <mergeCell ref="I25:L25"/>
    <mergeCell ref="B26:G26"/>
    <mergeCell ref="B74:G74"/>
    <mergeCell ref="I26:L26"/>
    <mergeCell ref="C73:D73"/>
    <mergeCell ref="C57:D57"/>
    <mergeCell ref="I30:L52"/>
    <mergeCell ref="I145:L145"/>
    <mergeCell ref="D140:E140"/>
    <mergeCell ref="B142:G142"/>
    <mergeCell ref="B144:G144"/>
    <mergeCell ref="C154:D154"/>
    <mergeCell ref="C106:D106"/>
    <mergeCell ref="C46:D46"/>
    <mergeCell ref="C48:D48"/>
    <mergeCell ref="C52:D52"/>
    <mergeCell ref="C55:D55"/>
  </mergeCells>
  <phoneticPr fontId="27" type="noConversion"/>
  <dataValidations disablePrompts="1" count="1">
    <dataValidation type="list" allowBlank="1" showInputMessage="1" showErrorMessage="1" sqref="I2:I17">
      <formula1>$CD$2:$CD$18</formula1>
    </dataValidation>
  </dataValidations>
  <pageMargins left="0.23" right="0.16" top="0.17" bottom="0.16" header="0" footer="0"/>
  <pageSetup paperSize="9" scale="60" orientation="landscape" horizontalDpi="300" verticalDpi="30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BASE!$F$3:$F$4</xm:f>
          </x14:formula1>
          <xm:sqref>B145:B154 B156:B165 B27:B73 B75:B138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FF00"/>
  </sheetPr>
  <dimension ref="A1:CJ462"/>
  <sheetViews>
    <sheetView showGridLines="0" topLeftCell="A18" zoomScale="80" zoomScaleNormal="80" workbookViewId="0">
      <selection activeCell="H94" sqref="H93:H94"/>
    </sheetView>
  </sheetViews>
  <sheetFormatPr baseColWidth="10" defaultRowHeight="12.75" outlineLevelRow="1" x14ac:dyDescent="0.2"/>
  <cols>
    <col min="1" max="1" width="40.5703125" style="625" customWidth="1"/>
    <col min="2" max="2" width="19.85546875" style="625" customWidth="1"/>
    <col min="3" max="3" width="28.28515625" style="625" customWidth="1"/>
    <col min="4" max="4" width="27.85546875" style="625" customWidth="1"/>
    <col min="5" max="5" width="20.42578125" style="625" customWidth="1"/>
    <col min="6" max="6" width="16.28515625" style="636" customWidth="1"/>
    <col min="7" max="7" width="14.5703125" style="625" customWidth="1"/>
    <col min="8" max="8" width="8.140625" style="106" customWidth="1"/>
    <col min="9" max="9" width="14.140625" style="104" customWidth="1"/>
    <col min="10" max="10" width="10.42578125" style="104" customWidth="1"/>
    <col min="11" max="11" width="12.5703125" style="104" customWidth="1"/>
    <col min="12" max="12" width="19.7109375" style="104" customWidth="1"/>
    <col min="13" max="13" width="13.140625" style="151" customWidth="1"/>
    <col min="14" max="14" width="14" style="151" customWidth="1"/>
    <col min="15" max="15" width="15.42578125" style="151" customWidth="1"/>
    <col min="16" max="16" width="11.42578125" style="151"/>
    <col min="17" max="17" width="30.5703125" style="151" customWidth="1"/>
    <col min="18" max="18" width="10.85546875" style="151" customWidth="1"/>
    <col min="19" max="19" width="24.85546875" style="151" customWidth="1"/>
    <col min="20" max="20" width="26.85546875" style="151" customWidth="1"/>
    <col min="21" max="22" width="13" style="151" customWidth="1"/>
    <col min="23" max="23" width="16" style="151" customWidth="1"/>
    <col min="24" max="24" width="11.42578125" style="151"/>
    <col min="25" max="25" width="30.5703125" style="151" customWidth="1"/>
    <col min="26" max="26" width="10.85546875" style="151" customWidth="1"/>
    <col min="27" max="27" width="24.85546875" style="151" customWidth="1"/>
    <col min="28" max="28" width="26.85546875" style="151" customWidth="1"/>
    <col min="29" max="30" width="13" style="151" customWidth="1"/>
    <col min="31" max="31" width="16" style="151" customWidth="1"/>
    <col min="32" max="32" width="11.42578125" style="151"/>
    <col min="33" max="33" width="30.5703125" style="151" customWidth="1"/>
    <col min="34" max="34" width="10.85546875" style="151" customWidth="1"/>
    <col min="35" max="35" width="24.85546875" style="151" customWidth="1"/>
    <col min="36" max="36" width="26.85546875" style="151" customWidth="1"/>
    <col min="37" max="38" width="13" style="151" customWidth="1"/>
    <col min="39" max="39" width="16" style="151" customWidth="1"/>
    <col min="40" max="40" width="11.42578125" style="151"/>
    <col min="41" max="41" width="30.5703125" style="151" customWidth="1"/>
    <col min="42" max="42" width="10.85546875" style="151" customWidth="1"/>
    <col min="43" max="43" width="24.85546875" style="151" customWidth="1"/>
    <col min="44" max="44" width="26.85546875" style="151" customWidth="1"/>
    <col min="45" max="46" width="13" style="151" customWidth="1"/>
    <col min="47" max="47" width="16" style="151" customWidth="1"/>
    <col min="48" max="16384" width="11.42578125" style="151"/>
  </cols>
  <sheetData>
    <row r="1" spans="1:88" s="132" customFormat="1" hidden="1" outlineLevel="1" x14ac:dyDescent="0.2">
      <c r="A1" s="77"/>
      <c r="B1" s="77"/>
      <c r="C1" s="77"/>
      <c r="D1" s="77"/>
      <c r="E1" s="78"/>
      <c r="F1" s="79"/>
      <c r="G1" s="80"/>
      <c r="H1" s="77"/>
      <c r="I1" s="77"/>
      <c r="J1" s="77"/>
      <c r="K1" s="77"/>
      <c r="L1" s="77"/>
      <c r="O1" s="131"/>
      <c r="P1" s="131"/>
      <c r="Q1" s="131"/>
      <c r="R1" s="131"/>
      <c r="T1" s="133"/>
      <c r="U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4"/>
    </row>
    <row r="2" spans="1:88" s="141" customFormat="1" hidden="1" outlineLevel="1" x14ac:dyDescent="0.2">
      <c r="A2" s="83"/>
      <c r="B2" s="83"/>
      <c r="C2" s="84"/>
      <c r="D2" s="83"/>
      <c r="E2" s="85"/>
      <c r="F2" s="86"/>
      <c r="G2" s="87"/>
      <c r="H2" s="83"/>
      <c r="I2" s="83"/>
      <c r="J2" s="83"/>
      <c r="K2" s="88"/>
      <c r="L2" s="88"/>
      <c r="M2" s="153"/>
      <c r="N2" s="137"/>
      <c r="O2" s="139"/>
      <c r="P2" s="139"/>
      <c r="Q2" s="139"/>
      <c r="R2" s="135"/>
      <c r="S2" s="136"/>
      <c r="T2" s="136"/>
      <c r="U2" s="137"/>
      <c r="V2" s="138"/>
      <c r="W2" s="137"/>
      <c r="X2" s="137"/>
      <c r="Y2" s="137"/>
      <c r="Z2" s="137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40"/>
      <c r="CC2" s="142"/>
      <c r="CD2" s="142"/>
      <c r="CE2" s="142"/>
      <c r="CF2" s="142"/>
      <c r="CG2" s="142"/>
      <c r="CH2" s="142"/>
      <c r="CI2" s="142"/>
      <c r="CJ2" s="142"/>
    </row>
    <row r="3" spans="1:88" s="141" customFormat="1" hidden="1" outlineLevel="1" x14ac:dyDescent="0.2">
      <c r="A3" s="83"/>
      <c r="B3" s="83"/>
      <c r="C3" s="84"/>
      <c r="D3" s="83"/>
      <c r="E3" s="85"/>
      <c r="F3" s="86"/>
      <c r="G3" s="87"/>
      <c r="H3" s="83"/>
      <c r="I3" s="83"/>
      <c r="J3" s="83"/>
      <c r="K3" s="88"/>
      <c r="L3" s="88"/>
      <c r="M3" s="153"/>
      <c r="N3" s="137"/>
      <c r="O3" s="139"/>
      <c r="P3" s="139"/>
      <c r="Q3" s="139"/>
      <c r="R3" s="135"/>
      <c r="S3" s="136"/>
      <c r="T3" s="136"/>
      <c r="U3" s="137"/>
      <c r="V3" s="138"/>
      <c r="W3" s="137"/>
      <c r="X3" s="137"/>
      <c r="Y3" s="137"/>
      <c r="Z3" s="137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40"/>
      <c r="CC3" s="142"/>
      <c r="CD3" s="142"/>
      <c r="CE3" s="142"/>
      <c r="CF3" s="142"/>
      <c r="CG3" s="142"/>
      <c r="CH3" s="142"/>
      <c r="CI3" s="142"/>
      <c r="CJ3" s="142"/>
    </row>
    <row r="4" spans="1:88" s="141" customFormat="1" hidden="1" outlineLevel="1" x14ac:dyDescent="0.2">
      <c r="A4" s="83"/>
      <c r="B4" s="83"/>
      <c r="C4" s="84"/>
      <c r="D4" s="83"/>
      <c r="E4" s="85"/>
      <c r="F4" s="86"/>
      <c r="G4" s="83"/>
      <c r="H4" s="83"/>
      <c r="I4" s="83"/>
      <c r="J4" s="83"/>
      <c r="K4" s="88"/>
      <c r="L4" s="88"/>
      <c r="M4" s="153"/>
      <c r="N4" s="137"/>
      <c r="O4" s="139"/>
      <c r="P4" s="139"/>
      <c r="Q4" s="139"/>
      <c r="R4" s="135"/>
      <c r="S4" s="136"/>
      <c r="T4" s="136"/>
      <c r="U4" s="137"/>
      <c r="V4" s="138"/>
      <c r="W4" s="137"/>
      <c r="X4" s="137"/>
      <c r="Y4" s="137"/>
      <c r="Z4" s="137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40"/>
      <c r="CC4" s="142"/>
      <c r="CD4" s="142"/>
      <c r="CE4" s="142"/>
      <c r="CF4" s="142"/>
      <c r="CG4" s="142"/>
      <c r="CH4" s="142"/>
      <c r="CI4" s="142"/>
      <c r="CJ4" s="142"/>
    </row>
    <row r="5" spans="1:88" s="141" customFormat="1" hidden="1" outlineLevel="1" x14ac:dyDescent="0.2">
      <c r="A5" s="83"/>
      <c r="B5" s="83"/>
      <c r="C5" s="84"/>
      <c r="D5" s="83"/>
      <c r="E5" s="85"/>
      <c r="F5" s="86"/>
      <c r="G5" s="83"/>
      <c r="H5" s="83"/>
      <c r="I5" s="83"/>
      <c r="J5" s="83"/>
      <c r="K5" s="88"/>
      <c r="L5" s="88"/>
      <c r="M5" s="153"/>
      <c r="N5" s="137"/>
      <c r="O5" s="139"/>
      <c r="P5" s="139"/>
      <c r="Q5" s="139"/>
      <c r="R5" s="135"/>
      <c r="S5" s="136"/>
      <c r="T5" s="136"/>
      <c r="U5" s="137"/>
      <c r="V5" s="138"/>
      <c r="W5" s="137"/>
      <c r="X5" s="137"/>
      <c r="Y5" s="137"/>
      <c r="Z5" s="137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40"/>
      <c r="CC5" s="142"/>
      <c r="CD5" s="142"/>
      <c r="CE5" s="142"/>
      <c r="CF5" s="142"/>
      <c r="CG5" s="142"/>
      <c r="CH5" s="142"/>
      <c r="CI5" s="142"/>
      <c r="CJ5" s="142"/>
    </row>
    <row r="6" spans="1:88" s="141" customFormat="1" hidden="1" outlineLevel="1" x14ac:dyDescent="0.2">
      <c r="A6" s="83"/>
      <c r="B6" s="83"/>
      <c r="C6" s="84"/>
      <c r="D6" s="83"/>
      <c r="E6" s="85"/>
      <c r="F6" s="86"/>
      <c r="G6" s="83"/>
      <c r="H6" s="83"/>
      <c r="I6" s="83"/>
      <c r="J6" s="83"/>
      <c r="K6" s="88"/>
      <c r="L6" s="88"/>
      <c r="M6" s="153"/>
      <c r="N6" s="137"/>
      <c r="P6" s="139"/>
      <c r="Q6" s="139"/>
      <c r="R6" s="135"/>
      <c r="S6" s="136"/>
      <c r="T6" s="136"/>
      <c r="U6" s="137"/>
      <c r="V6" s="138"/>
      <c r="W6" s="137"/>
      <c r="X6" s="137"/>
      <c r="Y6" s="137"/>
      <c r="Z6" s="137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40"/>
      <c r="CC6" s="142"/>
      <c r="CD6" s="142"/>
      <c r="CE6" s="142"/>
      <c r="CF6" s="142"/>
      <c r="CG6" s="142"/>
      <c r="CH6" s="142"/>
      <c r="CI6" s="142"/>
      <c r="CJ6" s="142"/>
    </row>
    <row r="7" spans="1:88" s="141" customFormat="1" hidden="1" outlineLevel="1" x14ac:dyDescent="0.2">
      <c r="A7" s="83"/>
      <c r="B7" s="83"/>
      <c r="C7" s="84"/>
      <c r="D7" s="83"/>
      <c r="E7" s="85"/>
      <c r="F7" s="86"/>
      <c r="G7" s="83"/>
      <c r="H7" s="83"/>
      <c r="I7" s="83"/>
      <c r="J7" s="83"/>
      <c r="K7" s="88"/>
      <c r="L7" s="88"/>
      <c r="M7" s="153"/>
      <c r="N7" s="137"/>
      <c r="O7" s="139"/>
      <c r="P7" s="139"/>
      <c r="Q7" s="139"/>
      <c r="R7" s="135"/>
      <c r="S7" s="136"/>
      <c r="T7" s="136"/>
      <c r="U7" s="137"/>
      <c r="V7" s="138"/>
      <c r="W7" s="137"/>
      <c r="X7" s="137"/>
      <c r="Y7" s="137"/>
      <c r="Z7" s="137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40"/>
      <c r="CC7" s="142"/>
      <c r="CD7" s="142"/>
      <c r="CE7" s="142"/>
      <c r="CF7" s="142"/>
      <c r="CG7" s="142"/>
      <c r="CH7" s="142"/>
      <c r="CI7" s="142"/>
      <c r="CJ7" s="142"/>
    </row>
    <row r="8" spans="1:88" s="141" customFormat="1" hidden="1" outlineLevel="1" x14ac:dyDescent="0.2">
      <c r="A8" s="83"/>
      <c r="B8" s="83"/>
      <c r="C8" s="84"/>
      <c r="D8" s="83"/>
      <c r="E8" s="85"/>
      <c r="F8" s="86"/>
      <c r="G8" s="83"/>
      <c r="H8" s="83"/>
      <c r="I8" s="83"/>
      <c r="J8" s="83"/>
      <c r="K8" s="88"/>
      <c r="L8" s="88"/>
      <c r="M8" s="153"/>
      <c r="N8" s="137"/>
      <c r="O8" s="139"/>
      <c r="P8" s="139"/>
      <c r="Q8" s="139"/>
      <c r="R8" s="135"/>
      <c r="S8" s="136"/>
      <c r="T8" s="136"/>
      <c r="U8" s="137"/>
      <c r="V8" s="138"/>
      <c r="W8" s="137"/>
      <c r="X8" s="137"/>
      <c r="Y8" s="137"/>
      <c r="Z8" s="137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40"/>
      <c r="CC8" s="142"/>
      <c r="CD8" s="142"/>
      <c r="CE8" s="142"/>
      <c r="CF8" s="142"/>
      <c r="CG8" s="142"/>
      <c r="CH8" s="142"/>
      <c r="CI8" s="142"/>
      <c r="CJ8" s="142"/>
    </row>
    <row r="9" spans="1:88" s="141" customFormat="1" hidden="1" outlineLevel="1" x14ac:dyDescent="0.2">
      <c r="A9" s="83"/>
      <c r="B9" s="83"/>
      <c r="C9" s="84"/>
      <c r="D9" s="83"/>
      <c r="E9" s="85"/>
      <c r="F9" s="86"/>
      <c r="G9" s="83"/>
      <c r="H9" s="83"/>
      <c r="I9" s="83"/>
      <c r="J9" s="83"/>
      <c r="K9" s="88"/>
      <c r="L9" s="88"/>
      <c r="M9" s="153"/>
      <c r="N9" s="137"/>
      <c r="O9" s="139"/>
      <c r="P9" s="139"/>
      <c r="Q9" s="139"/>
      <c r="R9" s="135"/>
      <c r="S9" s="136"/>
      <c r="T9" s="136"/>
      <c r="U9" s="137"/>
      <c r="V9" s="138"/>
      <c r="W9" s="137"/>
      <c r="X9" s="137"/>
      <c r="Y9" s="137"/>
      <c r="Z9" s="137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40"/>
      <c r="CC9" s="142"/>
      <c r="CD9" s="142"/>
      <c r="CE9" s="142"/>
      <c r="CF9" s="142"/>
      <c r="CG9" s="142"/>
      <c r="CH9" s="142"/>
      <c r="CI9" s="142"/>
      <c r="CJ9" s="142"/>
    </row>
    <row r="10" spans="1:88" s="141" customFormat="1" hidden="1" outlineLevel="1" x14ac:dyDescent="0.2">
      <c r="A10" s="83"/>
      <c r="B10" s="83"/>
      <c r="C10" s="84"/>
      <c r="D10" s="83"/>
      <c r="E10" s="85"/>
      <c r="F10" s="86"/>
      <c r="G10" s="83"/>
      <c r="H10" s="83"/>
      <c r="I10" s="83"/>
      <c r="J10" s="83"/>
      <c r="K10" s="88"/>
      <c r="L10" s="88"/>
      <c r="M10" s="153"/>
      <c r="N10" s="137"/>
      <c r="O10" s="139"/>
      <c r="P10" s="139"/>
      <c r="Q10" s="139"/>
      <c r="R10" s="135"/>
      <c r="S10" s="136"/>
      <c r="T10" s="136"/>
      <c r="U10" s="137"/>
      <c r="V10" s="138"/>
      <c r="W10" s="137"/>
      <c r="X10" s="137"/>
      <c r="Y10" s="137"/>
      <c r="Z10" s="137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40"/>
      <c r="CC10" s="142"/>
      <c r="CD10" s="142"/>
      <c r="CE10" s="142"/>
      <c r="CF10" s="142"/>
      <c r="CG10" s="142"/>
      <c r="CH10" s="142"/>
      <c r="CI10" s="142"/>
      <c r="CJ10" s="142"/>
    </row>
    <row r="11" spans="1:88" s="141" customFormat="1" hidden="1" outlineLevel="1" x14ac:dyDescent="0.2">
      <c r="A11" s="83"/>
      <c r="B11" s="83"/>
      <c r="C11" s="84"/>
      <c r="D11" s="83"/>
      <c r="E11" s="85"/>
      <c r="F11" s="86"/>
      <c r="G11" s="83"/>
      <c r="H11" s="83"/>
      <c r="I11" s="83"/>
      <c r="J11" s="83"/>
      <c r="K11" s="88"/>
      <c r="L11" s="88"/>
      <c r="M11" s="153"/>
      <c r="N11" s="137"/>
      <c r="O11" s="139"/>
      <c r="P11" s="139"/>
      <c r="Q11" s="139"/>
      <c r="R11" s="135"/>
      <c r="S11" s="136"/>
      <c r="T11" s="136"/>
      <c r="U11" s="137"/>
      <c r="V11" s="138"/>
      <c r="W11" s="137"/>
      <c r="X11" s="137"/>
      <c r="Y11" s="137"/>
      <c r="Z11" s="137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40"/>
      <c r="CC11" s="142"/>
      <c r="CD11" s="142"/>
      <c r="CE11" s="142"/>
      <c r="CF11" s="142"/>
      <c r="CG11" s="142"/>
      <c r="CH11" s="142"/>
      <c r="CI11" s="142"/>
      <c r="CJ11" s="142"/>
    </row>
    <row r="12" spans="1:88" s="141" customFormat="1" hidden="1" outlineLevel="1" x14ac:dyDescent="0.2">
      <c r="A12" s="83"/>
      <c r="B12" s="83"/>
      <c r="C12" s="84"/>
      <c r="D12" s="83"/>
      <c r="E12" s="85"/>
      <c r="F12" s="86"/>
      <c r="G12" s="83"/>
      <c r="H12" s="83"/>
      <c r="I12" s="83"/>
      <c r="J12" s="83"/>
      <c r="K12" s="88"/>
      <c r="L12" s="88"/>
      <c r="M12" s="153"/>
      <c r="N12" s="137"/>
      <c r="O12" s="139"/>
      <c r="P12" s="139"/>
      <c r="Q12" s="139"/>
      <c r="R12" s="135"/>
      <c r="S12" s="136"/>
      <c r="T12" s="136"/>
      <c r="U12" s="137"/>
      <c r="V12" s="138"/>
      <c r="W12" s="137"/>
      <c r="X12" s="137"/>
      <c r="Y12" s="137"/>
      <c r="Z12" s="137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40"/>
      <c r="CC12" s="142"/>
      <c r="CD12" s="142"/>
      <c r="CE12" s="142"/>
      <c r="CF12" s="142"/>
      <c r="CG12" s="142"/>
      <c r="CH12" s="142"/>
      <c r="CI12" s="142"/>
      <c r="CJ12" s="142"/>
    </row>
    <row r="13" spans="1:88" s="141" customFormat="1" hidden="1" outlineLevel="1" x14ac:dyDescent="0.2">
      <c r="A13" s="83"/>
      <c r="B13" s="83"/>
      <c r="C13" s="84"/>
      <c r="D13" s="83"/>
      <c r="E13" s="85"/>
      <c r="F13" s="86"/>
      <c r="G13" s="83"/>
      <c r="H13" s="83"/>
      <c r="I13" s="83"/>
      <c r="J13" s="83"/>
      <c r="K13" s="88"/>
      <c r="L13" s="88"/>
      <c r="M13" s="153"/>
      <c r="N13" s="137"/>
      <c r="O13" s="139"/>
      <c r="P13" s="139"/>
      <c r="Q13" s="139"/>
      <c r="R13" s="135"/>
      <c r="S13" s="136"/>
      <c r="T13" s="136"/>
      <c r="U13" s="137"/>
      <c r="V13" s="138"/>
      <c r="W13" s="137"/>
      <c r="X13" s="137"/>
      <c r="Y13" s="137"/>
      <c r="Z13" s="137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40"/>
      <c r="CC13" s="142"/>
      <c r="CD13" s="142"/>
      <c r="CE13" s="142"/>
      <c r="CF13" s="142"/>
      <c r="CG13" s="142"/>
      <c r="CH13" s="142"/>
      <c r="CI13" s="142"/>
      <c r="CJ13" s="142"/>
    </row>
    <row r="14" spans="1:88" s="141" customFormat="1" hidden="1" outlineLevel="1" x14ac:dyDescent="0.2">
      <c r="A14" s="83"/>
      <c r="B14" s="83"/>
      <c r="C14" s="84"/>
      <c r="D14" s="83"/>
      <c r="E14" s="85"/>
      <c r="F14" s="86"/>
      <c r="G14" s="83"/>
      <c r="H14" s="83"/>
      <c r="I14" s="83"/>
      <c r="J14" s="83"/>
      <c r="K14" s="88"/>
      <c r="L14" s="88"/>
      <c r="M14" s="153"/>
      <c r="N14" s="137"/>
      <c r="O14" s="139"/>
      <c r="P14" s="139"/>
      <c r="Q14" s="139"/>
      <c r="R14" s="135"/>
      <c r="S14" s="136"/>
      <c r="T14" s="136"/>
      <c r="U14" s="137"/>
      <c r="V14" s="138"/>
      <c r="W14" s="137"/>
      <c r="X14" s="137"/>
      <c r="Y14" s="137"/>
      <c r="Z14" s="137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40"/>
      <c r="CC14" s="142"/>
      <c r="CD14" s="142"/>
      <c r="CE14" s="142"/>
      <c r="CF14" s="142"/>
      <c r="CG14" s="142"/>
      <c r="CH14" s="142"/>
      <c r="CI14" s="142"/>
      <c r="CJ14" s="142"/>
    </row>
    <row r="15" spans="1:88" s="141" customFormat="1" hidden="1" outlineLevel="1" x14ac:dyDescent="0.2">
      <c r="A15" s="83"/>
      <c r="B15" s="83"/>
      <c r="C15" s="84"/>
      <c r="D15" s="83"/>
      <c r="E15" s="85"/>
      <c r="F15" s="86"/>
      <c r="G15" s="83"/>
      <c r="H15" s="83"/>
      <c r="I15" s="83"/>
      <c r="J15" s="83"/>
      <c r="K15" s="88"/>
      <c r="L15" s="88"/>
      <c r="M15" s="153"/>
      <c r="N15" s="137"/>
      <c r="O15" s="139"/>
      <c r="P15" s="139"/>
      <c r="Q15" s="139"/>
      <c r="R15" s="135"/>
      <c r="S15" s="136"/>
      <c r="T15" s="136"/>
      <c r="U15" s="137"/>
      <c r="V15" s="138"/>
      <c r="W15" s="137"/>
      <c r="X15" s="137"/>
      <c r="Y15" s="137"/>
      <c r="Z15" s="137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40"/>
      <c r="CC15" s="142"/>
      <c r="CD15" s="142"/>
      <c r="CE15" s="142"/>
      <c r="CF15" s="142"/>
      <c r="CG15" s="142"/>
      <c r="CH15" s="142"/>
      <c r="CI15" s="142"/>
      <c r="CJ15" s="142"/>
    </row>
    <row r="16" spans="1:88" s="141" customFormat="1" hidden="1" outlineLevel="1" x14ac:dyDescent="0.2">
      <c r="A16" s="90"/>
      <c r="B16" s="83"/>
      <c r="C16" s="84"/>
      <c r="D16" s="83"/>
      <c r="E16" s="91"/>
      <c r="F16" s="86"/>
      <c r="G16" s="83"/>
      <c r="H16" s="83"/>
      <c r="I16" s="83"/>
      <c r="J16" s="83"/>
      <c r="K16" s="88"/>
      <c r="L16" s="88"/>
      <c r="M16" s="153"/>
      <c r="N16" s="137"/>
      <c r="O16" s="139"/>
      <c r="P16" s="139"/>
      <c r="Q16" s="139"/>
      <c r="R16" s="135"/>
      <c r="S16" s="136"/>
      <c r="T16" s="136"/>
      <c r="U16" s="137"/>
      <c r="V16" s="138"/>
      <c r="W16" s="137"/>
      <c r="X16" s="137"/>
      <c r="Y16" s="137"/>
      <c r="Z16" s="137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40"/>
      <c r="CC16" s="142"/>
      <c r="CD16" s="142"/>
      <c r="CE16" s="142"/>
      <c r="CF16" s="142"/>
      <c r="CG16" s="142"/>
      <c r="CH16" s="142"/>
      <c r="CI16" s="142"/>
      <c r="CJ16" s="142"/>
    </row>
    <row r="17" spans="1:88" s="149" customFormat="1" ht="41.25" hidden="1" customHeight="1" outlineLevel="1" thickBot="1" x14ac:dyDescent="0.25">
      <c r="A17" s="93"/>
      <c r="B17" s="93"/>
      <c r="C17" s="94"/>
      <c r="D17" s="93"/>
      <c r="E17" s="95"/>
      <c r="F17" s="96"/>
      <c r="G17" s="93"/>
      <c r="H17" s="93"/>
      <c r="I17" s="93"/>
      <c r="J17" s="93"/>
      <c r="K17" s="97"/>
      <c r="L17" s="97"/>
      <c r="M17" s="154"/>
      <c r="N17" s="145"/>
      <c r="O17" s="147"/>
      <c r="P17" s="147"/>
      <c r="Q17" s="147"/>
      <c r="R17" s="143"/>
      <c r="S17" s="144"/>
      <c r="T17" s="144"/>
      <c r="U17" s="145"/>
      <c r="V17" s="146"/>
      <c r="W17" s="145"/>
      <c r="X17" s="145"/>
      <c r="Y17" s="145"/>
      <c r="Z17" s="145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8"/>
      <c r="CC17" s="150"/>
      <c r="CD17" s="150"/>
      <c r="CE17" s="150"/>
      <c r="CF17" s="150"/>
      <c r="CG17" s="150"/>
      <c r="CH17" s="150"/>
      <c r="CI17" s="150"/>
      <c r="CJ17" s="150"/>
    </row>
    <row r="18" spans="1:88" collapsed="1" x14ac:dyDescent="0.2">
      <c r="A18" s="104"/>
      <c r="B18" s="104"/>
      <c r="C18" s="104"/>
      <c r="D18" s="104"/>
      <c r="E18" s="104"/>
      <c r="F18" s="116"/>
      <c r="G18" s="104"/>
    </row>
    <row r="19" spans="1:88" ht="14.25" x14ac:dyDescent="0.2">
      <c r="A19" s="1209" t="s">
        <v>221</v>
      </c>
      <c r="B19" s="1209"/>
      <c r="C19" s="1209"/>
      <c r="D19" s="1209"/>
      <c r="E19" s="1209"/>
      <c r="F19" s="235"/>
      <c r="G19" s="235"/>
      <c r="H19" s="235"/>
      <c r="I19" s="168"/>
      <c r="J19" s="168"/>
      <c r="K19" s="168"/>
      <c r="L19" s="168"/>
      <c r="M19" s="169"/>
      <c r="N19" s="169"/>
      <c r="O19" s="169"/>
    </row>
    <row r="20" spans="1:88" ht="14.25" x14ac:dyDescent="0.2">
      <c r="A20" s="104"/>
      <c r="B20" s="1209" t="s">
        <v>169</v>
      </c>
      <c r="C20" s="1209"/>
      <c r="D20" s="1209"/>
      <c r="E20" s="1209"/>
      <c r="F20" s="1209"/>
      <c r="G20" s="1209"/>
      <c r="H20" s="1209"/>
      <c r="I20" s="168"/>
      <c r="J20" s="168"/>
      <c r="K20" s="168"/>
      <c r="L20" s="168"/>
      <c r="M20" s="169"/>
      <c r="N20" s="169"/>
      <c r="O20" s="169"/>
    </row>
    <row r="21" spans="1:88" ht="15" x14ac:dyDescent="0.2">
      <c r="A21" s="1224" t="s">
        <v>438</v>
      </c>
      <c r="B21" s="1224"/>
      <c r="C21" s="1224"/>
      <c r="D21" s="1224"/>
      <c r="E21" s="1224"/>
      <c r="F21" s="104"/>
      <c r="G21" s="116"/>
      <c r="H21" s="104"/>
      <c r="I21" s="106"/>
      <c r="J21" s="106"/>
      <c r="K21" s="106"/>
      <c r="L21" s="106"/>
      <c r="M21" s="155"/>
      <c r="N21" s="155"/>
      <c r="O21" s="155"/>
    </row>
    <row r="22" spans="1:88" ht="14.25" x14ac:dyDescent="0.2">
      <c r="A22" s="104"/>
      <c r="B22" s="1209" t="s">
        <v>169</v>
      </c>
      <c r="C22" s="1209"/>
      <c r="D22" s="1209"/>
      <c r="E22" s="1209"/>
      <c r="F22" s="1209"/>
      <c r="G22" s="1209"/>
      <c r="H22" s="1209"/>
      <c r="I22" s="168"/>
      <c r="J22" s="168"/>
      <c r="K22" s="168"/>
      <c r="L22" s="168"/>
      <c r="M22" s="169"/>
      <c r="N22" s="169"/>
      <c r="O22" s="169"/>
      <c r="Q22" s="1212"/>
      <c r="R22" s="1212"/>
      <c r="S22" s="1212"/>
      <c r="T22" s="1212"/>
      <c r="U22" s="1212"/>
      <c r="V22" s="1212"/>
      <c r="W22" s="1212"/>
      <c r="X22" s="155"/>
      <c r="Y22" s="1212"/>
      <c r="Z22" s="1212"/>
      <c r="AA22" s="1212"/>
      <c r="AB22" s="1212"/>
      <c r="AC22" s="1212"/>
      <c r="AD22" s="1212"/>
      <c r="AE22" s="1212"/>
      <c r="AF22" s="155"/>
      <c r="AG22" s="1212"/>
      <c r="AH22" s="1212"/>
      <c r="AI22" s="1212"/>
      <c r="AJ22" s="1212"/>
      <c r="AK22" s="1212"/>
      <c r="AL22" s="1212"/>
      <c r="AM22" s="1212"/>
      <c r="AN22" s="155"/>
      <c r="AO22" s="1212"/>
      <c r="AP22" s="1212"/>
      <c r="AQ22" s="1212"/>
      <c r="AR22" s="1212"/>
      <c r="AS22" s="1212"/>
      <c r="AT22" s="1212"/>
      <c r="AU22" s="1212"/>
    </row>
    <row r="23" spans="1:88" ht="17.25" customHeight="1" x14ac:dyDescent="0.2">
      <c r="A23" s="1210" t="str">
        <f>+PRESUPUESTO!B2</f>
        <v>MEDICINA PREGRADO</v>
      </c>
      <c r="B23" s="1210"/>
      <c r="C23" s="1210"/>
      <c r="D23" s="1210"/>
      <c r="E23" s="233"/>
      <c r="F23" s="233"/>
      <c r="G23" s="233"/>
      <c r="H23" s="105"/>
      <c r="I23" s="168"/>
      <c r="J23" s="168"/>
      <c r="K23" s="168"/>
      <c r="L23" s="168"/>
      <c r="M23" s="169"/>
      <c r="N23" s="169"/>
      <c r="O23" s="169"/>
      <c r="Q23" s="234"/>
      <c r="R23" s="234"/>
      <c r="S23" s="234"/>
      <c r="T23" s="234"/>
      <c r="U23" s="234"/>
      <c r="V23" s="234"/>
      <c r="W23" s="234"/>
      <c r="X23" s="155"/>
      <c r="Y23" s="234"/>
      <c r="Z23" s="234"/>
      <c r="AA23" s="234"/>
      <c r="AB23" s="234"/>
      <c r="AC23" s="234"/>
      <c r="AD23" s="234"/>
      <c r="AE23" s="234"/>
      <c r="AF23" s="155"/>
      <c r="AG23" s="234"/>
      <c r="AH23" s="234"/>
      <c r="AI23" s="234"/>
      <c r="AJ23" s="234"/>
      <c r="AK23" s="234"/>
      <c r="AL23" s="234"/>
      <c r="AM23" s="234"/>
      <c r="AN23" s="155"/>
      <c r="AO23" s="234"/>
      <c r="AP23" s="234"/>
      <c r="AQ23" s="234"/>
      <c r="AR23" s="234"/>
      <c r="AS23" s="234"/>
      <c r="AT23" s="234"/>
      <c r="AU23" s="234"/>
    </row>
    <row r="24" spans="1:88" ht="23.25" customHeight="1" thickBot="1" x14ac:dyDescent="0.25">
      <c r="A24" s="1219" t="s">
        <v>867</v>
      </c>
      <c r="B24" s="1219"/>
      <c r="C24" s="1219"/>
      <c r="D24" s="1219"/>
      <c r="E24" s="233"/>
      <c r="F24" s="233"/>
      <c r="G24" s="233"/>
      <c r="H24" s="127"/>
      <c r="I24" s="168"/>
      <c r="J24" s="168"/>
      <c r="K24" s="168"/>
      <c r="L24" s="168"/>
      <c r="M24" s="169"/>
      <c r="N24" s="169"/>
      <c r="O24" s="169"/>
      <c r="Q24" s="234"/>
      <c r="R24" s="234"/>
      <c r="S24" s="234"/>
      <c r="T24" s="234"/>
      <c r="U24" s="234"/>
      <c r="V24" s="234"/>
      <c r="W24" s="234"/>
      <c r="X24" s="155"/>
      <c r="Y24" s="234"/>
      <c r="Z24" s="234"/>
      <c r="AA24" s="234"/>
      <c r="AB24" s="234"/>
      <c r="AC24" s="234"/>
      <c r="AD24" s="234"/>
      <c r="AE24" s="234"/>
      <c r="AF24" s="155"/>
      <c r="AG24" s="234"/>
      <c r="AH24" s="234"/>
      <c r="AI24" s="234"/>
      <c r="AJ24" s="234"/>
      <c r="AK24" s="234"/>
      <c r="AL24" s="234"/>
      <c r="AM24" s="234"/>
      <c r="AN24" s="155"/>
      <c r="AO24" s="234"/>
      <c r="AP24" s="234"/>
      <c r="AQ24" s="234"/>
      <c r="AR24" s="234"/>
      <c r="AS24" s="234"/>
      <c r="AT24" s="234"/>
      <c r="AU24" s="234"/>
    </row>
    <row r="25" spans="1:88" ht="30" customHeight="1" x14ac:dyDescent="0.2">
      <c r="A25" s="1220" t="s">
        <v>436</v>
      </c>
      <c r="B25" s="1221"/>
      <c r="C25" s="1222"/>
      <c r="D25" s="236" t="s">
        <v>437</v>
      </c>
      <c r="E25" s="233"/>
      <c r="F25" s="233"/>
      <c r="G25" s="233"/>
      <c r="H25" s="127"/>
      <c r="I25" s="168"/>
      <c r="J25" s="168"/>
      <c r="K25" s="168"/>
      <c r="L25" s="168"/>
      <c r="M25" s="169"/>
      <c r="N25" s="169"/>
      <c r="O25" s="169"/>
      <c r="Q25" s="234"/>
      <c r="R25" s="234"/>
      <c r="S25" s="234"/>
      <c r="T25" s="234"/>
      <c r="U25" s="234"/>
      <c r="V25" s="234"/>
      <c r="W25" s="234"/>
      <c r="X25" s="155"/>
      <c r="Y25" s="234"/>
      <c r="Z25" s="234"/>
      <c r="AA25" s="234"/>
      <c r="AB25" s="234"/>
      <c r="AC25" s="234"/>
      <c r="AD25" s="234"/>
      <c r="AE25" s="234"/>
      <c r="AF25" s="155"/>
      <c r="AG25" s="234"/>
      <c r="AH25" s="234"/>
      <c r="AI25" s="234"/>
      <c r="AJ25" s="234"/>
      <c r="AK25" s="234"/>
      <c r="AL25" s="234"/>
      <c r="AM25" s="234"/>
      <c r="AN25" s="155"/>
      <c r="AO25" s="234"/>
      <c r="AP25" s="234"/>
      <c r="AQ25" s="234"/>
      <c r="AR25" s="234"/>
      <c r="AS25" s="234"/>
      <c r="AT25" s="234"/>
      <c r="AU25" s="234"/>
    </row>
    <row r="26" spans="1:88" ht="14.25" x14ac:dyDescent="0.2">
      <c r="A26" s="1216" t="s">
        <v>1326</v>
      </c>
      <c r="B26" s="1217"/>
      <c r="C26" s="1218"/>
      <c r="D26" s="1044">
        <v>354008000</v>
      </c>
      <c r="E26" s="233"/>
      <c r="F26" s="233"/>
      <c r="G26" s="233"/>
      <c r="H26" s="127"/>
      <c r="I26" s="168"/>
      <c r="J26" s="168"/>
      <c r="K26" s="168"/>
      <c r="L26" s="168"/>
      <c r="M26" s="169"/>
      <c r="N26" s="169"/>
      <c r="O26" s="169"/>
      <c r="Q26" s="234"/>
      <c r="R26" s="234"/>
      <c r="S26" s="234"/>
      <c r="T26" s="234"/>
      <c r="U26" s="234"/>
      <c r="V26" s="234"/>
      <c r="W26" s="234"/>
      <c r="X26" s="155"/>
      <c r="Y26" s="234"/>
      <c r="Z26" s="234"/>
      <c r="AA26" s="234"/>
      <c r="AB26" s="234"/>
      <c r="AC26" s="234"/>
      <c r="AD26" s="234"/>
      <c r="AE26" s="234"/>
      <c r="AF26" s="155"/>
      <c r="AG26" s="234"/>
      <c r="AH26" s="234"/>
      <c r="AI26" s="234"/>
      <c r="AJ26" s="234"/>
      <c r="AK26" s="234"/>
      <c r="AL26" s="234"/>
      <c r="AM26" s="234"/>
      <c r="AN26" s="155"/>
      <c r="AO26" s="234"/>
      <c r="AP26" s="234"/>
      <c r="AQ26" s="234"/>
      <c r="AR26" s="234"/>
      <c r="AS26" s="234"/>
      <c r="AT26" s="234"/>
      <c r="AU26" s="234"/>
    </row>
    <row r="27" spans="1:88" ht="14.25" x14ac:dyDescent="0.2">
      <c r="A27" s="981" t="s">
        <v>1327</v>
      </c>
      <c r="B27" s="982"/>
      <c r="C27" s="983"/>
      <c r="D27" s="1044">
        <v>265506000</v>
      </c>
      <c r="E27" s="1038"/>
      <c r="F27" s="233"/>
      <c r="G27" s="233"/>
      <c r="H27" s="127"/>
      <c r="I27" s="168"/>
      <c r="J27" s="168"/>
      <c r="K27" s="168"/>
      <c r="L27" s="168"/>
      <c r="M27" s="169"/>
      <c r="N27" s="169"/>
      <c r="O27" s="169"/>
      <c r="Q27" s="234"/>
      <c r="R27" s="234"/>
      <c r="S27" s="234"/>
      <c r="T27" s="234"/>
      <c r="U27" s="234"/>
      <c r="V27" s="234"/>
      <c r="W27" s="234"/>
      <c r="X27" s="155"/>
      <c r="Y27" s="234"/>
      <c r="Z27" s="234"/>
      <c r="AA27" s="234"/>
      <c r="AB27" s="234"/>
      <c r="AC27" s="234"/>
      <c r="AD27" s="234"/>
      <c r="AE27" s="234"/>
      <c r="AF27" s="155"/>
      <c r="AG27" s="234"/>
      <c r="AH27" s="234"/>
      <c r="AI27" s="234"/>
      <c r="AJ27" s="234"/>
      <c r="AK27" s="234"/>
      <c r="AL27" s="234"/>
      <c r="AM27" s="234"/>
      <c r="AN27" s="155"/>
      <c r="AO27" s="234"/>
      <c r="AP27" s="234"/>
      <c r="AQ27" s="234"/>
      <c r="AR27" s="234"/>
      <c r="AS27" s="234"/>
      <c r="AT27" s="234"/>
      <c r="AU27" s="234"/>
    </row>
    <row r="28" spans="1:88" ht="14.25" x14ac:dyDescent="0.2">
      <c r="A28" s="1216" t="s">
        <v>1328</v>
      </c>
      <c r="B28" s="1217"/>
      <c r="C28" s="1218"/>
      <c r="D28" s="1044">
        <v>156180000</v>
      </c>
      <c r="E28" s="1038"/>
      <c r="F28" s="233"/>
      <c r="G28" s="233"/>
      <c r="H28" s="127"/>
      <c r="I28" s="168"/>
      <c r="J28" s="168"/>
      <c r="K28" s="168"/>
      <c r="L28" s="168"/>
      <c r="M28" s="169"/>
      <c r="N28" s="169"/>
      <c r="O28" s="169"/>
      <c r="Q28" s="234"/>
      <c r="R28" s="234"/>
      <c r="S28" s="234"/>
      <c r="T28" s="234"/>
      <c r="U28" s="234"/>
      <c r="V28" s="234"/>
      <c r="W28" s="234"/>
      <c r="X28" s="155"/>
      <c r="Y28" s="234"/>
      <c r="Z28" s="234"/>
      <c r="AA28" s="234"/>
      <c r="AB28" s="234"/>
      <c r="AC28" s="234"/>
      <c r="AD28" s="234"/>
      <c r="AE28" s="234"/>
      <c r="AF28" s="155"/>
      <c r="AG28" s="234"/>
      <c r="AH28" s="234"/>
      <c r="AI28" s="234"/>
      <c r="AJ28" s="234"/>
      <c r="AK28" s="234"/>
      <c r="AL28" s="234"/>
      <c r="AM28" s="234"/>
      <c r="AN28" s="155"/>
      <c r="AO28" s="234"/>
      <c r="AP28" s="234"/>
      <c r="AQ28" s="234"/>
      <c r="AR28" s="234"/>
      <c r="AS28" s="234"/>
      <c r="AT28" s="234"/>
      <c r="AU28" s="234"/>
    </row>
    <row r="29" spans="1:88" ht="14.25" x14ac:dyDescent="0.2">
      <c r="A29" s="1216" t="s">
        <v>1329</v>
      </c>
      <c r="B29" s="1217"/>
      <c r="C29" s="1218"/>
      <c r="D29" s="1044">
        <v>19782800</v>
      </c>
      <c r="E29" s="1038"/>
      <c r="F29" s="573"/>
      <c r="G29" s="573"/>
      <c r="H29" s="127"/>
      <c r="I29" s="168"/>
      <c r="J29" s="168"/>
      <c r="K29" s="168"/>
      <c r="L29" s="168"/>
      <c r="M29" s="169"/>
      <c r="N29" s="169"/>
      <c r="O29" s="169"/>
      <c r="Q29" s="574"/>
      <c r="R29" s="574"/>
      <c r="S29" s="574"/>
      <c r="T29" s="574"/>
      <c r="U29" s="574"/>
      <c r="V29" s="574"/>
      <c r="W29" s="574"/>
      <c r="X29" s="155"/>
      <c r="Y29" s="574"/>
      <c r="Z29" s="574"/>
      <c r="AA29" s="574"/>
      <c r="AB29" s="574"/>
      <c r="AC29" s="574"/>
      <c r="AD29" s="574"/>
      <c r="AE29" s="574"/>
      <c r="AF29" s="155"/>
      <c r="AG29" s="574"/>
      <c r="AH29" s="574"/>
      <c r="AI29" s="574"/>
      <c r="AJ29" s="574"/>
      <c r="AK29" s="574"/>
      <c r="AL29" s="574"/>
      <c r="AM29" s="574"/>
      <c r="AN29" s="155"/>
      <c r="AO29" s="574"/>
      <c r="AP29" s="574"/>
      <c r="AQ29" s="574"/>
      <c r="AR29" s="574"/>
      <c r="AS29" s="574"/>
      <c r="AT29" s="574"/>
      <c r="AU29" s="574"/>
    </row>
    <row r="30" spans="1:88" ht="14.25" x14ac:dyDescent="0.2">
      <c r="A30" s="1039" t="s">
        <v>1330</v>
      </c>
      <c r="B30" s="1040"/>
      <c r="C30" s="1041"/>
      <c r="D30" s="1044">
        <v>15627213.5788</v>
      </c>
      <c r="E30" s="1038"/>
      <c r="F30" s="573"/>
      <c r="G30" s="573"/>
      <c r="H30" s="127"/>
      <c r="I30" s="168"/>
      <c r="J30" s="168"/>
      <c r="K30" s="168"/>
      <c r="L30" s="168"/>
      <c r="M30" s="169"/>
      <c r="N30" s="169"/>
      <c r="O30" s="169"/>
      <c r="Q30" s="574"/>
      <c r="R30" s="574"/>
      <c r="S30" s="574"/>
      <c r="T30" s="574"/>
      <c r="U30" s="574"/>
      <c r="V30" s="574"/>
      <c r="W30" s="574"/>
      <c r="X30" s="155"/>
      <c r="Y30" s="574"/>
      <c r="Z30" s="574"/>
      <c r="AA30" s="574"/>
      <c r="AB30" s="574"/>
      <c r="AC30" s="574"/>
      <c r="AD30" s="574"/>
      <c r="AE30" s="574"/>
      <c r="AF30" s="155"/>
      <c r="AG30" s="574"/>
      <c r="AH30" s="574"/>
      <c r="AI30" s="574"/>
      <c r="AJ30" s="574"/>
      <c r="AK30" s="574"/>
      <c r="AL30" s="574"/>
      <c r="AM30" s="574"/>
      <c r="AN30" s="155"/>
      <c r="AO30" s="574"/>
      <c r="AP30" s="574"/>
      <c r="AQ30" s="574"/>
      <c r="AR30" s="574"/>
      <c r="AS30" s="574"/>
      <c r="AT30" s="574"/>
      <c r="AU30" s="574"/>
    </row>
    <row r="31" spans="1:88" ht="14.25" x14ac:dyDescent="0.2">
      <c r="A31" s="1039" t="s">
        <v>1331</v>
      </c>
      <c r="B31" s="1040"/>
      <c r="C31" s="1041"/>
      <c r="D31" s="1044">
        <v>22385800</v>
      </c>
      <c r="E31" s="1038"/>
      <c r="F31" s="573"/>
      <c r="G31" s="573"/>
      <c r="H31" s="127"/>
      <c r="I31" s="168"/>
      <c r="J31" s="168"/>
      <c r="K31" s="168"/>
      <c r="L31" s="168"/>
      <c r="M31" s="169"/>
      <c r="N31" s="169"/>
      <c r="O31" s="169"/>
      <c r="Q31" s="574"/>
      <c r="R31" s="574"/>
      <c r="S31" s="574"/>
      <c r="T31" s="574"/>
      <c r="U31" s="574"/>
      <c r="V31" s="574"/>
      <c r="W31" s="574"/>
      <c r="X31" s="155"/>
      <c r="Y31" s="574"/>
      <c r="Z31" s="574"/>
      <c r="AA31" s="574"/>
      <c r="AB31" s="574"/>
      <c r="AC31" s="574"/>
      <c r="AD31" s="574"/>
      <c r="AE31" s="574"/>
      <c r="AF31" s="155"/>
      <c r="AG31" s="574"/>
      <c r="AH31" s="574"/>
      <c r="AI31" s="574"/>
      <c r="AJ31" s="574"/>
      <c r="AK31" s="574"/>
      <c r="AL31" s="574"/>
      <c r="AM31" s="574"/>
      <c r="AN31" s="155"/>
      <c r="AO31" s="574"/>
      <c r="AP31" s="574"/>
      <c r="AQ31" s="574"/>
      <c r="AR31" s="574"/>
      <c r="AS31" s="574"/>
      <c r="AT31" s="574"/>
      <c r="AU31" s="574"/>
    </row>
    <row r="32" spans="1:88" ht="14.25" x14ac:dyDescent="0.2">
      <c r="A32" s="1039" t="s">
        <v>1332</v>
      </c>
      <c r="B32" s="1040"/>
      <c r="C32" s="1041"/>
      <c r="D32" s="1044">
        <v>35921400</v>
      </c>
      <c r="E32" s="1038"/>
      <c r="F32" s="573"/>
      <c r="G32" s="573"/>
      <c r="H32" s="127"/>
      <c r="I32" s="168"/>
      <c r="J32" s="168"/>
      <c r="K32" s="168"/>
      <c r="L32" s="168"/>
      <c r="M32" s="169"/>
      <c r="N32" s="169"/>
      <c r="O32" s="169"/>
      <c r="Q32" s="574"/>
      <c r="R32" s="574"/>
      <c r="S32" s="574"/>
      <c r="T32" s="574"/>
      <c r="U32" s="574"/>
      <c r="V32" s="574"/>
      <c r="W32" s="574"/>
      <c r="X32" s="155"/>
      <c r="Y32" s="574"/>
      <c r="Z32" s="574"/>
      <c r="AA32" s="574"/>
      <c r="AB32" s="574"/>
      <c r="AC32" s="574"/>
      <c r="AD32" s="574"/>
      <c r="AE32" s="574"/>
      <c r="AF32" s="155"/>
      <c r="AG32" s="574"/>
      <c r="AH32" s="574"/>
      <c r="AI32" s="574"/>
      <c r="AJ32" s="574"/>
      <c r="AK32" s="574"/>
      <c r="AL32" s="574"/>
      <c r="AM32" s="574"/>
      <c r="AN32" s="155"/>
      <c r="AO32" s="574"/>
      <c r="AP32" s="574"/>
      <c r="AQ32" s="574"/>
      <c r="AR32" s="574"/>
      <c r="AS32" s="574"/>
      <c r="AT32" s="574"/>
      <c r="AU32" s="574"/>
    </row>
    <row r="33" spans="1:47" ht="14.25" x14ac:dyDescent="0.2">
      <c r="A33" s="1039" t="s">
        <v>1333</v>
      </c>
      <c r="B33" s="1040"/>
      <c r="C33" s="1041"/>
      <c r="D33" s="1044">
        <v>39227943.004799999</v>
      </c>
      <c r="E33" s="1038"/>
      <c r="F33" s="974"/>
      <c r="G33" s="974"/>
      <c r="H33" s="127"/>
      <c r="I33" s="168"/>
      <c r="J33" s="168"/>
      <c r="K33" s="168"/>
      <c r="L33" s="168"/>
      <c r="M33" s="169"/>
      <c r="N33" s="169"/>
      <c r="O33" s="169"/>
      <c r="Q33" s="975"/>
      <c r="R33" s="975"/>
      <c r="S33" s="975"/>
      <c r="T33" s="975"/>
      <c r="U33" s="975"/>
      <c r="V33" s="975"/>
      <c r="W33" s="975"/>
      <c r="X33" s="155"/>
      <c r="Y33" s="975"/>
      <c r="Z33" s="975"/>
      <c r="AA33" s="975"/>
      <c r="AB33" s="975"/>
      <c r="AC33" s="975"/>
      <c r="AD33" s="975"/>
      <c r="AE33" s="975"/>
      <c r="AF33" s="155"/>
      <c r="AG33" s="975"/>
      <c r="AH33" s="975"/>
      <c r="AI33" s="975"/>
      <c r="AJ33" s="975"/>
      <c r="AK33" s="975"/>
      <c r="AL33" s="975"/>
      <c r="AM33" s="975"/>
      <c r="AN33" s="155"/>
      <c r="AO33" s="975"/>
      <c r="AP33" s="975"/>
      <c r="AQ33" s="975"/>
      <c r="AR33" s="975"/>
      <c r="AS33" s="975"/>
      <c r="AT33" s="975"/>
      <c r="AU33" s="975"/>
    </row>
    <row r="34" spans="1:47" ht="14.25" x14ac:dyDescent="0.2">
      <c r="A34" s="1216" t="s">
        <v>1334</v>
      </c>
      <c r="B34" s="1217"/>
      <c r="C34" s="1218"/>
      <c r="D34" s="1044">
        <v>8242469.2604</v>
      </c>
      <c r="E34" s="1038"/>
      <c r="F34" s="974"/>
      <c r="G34" s="974"/>
      <c r="H34" s="127"/>
      <c r="I34" s="168"/>
      <c r="J34" s="168"/>
      <c r="K34" s="168"/>
      <c r="L34" s="168"/>
      <c r="M34" s="169"/>
      <c r="N34" s="169"/>
      <c r="O34" s="169"/>
      <c r="Q34" s="975"/>
      <c r="R34" s="975"/>
      <c r="S34" s="975"/>
      <c r="T34" s="975"/>
      <c r="U34" s="975"/>
      <c r="V34" s="975"/>
      <c r="W34" s="975"/>
      <c r="X34" s="155"/>
      <c r="Y34" s="975"/>
      <c r="Z34" s="975"/>
      <c r="AA34" s="975"/>
      <c r="AB34" s="975"/>
      <c r="AC34" s="975"/>
      <c r="AD34" s="975"/>
      <c r="AE34" s="975"/>
      <c r="AF34" s="155"/>
      <c r="AG34" s="975"/>
      <c r="AH34" s="975"/>
      <c r="AI34" s="975"/>
      <c r="AJ34" s="975"/>
      <c r="AK34" s="975"/>
      <c r="AL34" s="975"/>
      <c r="AM34" s="975"/>
      <c r="AN34" s="155"/>
      <c r="AO34" s="975"/>
      <c r="AP34" s="975"/>
      <c r="AQ34" s="975"/>
      <c r="AR34" s="975"/>
      <c r="AS34" s="975"/>
      <c r="AT34" s="975"/>
      <c r="AU34" s="975"/>
    </row>
    <row r="35" spans="1:47" ht="14.25" x14ac:dyDescent="0.2">
      <c r="A35" s="1216" t="s">
        <v>1335</v>
      </c>
      <c r="B35" s="1217"/>
      <c r="C35" s="1218"/>
      <c r="D35" s="1044">
        <v>6226376</v>
      </c>
      <c r="E35" s="1038"/>
      <c r="F35" s="974"/>
      <c r="G35" s="974"/>
      <c r="H35" s="127"/>
      <c r="I35" s="168"/>
      <c r="J35" s="168"/>
      <c r="K35" s="168"/>
      <c r="L35" s="168"/>
      <c r="M35" s="169"/>
      <c r="N35" s="169"/>
      <c r="O35" s="169"/>
      <c r="Q35" s="975"/>
      <c r="R35" s="975"/>
      <c r="S35" s="975"/>
      <c r="T35" s="975"/>
      <c r="U35" s="975"/>
      <c r="V35" s="975"/>
      <c r="W35" s="975"/>
      <c r="X35" s="155"/>
      <c r="Y35" s="975"/>
      <c r="Z35" s="975"/>
      <c r="AA35" s="975"/>
      <c r="AB35" s="975"/>
      <c r="AC35" s="975"/>
      <c r="AD35" s="975"/>
      <c r="AE35" s="975"/>
      <c r="AF35" s="155"/>
      <c r="AG35" s="975"/>
      <c r="AH35" s="975"/>
      <c r="AI35" s="975"/>
      <c r="AJ35" s="975"/>
      <c r="AK35" s="975"/>
      <c r="AL35" s="975"/>
      <c r="AM35" s="975"/>
      <c r="AN35" s="155"/>
      <c r="AO35" s="975"/>
      <c r="AP35" s="975"/>
      <c r="AQ35" s="975"/>
      <c r="AR35" s="975"/>
      <c r="AS35" s="975"/>
      <c r="AT35" s="975"/>
      <c r="AU35" s="975"/>
    </row>
    <row r="36" spans="1:47" ht="14.25" x14ac:dyDescent="0.2">
      <c r="A36" s="1225" t="s">
        <v>1336</v>
      </c>
      <c r="B36" s="1226"/>
      <c r="C36" s="1227"/>
      <c r="D36" s="1044">
        <v>7579936</v>
      </c>
      <c r="E36" s="1038"/>
      <c r="F36" s="974"/>
      <c r="G36" s="974"/>
      <c r="H36" s="127"/>
      <c r="I36" s="168"/>
      <c r="J36" s="168"/>
      <c r="K36" s="168"/>
      <c r="L36" s="168"/>
      <c r="M36" s="169"/>
      <c r="N36" s="169"/>
      <c r="O36" s="169"/>
      <c r="Q36" s="975"/>
      <c r="R36" s="975"/>
      <c r="S36" s="975"/>
      <c r="T36" s="975"/>
      <c r="U36" s="975"/>
      <c r="V36" s="975"/>
      <c r="W36" s="975"/>
      <c r="X36" s="155"/>
      <c r="Y36" s="975"/>
      <c r="Z36" s="975"/>
      <c r="AA36" s="975"/>
      <c r="AB36" s="975"/>
      <c r="AC36" s="975"/>
      <c r="AD36" s="975"/>
      <c r="AE36" s="975"/>
      <c r="AF36" s="155"/>
      <c r="AG36" s="975"/>
      <c r="AH36" s="975"/>
      <c r="AI36" s="975"/>
      <c r="AJ36" s="975"/>
      <c r="AK36" s="975"/>
      <c r="AL36" s="975"/>
      <c r="AM36" s="975"/>
      <c r="AN36" s="155"/>
      <c r="AO36" s="975"/>
      <c r="AP36" s="975"/>
      <c r="AQ36" s="975"/>
      <c r="AR36" s="975"/>
      <c r="AS36" s="975"/>
      <c r="AT36" s="975"/>
      <c r="AU36" s="975"/>
    </row>
    <row r="37" spans="1:47" ht="14.25" x14ac:dyDescent="0.2">
      <c r="A37" s="1216" t="s">
        <v>1337</v>
      </c>
      <c r="B37" s="1217"/>
      <c r="C37" s="1218"/>
      <c r="D37" s="1044">
        <v>14401878.4</v>
      </c>
      <c r="E37" s="1038"/>
      <c r="F37" s="974"/>
      <c r="G37" s="974"/>
      <c r="H37" s="127"/>
      <c r="I37" s="168"/>
      <c r="J37" s="168"/>
      <c r="K37" s="168"/>
      <c r="L37" s="168"/>
      <c r="M37" s="169"/>
      <c r="N37" s="169"/>
      <c r="O37" s="169"/>
      <c r="Q37" s="975"/>
      <c r="R37" s="975"/>
      <c r="S37" s="975"/>
      <c r="T37" s="975"/>
      <c r="U37" s="975"/>
      <c r="V37" s="975"/>
      <c r="W37" s="975"/>
      <c r="X37" s="155"/>
      <c r="Y37" s="975"/>
      <c r="Z37" s="975"/>
      <c r="AA37" s="975"/>
      <c r="AB37" s="975"/>
      <c r="AC37" s="975"/>
      <c r="AD37" s="975"/>
      <c r="AE37" s="975"/>
      <c r="AF37" s="155"/>
      <c r="AG37" s="975"/>
      <c r="AH37" s="975"/>
      <c r="AI37" s="975"/>
      <c r="AJ37" s="975"/>
      <c r="AK37" s="975"/>
      <c r="AL37" s="975"/>
      <c r="AM37" s="975"/>
      <c r="AN37" s="155"/>
      <c r="AO37" s="975"/>
      <c r="AP37" s="975"/>
      <c r="AQ37" s="975"/>
      <c r="AR37" s="975"/>
      <c r="AS37" s="975"/>
      <c r="AT37" s="975"/>
      <c r="AU37" s="975"/>
    </row>
    <row r="38" spans="1:47" ht="14.25" x14ac:dyDescent="0.2">
      <c r="A38" s="1216" t="s">
        <v>1338</v>
      </c>
      <c r="B38" s="1217"/>
      <c r="C38" s="1218"/>
      <c r="D38" s="1044">
        <v>12494400</v>
      </c>
      <c r="E38" s="1038"/>
      <c r="F38" s="974"/>
      <c r="G38" s="974"/>
      <c r="H38" s="127"/>
      <c r="I38" s="168"/>
      <c r="J38" s="168"/>
      <c r="K38" s="168"/>
      <c r="L38" s="168"/>
      <c r="M38" s="169"/>
      <c r="N38" s="169"/>
      <c r="O38" s="169"/>
      <c r="Q38" s="975"/>
      <c r="R38" s="975"/>
      <c r="S38" s="975"/>
      <c r="T38" s="975"/>
      <c r="U38" s="975"/>
      <c r="V38" s="975"/>
      <c r="W38" s="975"/>
      <c r="X38" s="155"/>
      <c r="Y38" s="975"/>
      <c r="Z38" s="975"/>
      <c r="AA38" s="975"/>
      <c r="AB38" s="975"/>
      <c r="AC38" s="975"/>
      <c r="AD38" s="975"/>
      <c r="AE38" s="975"/>
      <c r="AF38" s="155"/>
      <c r="AG38" s="975"/>
      <c r="AH38" s="975"/>
      <c r="AI38" s="975"/>
      <c r="AJ38" s="975"/>
      <c r="AK38" s="975"/>
      <c r="AL38" s="975"/>
      <c r="AM38" s="975"/>
      <c r="AN38" s="155"/>
      <c r="AO38" s="975"/>
      <c r="AP38" s="975"/>
      <c r="AQ38" s="975"/>
      <c r="AR38" s="975"/>
      <c r="AS38" s="975"/>
      <c r="AT38" s="975"/>
      <c r="AU38" s="975"/>
    </row>
    <row r="39" spans="1:47" ht="14.25" x14ac:dyDescent="0.2">
      <c r="A39" s="1216" t="s">
        <v>1339</v>
      </c>
      <c r="B39" s="1217"/>
      <c r="C39" s="1218"/>
      <c r="D39" s="1044">
        <v>4904117.5955999997</v>
      </c>
      <c r="E39" s="1038"/>
      <c r="F39" s="974"/>
      <c r="G39" s="974"/>
      <c r="H39" s="127"/>
      <c r="I39" s="168"/>
      <c r="J39" s="168"/>
      <c r="K39" s="168"/>
      <c r="L39" s="168"/>
      <c r="M39" s="169"/>
      <c r="N39" s="169"/>
      <c r="O39" s="169"/>
      <c r="Q39" s="975"/>
      <c r="R39" s="975"/>
      <c r="S39" s="975"/>
      <c r="T39" s="975"/>
      <c r="U39" s="975"/>
      <c r="V39" s="975"/>
      <c r="W39" s="975"/>
      <c r="X39" s="155"/>
      <c r="Y39" s="975"/>
      <c r="Z39" s="975"/>
      <c r="AA39" s="975"/>
      <c r="AB39" s="975"/>
      <c r="AC39" s="975"/>
      <c r="AD39" s="975"/>
      <c r="AE39" s="975"/>
      <c r="AF39" s="155"/>
      <c r="AG39" s="975"/>
      <c r="AH39" s="975"/>
      <c r="AI39" s="975"/>
      <c r="AJ39" s="975"/>
      <c r="AK39" s="975"/>
      <c r="AL39" s="975"/>
      <c r="AM39" s="975"/>
      <c r="AN39" s="155"/>
      <c r="AO39" s="975"/>
      <c r="AP39" s="975"/>
      <c r="AQ39" s="975"/>
      <c r="AR39" s="975"/>
      <c r="AS39" s="975"/>
      <c r="AT39" s="975"/>
      <c r="AU39" s="975"/>
    </row>
    <row r="40" spans="1:47" ht="14.25" x14ac:dyDescent="0.2">
      <c r="A40" s="1216" t="s">
        <v>1340</v>
      </c>
      <c r="B40" s="1217"/>
      <c r="C40" s="1218"/>
      <c r="D40" s="1044">
        <v>90714714.509599999</v>
      </c>
      <c r="E40" s="1038"/>
      <c r="F40" s="974"/>
      <c r="G40" s="974"/>
      <c r="H40" s="127"/>
      <c r="I40" s="168"/>
      <c r="J40" s="168"/>
      <c r="K40" s="168"/>
      <c r="L40" s="168"/>
      <c r="M40" s="169"/>
      <c r="N40" s="169"/>
      <c r="O40" s="169"/>
      <c r="Q40" s="975"/>
      <c r="R40" s="975"/>
      <c r="S40" s="975"/>
      <c r="T40" s="975"/>
      <c r="U40" s="975"/>
      <c r="V40" s="975"/>
      <c r="W40" s="975"/>
      <c r="X40" s="155"/>
      <c r="Y40" s="975"/>
      <c r="Z40" s="975"/>
      <c r="AA40" s="975"/>
      <c r="AB40" s="975"/>
      <c r="AC40" s="975"/>
      <c r="AD40" s="975"/>
      <c r="AE40" s="975"/>
      <c r="AF40" s="155"/>
      <c r="AG40" s="975"/>
      <c r="AH40" s="975"/>
      <c r="AI40" s="975"/>
      <c r="AJ40" s="975"/>
      <c r="AK40" s="975"/>
      <c r="AL40" s="975"/>
      <c r="AM40" s="975"/>
      <c r="AN40" s="155"/>
      <c r="AO40" s="975"/>
      <c r="AP40" s="975"/>
      <c r="AQ40" s="975"/>
      <c r="AR40" s="975"/>
      <c r="AS40" s="975"/>
      <c r="AT40" s="975"/>
      <c r="AU40" s="975"/>
    </row>
    <row r="41" spans="1:47" ht="14.25" x14ac:dyDescent="0.2">
      <c r="A41" s="1039" t="s">
        <v>1341</v>
      </c>
      <c r="B41" s="1040"/>
      <c r="C41" s="1041"/>
      <c r="D41" s="1044">
        <v>20824000</v>
      </c>
      <c r="E41" s="1038"/>
      <c r="F41" s="974"/>
      <c r="G41" s="974"/>
      <c r="H41" s="127"/>
      <c r="I41" s="168"/>
      <c r="J41" s="168"/>
      <c r="K41" s="168"/>
      <c r="L41" s="168"/>
      <c r="M41" s="169"/>
      <c r="N41" s="169"/>
      <c r="O41" s="169"/>
      <c r="Q41" s="975"/>
      <c r="R41" s="975"/>
      <c r="S41" s="975"/>
      <c r="T41" s="975"/>
      <c r="U41" s="975"/>
      <c r="V41" s="975"/>
      <c r="W41" s="975"/>
      <c r="X41" s="155"/>
      <c r="Y41" s="975"/>
      <c r="Z41" s="975"/>
      <c r="AA41" s="975"/>
      <c r="AB41" s="975"/>
      <c r="AC41" s="975"/>
      <c r="AD41" s="975"/>
      <c r="AE41" s="975"/>
      <c r="AF41" s="155"/>
      <c r="AG41" s="975"/>
      <c r="AH41" s="975"/>
      <c r="AI41" s="975"/>
      <c r="AJ41" s="975"/>
      <c r="AK41" s="975"/>
      <c r="AL41" s="975"/>
      <c r="AM41" s="975"/>
      <c r="AN41" s="155"/>
      <c r="AO41" s="975"/>
      <c r="AP41" s="975"/>
      <c r="AQ41" s="975"/>
      <c r="AR41" s="975"/>
      <c r="AS41" s="975"/>
      <c r="AT41" s="975"/>
      <c r="AU41" s="975"/>
    </row>
    <row r="42" spans="1:47" ht="14.25" x14ac:dyDescent="0.2">
      <c r="A42" s="1039" t="s">
        <v>1342</v>
      </c>
      <c r="B42" s="1040"/>
      <c r="C42" s="1041"/>
      <c r="D42" s="1044">
        <v>6497088</v>
      </c>
      <c r="E42" s="1038"/>
      <c r="F42" s="974"/>
      <c r="G42" s="974"/>
      <c r="H42" s="127"/>
      <c r="I42" s="168"/>
      <c r="J42" s="168"/>
      <c r="K42" s="168"/>
      <c r="L42" s="168"/>
      <c r="M42" s="169"/>
      <c r="N42" s="169"/>
      <c r="O42" s="169"/>
      <c r="Q42" s="975"/>
      <c r="R42" s="975"/>
      <c r="S42" s="975"/>
      <c r="T42" s="975"/>
      <c r="U42" s="975"/>
      <c r="V42" s="975"/>
      <c r="W42" s="975"/>
      <c r="X42" s="155"/>
      <c r="Y42" s="975"/>
      <c r="Z42" s="975"/>
      <c r="AA42" s="975"/>
      <c r="AB42" s="975"/>
      <c r="AC42" s="975"/>
      <c r="AD42" s="975"/>
      <c r="AE42" s="975"/>
      <c r="AF42" s="155"/>
      <c r="AG42" s="975"/>
      <c r="AH42" s="975"/>
      <c r="AI42" s="975"/>
      <c r="AJ42" s="975"/>
      <c r="AK42" s="975"/>
      <c r="AL42" s="975"/>
      <c r="AM42" s="975"/>
      <c r="AN42" s="155"/>
      <c r="AO42" s="975"/>
      <c r="AP42" s="975"/>
      <c r="AQ42" s="975"/>
      <c r="AR42" s="975"/>
      <c r="AS42" s="975"/>
      <c r="AT42" s="975"/>
      <c r="AU42" s="975"/>
    </row>
    <row r="43" spans="1:47" ht="14.25" x14ac:dyDescent="0.2">
      <c r="A43" s="1039" t="s">
        <v>1343</v>
      </c>
      <c r="B43" s="1040"/>
      <c r="C43" s="1041"/>
      <c r="D43" s="1044">
        <v>6497088</v>
      </c>
      <c r="E43" s="1038"/>
      <c r="F43" s="974"/>
      <c r="G43" s="974"/>
      <c r="H43" s="127"/>
      <c r="I43" s="168"/>
      <c r="J43" s="168"/>
      <c r="K43" s="168"/>
      <c r="L43" s="168"/>
      <c r="M43" s="169"/>
      <c r="N43" s="169"/>
      <c r="O43" s="169"/>
      <c r="Q43" s="975"/>
      <c r="R43" s="975"/>
      <c r="S43" s="975"/>
      <c r="T43" s="975"/>
      <c r="U43" s="975"/>
      <c r="V43" s="975"/>
      <c r="W43" s="975"/>
      <c r="X43" s="155"/>
      <c r="Y43" s="975"/>
      <c r="Z43" s="975"/>
      <c r="AA43" s="975"/>
      <c r="AB43" s="975"/>
      <c r="AC43" s="975"/>
      <c r="AD43" s="975"/>
      <c r="AE43" s="975"/>
      <c r="AF43" s="155"/>
      <c r="AG43" s="975"/>
      <c r="AH43" s="975"/>
      <c r="AI43" s="975"/>
      <c r="AJ43" s="975"/>
      <c r="AK43" s="975"/>
      <c r="AL43" s="975"/>
      <c r="AM43" s="975"/>
      <c r="AN43" s="155"/>
      <c r="AO43" s="975"/>
      <c r="AP43" s="975"/>
      <c r="AQ43" s="975"/>
      <c r="AR43" s="975"/>
      <c r="AS43" s="975"/>
      <c r="AT43" s="975"/>
      <c r="AU43" s="975"/>
    </row>
    <row r="44" spans="1:47" ht="14.25" x14ac:dyDescent="0.2">
      <c r="A44" s="1039" t="s">
        <v>1344</v>
      </c>
      <c r="B44" s="1040"/>
      <c r="C44" s="1041"/>
      <c r="D44" s="1044">
        <v>31236000</v>
      </c>
      <c r="E44" s="1038"/>
      <c r="F44" s="974"/>
      <c r="G44" s="974"/>
      <c r="H44" s="127"/>
      <c r="I44" s="168"/>
      <c r="J44" s="168"/>
      <c r="K44" s="168"/>
      <c r="L44" s="168"/>
      <c r="M44" s="169"/>
      <c r="N44" s="169"/>
      <c r="O44" s="169"/>
      <c r="Q44" s="975"/>
      <c r="R44" s="975"/>
      <c r="S44" s="975"/>
      <c r="T44" s="975"/>
      <c r="U44" s="975"/>
      <c r="V44" s="975"/>
      <c r="W44" s="975"/>
      <c r="X44" s="155"/>
      <c r="Y44" s="975"/>
      <c r="Z44" s="975"/>
      <c r="AA44" s="975"/>
      <c r="AB44" s="975"/>
      <c r="AC44" s="975"/>
      <c r="AD44" s="975"/>
      <c r="AE44" s="975"/>
      <c r="AF44" s="155"/>
      <c r="AG44" s="975"/>
      <c r="AH44" s="975"/>
      <c r="AI44" s="975"/>
      <c r="AJ44" s="975"/>
      <c r="AK44" s="975"/>
      <c r="AL44" s="975"/>
      <c r="AM44" s="975"/>
      <c r="AN44" s="155"/>
      <c r="AO44" s="975"/>
      <c r="AP44" s="975"/>
      <c r="AQ44" s="975"/>
      <c r="AR44" s="975"/>
      <c r="AS44" s="975"/>
      <c r="AT44" s="975"/>
      <c r="AU44" s="975"/>
    </row>
    <row r="45" spans="1:47" ht="14.25" x14ac:dyDescent="0.2">
      <c r="A45" s="1039" t="s">
        <v>1345</v>
      </c>
      <c r="B45" s="1040"/>
      <c r="C45" s="1041"/>
      <c r="D45" s="1044">
        <v>4373040</v>
      </c>
      <c r="E45" s="1038"/>
      <c r="F45" s="974"/>
      <c r="G45" s="974"/>
      <c r="H45" s="127"/>
      <c r="I45" s="168"/>
      <c r="J45" s="168"/>
      <c r="K45" s="168"/>
      <c r="L45" s="168"/>
      <c r="M45" s="169"/>
      <c r="N45" s="169"/>
      <c r="O45" s="169"/>
      <c r="Q45" s="975"/>
      <c r="R45" s="975"/>
      <c r="S45" s="975"/>
      <c r="T45" s="975"/>
      <c r="U45" s="975"/>
      <c r="V45" s="975"/>
      <c r="W45" s="975"/>
      <c r="X45" s="155"/>
      <c r="Y45" s="975"/>
      <c r="Z45" s="975"/>
      <c r="AA45" s="975"/>
      <c r="AB45" s="975"/>
      <c r="AC45" s="975"/>
      <c r="AD45" s="975"/>
      <c r="AE45" s="975"/>
      <c r="AF45" s="155"/>
      <c r="AG45" s="975"/>
      <c r="AH45" s="975"/>
      <c r="AI45" s="975"/>
      <c r="AJ45" s="975"/>
      <c r="AK45" s="975"/>
      <c r="AL45" s="975"/>
      <c r="AM45" s="975"/>
      <c r="AN45" s="155"/>
      <c r="AO45" s="975"/>
      <c r="AP45" s="975"/>
      <c r="AQ45" s="975"/>
      <c r="AR45" s="975"/>
      <c r="AS45" s="975"/>
      <c r="AT45" s="975"/>
      <c r="AU45" s="975"/>
    </row>
    <row r="46" spans="1:47" ht="14.25" x14ac:dyDescent="0.2">
      <c r="A46" s="1039" t="s">
        <v>1346</v>
      </c>
      <c r="B46" s="1040"/>
      <c r="C46" s="1041"/>
      <c r="D46" s="1044">
        <v>17468837.120000001</v>
      </c>
      <c r="E46" s="1038"/>
      <c r="F46" s="974"/>
      <c r="G46" s="974"/>
      <c r="H46" s="127"/>
      <c r="I46" s="168"/>
      <c r="J46" s="168"/>
      <c r="K46" s="168"/>
      <c r="L46" s="168"/>
      <c r="M46" s="169"/>
      <c r="N46" s="169"/>
      <c r="O46" s="169"/>
      <c r="Q46" s="975"/>
      <c r="R46" s="975"/>
      <c r="S46" s="975"/>
      <c r="T46" s="975"/>
      <c r="U46" s="975"/>
      <c r="V46" s="975"/>
      <c r="W46" s="975"/>
      <c r="X46" s="155"/>
      <c r="Y46" s="975"/>
      <c r="Z46" s="975"/>
      <c r="AA46" s="975"/>
      <c r="AB46" s="975"/>
      <c r="AC46" s="975"/>
      <c r="AD46" s="975"/>
      <c r="AE46" s="975"/>
      <c r="AF46" s="155"/>
      <c r="AG46" s="975"/>
      <c r="AH46" s="975"/>
      <c r="AI46" s="975"/>
      <c r="AJ46" s="975"/>
      <c r="AK46" s="975"/>
      <c r="AL46" s="975"/>
      <c r="AM46" s="975"/>
      <c r="AN46" s="155"/>
      <c r="AO46" s="975"/>
      <c r="AP46" s="975"/>
      <c r="AQ46" s="975"/>
      <c r="AR46" s="975"/>
      <c r="AS46" s="975"/>
      <c r="AT46" s="975"/>
      <c r="AU46" s="975"/>
    </row>
    <row r="47" spans="1:47" ht="14.25" x14ac:dyDescent="0.2">
      <c r="A47" s="1039" t="s">
        <v>1347</v>
      </c>
      <c r="B47" s="1040"/>
      <c r="C47" s="1041"/>
      <c r="D47" s="1044">
        <v>2290640</v>
      </c>
      <c r="E47" s="1038"/>
      <c r="F47" s="233"/>
      <c r="G47" s="233"/>
      <c r="H47" s="127"/>
      <c r="I47" s="168"/>
      <c r="J47" s="168"/>
      <c r="K47" s="168"/>
      <c r="L47" s="168"/>
      <c r="M47" s="169"/>
      <c r="N47" s="169"/>
      <c r="O47" s="169"/>
      <c r="Q47" s="234"/>
      <c r="R47" s="234"/>
      <c r="S47" s="234"/>
      <c r="T47" s="234"/>
      <c r="U47" s="234"/>
      <c r="V47" s="234"/>
      <c r="W47" s="234"/>
      <c r="X47" s="155"/>
      <c r="Y47" s="234"/>
      <c r="Z47" s="234"/>
      <c r="AA47" s="234"/>
      <c r="AB47" s="234"/>
      <c r="AC47" s="234"/>
      <c r="AD47" s="234"/>
      <c r="AE47" s="234"/>
      <c r="AF47" s="155"/>
      <c r="AG47" s="234"/>
      <c r="AH47" s="234"/>
      <c r="AI47" s="234"/>
      <c r="AJ47" s="234"/>
      <c r="AK47" s="234"/>
      <c r="AL47" s="234"/>
      <c r="AM47" s="234"/>
      <c r="AN47" s="155"/>
      <c r="AO47" s="234"/>
      <c r="AP47" s="234"/>
      <c r="AQ47" s="234"/>
      <c r="AR47" s="234"/>
      <c r="AS47" s="234"/>
      <c r="AT47" s="234"/>
      <c r="AU47" s="234"/>
    </row>
    <row r="48" spans="1:47" ht="14.25" x14ac:dyDescent="0.2">
      <c r="A48" s="1039" t="s">
        <v>1348</v>
      </c>
      <c r="B48" s="1040"/>
      <c r="C48" s="1041"/>
      <c r="D48" s="1044">
        <v>1874160</v>
      </c>
      <c r="E48" s="1038"/>
      <c r="F48" s="233"/>
      <c r="G48" s="233"/>
      <c r="H48" s="127"/>
      <c r="I48" s="168"/>
      <c r="J48" s="168"/>
      <c r="K48" s="168"/>
      <c r="L48" s="168"/>
      <c r="M48" s="169"/>
      <c r="N48" s="169"/>
      <c r="O48" s="169"/>
      <c r="Q48" s="234"/>
      <c r="R48" s="234"/>
      <c r="S48" s="234"/>
      <c r="T48" s="234"/>
      <c r="U48" s="234"/>
      <c r="V48" s="234"/>
      <c r="W48" s="234"/>
      <c r="X48" s="155"/>
      <c r="Y48" s="234"/>
      <c r="Z48" s="234"/>
      <c r="AA48" s="234"/>
      <c r="AB48" s="234"/>
      <c r="AC48" s="234"/>
      <c r="AD48" s="234"/>
      <c r="AE48" s="234"/>
      <c r="AF48" s="155"/>
      <c r="AG48" s="234"/>
      <c r="AH48" s="234"/>
      <c r="AI48" s="234"/>
      <c r="AJ48" s="234"/>
      <c r="AK48" s="234"/>
      <c r="AL48" s="234"/>
      <c r="AM48" s="234"/>
      <c r="AN48" s="155"/>
      <c r="AO48" s="234"/>
      <c r="AP48" s="234"/>
      <c r="AQ48" s="234"/>
      <c r="AR48" s="234"/>
      <c r="AS48" s="234"/>
      <c r="AT48" s="234"/>
      <c r="AU48" s="234"/>
    </row>
    <row r="49" spans="1:47" ht="14.25" x14ac:dyDescent="0.2">
      <c r="A49" s="1236" t="s">
        <v>1349</v>
      </c>
      <c r="B49" s="1237"/>
      <c r="C49" s="1238"/>
      <c r="D49" s="1044">
        <v>1561800</v>
      </c>
      <c r="E49" s="1038"/>
      <c r="F49" s="233"/>
      <c r="G49" s="233"/>
      <c r="H49" s="127"/>
      <c r="I49" s="168"/>
      <c r="J49" s="168"/>
      <c r="K49" s="168"/>
      <c r="L49" s="168"/>
      <c r="M49" s="169"/>
      <c r="N49" s="169"/>
      <c r="O49" s="169"/>
      <c r="Q49" s="234"/>
      <c r="R49" s="234"/>
      <c r="S49" s="234"/>
      <c r="T49" s="234"/>
      <c r="U49" s="234"/>
      <c r="V49" s="234"/>
      <c r="W49" s="234"/>
      <c r="X49" s="155"/>
      <c r="Y49" s="234"/>
      <c r="Z49" s="234"/>
      <c r="AA49" s="234"/>
      <c r="AB49" s="234"/>
      <c r="AC49" s="234"/>
      <c r="AD49" s="234"/>
      <c r="AE49" s="234"/>
      <c r="AF49" s="155"/>
      <c r="AG49" s="234"/>
      <c r="AH49" s="234"/>
      <c r="AI49" s="234"/>
      <c r="AJ49" s="234"/>
      <c r="AK49" s="234"/>
      <c r="AL49" s="234"/>
      <c r="AM49" s="234"/>
      <c r="AN49" s="155"/>
      <c r="AO49" s="234"/>
      <c r="AP49" s="234"/>
      <c r="AQ49" s="234"/>
      <c r="AR49" s="234"/>
      <c r="AS49" s="234"/>
      <c r="AT49" s="234"/>
      <c r="AU49" s="234"/>
    </row>
    <row r="50" spans="1:47" ht="14.25" x14ac:dyDescent="0.2">
      <c r="A50" s="1236" t="s">
        <v>1350</v>
      </c>
      <c r="B50" s="1237"/>
      <c r="C50" s="1238"/>
      <c r="D50" s="1043">
        <v>5000000</v>
      </c>
      <c r="E50" s="233"/>
      <c r="F50" s="233"/>
      <c r="G50" s="233"/>
      <c r="H50" s="127"/>
      <c r="I50" s="168"/>
      <c r="J50" s="168"/>
      <c r="K50" s="168"/>
      <c r="L50" s="168"/>
      <c r="M50" s="169"/>
      <c r="N50" s="169"/>
      <c r="O50" s="169"/>
      <c r="Q50" s="234"/>
      <c r="R50" s="234"/>
      <c r="S50" s="234"/>
      <c r="T50" s="234"/>
      <c r="U50" s="234"/>
      <c r="V50" s="234"/>
      <c r="W50" s="234"/>
      <c r="X50" s="155"/>
      <c r="Y50" s="234"/>
      <c r="Z50" s="234"/>
      <c r="AA50" s="234"/>
      <c r="AB50" s="234"/>
      <c r="AC50" s="234"/>
      <c r="AD50" s="234"/>
      <c r="AE50" s="234"/>
      <c r="AF50" s="155"/>
      <c r="AG50" s="234"/>
      <c r="AH50" s="234"/>
      <c r="AI50" s="234"/>
      <c r="AJ50" s="234"/>
      <c r="AK50" s="234"/>
      <c r="AL50" s="234"/>
      <c r="AM50" s="234"/>
      <c r="AN50" s="155"/>
      <c r="AO50" s="234"/>
      <c r="AP50" s="234"/>
      <c r="AQ50" s="234"/>
      <c r="AR50" s="234"/>
      <c r="AS50" s="234"/>
      <c r="AT50" s="234"/>
      <c r="AU50" s="234"/>
    </row>
    <row r="51" spans="1:47" ht="14.25" x14ac:dyDescent="0.2">
      <c r="A51" s="1213" t="s">
        <v>1351</v>
      </c>
      <c r="B51" s="1214"/>
      <c r="C51" s="1215"/>
      <c r="D51" s="1045">
        <v>0</v>
      </c>
      <c r="E51" s="233"/>
      <c r="F51" s="233"/>
      <c r="G51" s="233"/>
      <c r="H51" s="127"/>
      <c r="I51" s="168"/>
      <c r="J51" s="168"/>
      <c r="K51" s="168"/>
      <c r="L51" s="168"/>
      <c r="M51" s="169"/>
      <c r="N51" s="169"/>
      <c r="O51" s="169"/>
      <c r="Q51" s="234"/>
      <c r="R51" s="234"/>
      <c r="S51" s="234"/>
      <c r="T51" s="234"/>
      <c r="U51" s="234"/>
      <c r="V51" s="234"/>
      <c r="W51" s="234"/>
      <c r="X51" s="155"/>
      <c r="Y51" s="234"/>
      <c r="Z51" s="234"/>
      <c r="AA51" s="234"/>
      <c r="AB51" s="234"/>
      <c r="AC51" s="234"/>
      <c r="AD51" s="234"/>
      <c r="AE51" s="234"/>
      <c r="AF51" s="155"/>
      <c r="AG51" s="234"/>
      <c r="AH51" s="234"/>
      <c r="AI51" s="234"/>
      <c r="AJ51" s="234"/>
      <c r="AK51" s="234"/>
      <c r="AL51" s="234"/>
      <c r="AM51" s="234"/>
      <c r="AN51" s="155"/>
      <c r="AO51" s="234"/>
      <c r="AP51" s="234"/>
      <c r="AQ51" s="234"/>
      <c r="AR51" s="234"/>
      <c r="AS51" s="234"/>
      <c r="AT51" s="234"/>
      <c r="AU51" s="234"/>
    </row>
    <row r="52" spans="1:47" ht="14.25" x14ac:dyDescent="0.2">
      <c r="A52" s="1230" t="s">
        <v>1352</v>
      </c>
      <c r="B52" s="1231"/>
      <c r="C52" s="1232"/>
      <c r="D52" s="1044">
        <v>6000000</v>
      </c>
      <c r="E52" s="233"/>
      <c r="F52" s="233"/>
      <c r="G52" s="233"/>
      <c r="H52" s="127"/>
      <c r="I52" s="168"/>
      <c r="J52" s="168"/>
      <c r="K52" s="168"/>
      <c r="L52" s="168"/>
      <c r="M52" s="169"/>
      <c r="N52" s="169"/>
      <c r="O52" s="169"/>
      <c r="Q52" s="234"/>
      <c r="R52" s="234"/>
      <c r="S52" s="234"/>
      <c r="T52" s="234"/>
      <c r="U52" s="234"/>
      <c r="V52" s="234"/>
      <c r="W52" s="234"/>
      <c r="X52" s="155"/>
      <c r="Y52" s="234"/>
      <c r="Z52" s="234"/>
      <c r="AA52" s="234"/>
      <c r="AB52" s="234"/>
      <c r="AC52" s="234"/>
      <c r="AD52" s="234"/>
      <c r="AE52" s="234"/>
      <c r="AF52" s="155"/>
      <c r="AG52" s="234"/>
      <c r="AH52" s="234"/>
      <c r="AI52" s="234"/>
      <c r="AJ52" s="234"/>
      <c r="AK52" s="234"/>
      <c r="AL52" s="234"/>
      <c r="AM52" s="234"/>
      <c r="AN52" s="155"/>
      <c r="AO52" s="234"/>
      <c r="AP52" s="234"/>
      <c r="AQ52" s="234"/>
      <c r="AR52" s="234"/>
      <c r="AS52" s="234"/>
      <c r="AT52" s="234"/>
      <c r="AU52" s="234"/>
    </row>
    <row r="53" spans="1:47" ht="14.25" x14ac:dyDescent="0.2">
      <c r="A53" s="1046" t="s">
        <v>1353</v>
      </c>
      <c r="B53" s="1047"/>
      <c r="C53" s="1048"/>
      <c r="D53" s="1044">
        <v>12000000</v>
      </c>
      <c r="E53" s="1038"/>
      <c r="F53" s="1038"/>
      <c r="G53" s="1038"/>
      <c r="H53" s="127"/>
      <c r="I53" s="168"/>
      <c r="J53" s="168"/>
      <c r="K53" s="168"/>
      <c r="L53" s="168"/>
      <c r="M53" s="169"/>
      <c r="N53" s="169"/>
      <c r="O53" s="169"/>
      <c r="Q53" s="1042"/>
      <c r="R53" s="1042"/>
      <c r="S53" s="1042"/>
      <c r="T53" s="1042"/>
      <c r="U53" s="1042"/>
      <c r="V53" s="1042"/>
      <c r="W53" s="1042"/>
      <c r="X53" s="155"/>
      <c r="Y53" s="1042"/>
      <c r="Z53" s="1042"/>
      <c r="AA53" s="1042"/>
      <c r="AB53" s="1042"/>
      <c r="AC53" s="1042"/>
      <c r="AD53" s="1042"/>
      <c r="AE53" s="1042"/>
      <c r="AF53" s="155"/>
      <c r="AG53" s="1042"/>
      <c r="AH53" s="1042"/>
      <c r="AI53" s="1042"/>
      <c r="AJ53" s="1042"/>
      <c r="AK53" s="1042"/>
      <c r="AL53" s="1042"/>
      <c r="AM53" s="1042"/>
      <c r="AN53" s="155"/>
      <c r="AO53" s="1042"/>
      <c r="AP53" s="1042"/>
      <c r="AQ53" s="1042"/>
      <c r="AR53" s="1042"/>
      <c r="AS53" s="1042"/>
      <c r="AT53" s="1042"/>
      <c r="AU53" s="1042"/>
    </row>
    <row r="54" spans="1:47" ht="14.25" x14ac:dyDescent="0.2">
      <c r="A54" s="1046" t="s">
        <v>1354</v>
      </c>
      <c r="B54" s="1047"/>
      <c r="C54" s="1048"/>
      <c r="D54" s="1044">
        <v>10000000</v>
      </c>
      <c r="E54" s="1038"/>
      <c r="F54" s="1038"/>
      <c r="G54" s="1038"/>
      <c r="H54" s="127"/>
      <c r="I54" s="168"/>
      <c r="J54" s="168"/>
      <c r="K54" s="168"/>
      <c r="L54" s="168"/>
      <c r="M54" s="169"/>
      <c r="N54" s="169"/>
      <c r="O54" s="169"/>
      <c r="Q54" s="1042"/>
      <c r="R54" s="1042"/>
      <c r="S54" s="1042"/>
      <c r="T54" s="1042"/>
      <c r="U54" s="1042"/>
      <c r="V54" s="1042"/>
      <c r="W54" s="1042"/>
      <c r="X54" s="155"/>
      <c r="Y54" s="1042"/>
      <c r="Z54" s="1042"/>
      <c r="AA54" s="1042"/>
      <c r="AB54" s="1042"/>
      <c r="AC54" s="1042"/>
      <c r="AD54" s="1042"/>
      <c r="AE54" s="1042"/>
      <c r="AF54" s="155"/>
      <c r="AG54" s="1042"/>
      <c r="AH54" s="1042"/>
      <c r="AI54" s="1042"/>
      <c r="AJ54" s="1042"/>
      <c r="AK54" s="1042"/>
      <c r="AL54" s="1042"/>
      <c r="AM54" s="1042"/>
      <c r="AN54" s="155"/>
      <c r="AO54" s="1042"/>
      <c r="AP54" s="1042"/>
      <c r="AQ54" s="1042"/>
      <c r="AR54" s="1042"/>
      <c r="AS54" s="1042"/>
      <c r="AT54" s="1042"/>
      <c r="AU54" s="1042"/>
    </row>
    <row r="55" spans="1:47" ht="14.25" x14ac:dyDescent="0.2">
      <c r="A55" s="1046" t="s">
        <v>1355</v>
      </c>
      <c r="B55" s="1047"/>
      <c r="C55" s="1048"/>
      <c r="D55" s="1044">
        <v>4000000</v>
      </c>
      <c r="E55" s="1038"/>
      <c r="F55" s="1038"/>
      <c r="G55" s="1038"/>
      <c r="H55" s="127"/>
      <c r="I55" s="168"/>
      <c r="J55" s="168"/>
      <c r="K55" s="168"/>
      <c r="L55" s="168"/>
      <c r="M55" s="169"/>
      <c r="N55" s="169"/>
      <c r="O55" s="169"/>
      <c r="Q55" s="1042"/>
      <c r="R55" s="1042"/>
      <c r="S55" s="1042"/>
      <c r="T55" s="1042"/>
      <c r="U55" s="1042"/>
      <c r="V55" s="1042"/>
      <c r="W55" s="1042"/>
      <c r="X55" s="155"/>
      <c r="Y55" s="1042"/>
      <c r="Z55" s="1042"/>
      <c r="AA55" s="1042"/>
      <c r="AB55" s="1042"/>
      <c r="AC55" s="1042"/>
      <c r="AD55" s="1042"/>
      <c r="AE55" s="1042"/>
      <c r="AF55" s="155"/>
      <c r="AG55" s="1042"/>
      <c r="AH55" s="1042"/>
      <c r="AI55" s="1042"/>
      <c r="AJ55" s="1042"/>
      <c r="AK55" s="1042"/>
      <c r="AL55" s="1042"/>
      <c r="AM55" s="1042"/>
      <c r="AN55" s="155"/>
      <c r="AO55" s="1042"/>
      <c r="AP55" s="1042"/>
      <c r="AQ55" s="1042"/>
      <c r="AR55" s="1042"/>
      <c r="AS55" s="1042"/>
      <c r="AT55" s="1042"/>
      <c r="AU55" s="1042"/>
    </row>
    <row r="56" spans="1:47" ht="14.25" x14ac:dyDescent="0.2">
      <c r="A56" s="1046" t="s">
        <v>1356</v>
      </c>
      <c r="B56" s="1047"/>
      <c r="C56" s="1048"/>
      <c r="D56" s="1044">
        <v>6000000</v>
      </c>
      <c r="E56" s="1038"/>
      <c r="F56" s="1038"/>
      <c r="G56" s="1038"/>
      <c r="H56" s="127"/>
      <c r="I56" s="168"/>
      <c r="J56" s="168"/>
      <c r="K56" s="168"/>
      <c r="L56" s="168"/>
      <c r="M56" s="169"/>
      <c r="N56" s="169"/>
      <c r="O56" s="169"/>
      <c r="Q56" s="1042"/>
      <c r="R56" s="1042"/>
      <c r="S56" s="1042"/>
      <c r="T56" s="1042"/>
      <c r="U56" s="1042"/>
      <c r="V56" s="1042"/>
      <c r="W56" s="1042"/>
      <c r="X56" s="155"/>
      <c r="Y56" s="1042"/>
      <c r="Z56" s="1042"/>
      <c r="AA56" s="1042"/>
      <c r="AB56" s="1042"/>
      <c r="AC56" s="1042"/>
      <c r="AD56" s="1042"/>
      <c r="AE56" s="1042"/>
      <c r="AF56" s="155"/>
      <c r="AG56" s="1042"/>
      <c r="AH56" s="1042"/>
      <c r="AI56" s="1042"/>
      <c r="AJ56" s="1042"/>
      <c r="AK56" s="1042"/>
      <c r="AL56" s="1042"/>
      <c r="AM56" s="1042"/>
      <c r="AN56" s="155"/>
      <c r="AO56" s="1042"/>
      <c r="AP56" s="1042"/>
      <c r="AQ56" s="1042"/>
      <c r="AR56" s="1042"/>
      <c r="AS56" s="1042"/>
      <c r="AT56" s="1042"/>
      <c r="AU56" s="1042"/>
    </row>
    <row r="57" spans="1:47" ht="14.25" x14ac:dyDescent="0.2">
      <c r="A57" s="1046" t="s">
        <v>1357</v>
      </c>
      <c r="B57" s="1047"/>
      <c r="C57" s="1048"/>
      <c r="D57" s="1044">
        <v>7000000</v>
      </c>
      <c r="E57" s="1038"/>
      <c r="F57" s="1038"/>
      <c r="G57" s="1038"/>
      <c r="H57" s="127"/>
      <c r="I57" s="168"/>
      <c r="J57" s="168"/>
      <c r="K57" s="168"/>
      <c r="L57" s="168"/>
      <c r="M57" s="169"/>
      <c r="N57" s="169"/>
      <c r="O57" s="169"/>
      <c r="Q57" s="1042"/>
      <c r="R57" s="1042"/>
      <c r="S57" s="1042"/>
      <c r="T57" s="1042"/>
      <c r="U57" s="1042"/>
      <c r="V57" s="1042"/>
      <c r="W57" s="1042"/>
      <c r="X57" s="155"/>
      <c r="Y57" s="1042"/>
      <c r="Z57" s="1042"/>
      <c r="AA57" s="1042"/>
      <c r="AB57" s="1042"/>
      <c r="AC57" s="1042"/>
      <c r="AD57" s="1042"/>
      <c r="AE57" s="1042"/>
      <c r="AF57" s="155"/>
      <c r="AG57" s="1042"/>
      <c r="AH57" s="1042"/>
      <c r="AI57" s="1042"/>
      <c r="AJ57" s="1042"/>
      <c r="AK57" s="1042"/>
      <c r="AL57" s="1042"/>
      <c r="AM57" s="1042"/>
      <c r="AN57" s="155"/>
      <c r="AO57" s="1042"/>
      <c r="AP57" s="1042"/>
      <c r="AQ57" s="1042"/>
      <c r="AR57" s="1042"/>
      <c r="AS57" s="1042"/>
      <c r="AT57" s="1042"/>
      <c r="AU57" s="1042"/>
    </row>
    <row r="58" spans="1:47" ht="14.25" x14ac:dyDescent="0.2">
      <c r="A58" s="1046" t="s">
        <v>1358</v>
      </c>
      <c r="B58" s="1047"/>
      <c r="C58" s="1048"/>
      <c r="D58" s="1044">
        <v>5000000</v>
      </c>
      <c r="E58" s="1038"/>
      <c r="F58" s="1038"/>
      <c r="G58" s="1038"/>
      <c r="H58" s="127"/>
      <c r="I58" s="168"/>
      <c r="J58" s="168"/>
      <c r="K58" s="168"/>
      <c r="L58" s="168"/>
      <c r="M58" s="169"/>
      <c r="N58" s="169"/>
      <c r="O58" s="169"/>
      <c r="Q58" s="1042"/>
      <c r="R58" s="1042"/>
      <c r="S58" s="1042"/>
      <c r="T58" s="1042"/>
      <c r="U58" s="1042"/>
      <c r="V58" s="1042"/>
      <c r="W58" s="1042"/>
      <c r="X58" s="155"/>
      <c r="Y58" s="1042"/>
      <c r="Z58" s="1042"/>
      <c r="AA58" s="1042"/>
      <c r="AB58" s="1042"/>
      <c r="AC58" s="1042"/>
      <c r="AD58" s="1042"/>
      <c r="AE58" s="1042"/>
      <c r="AF58" s="155"/>
      <c r="AG58" s="1042"/>
      <c r="AH58" s="1042"/>
      <c r="AI58" s="1042"/>
      <c r="AJ58" s="1042"/>
      <c r="AK58" s="1042"/>
      <c r="AL58" s="1042"/>
      <c r="AM58" s="1042"/>
      <c r="AN58" s="155"/>
      <c r="AO58" s="1042"/>
      <c r="AP58" s="1042"/>
      <c r="AQ58" s="1042"/>
      <c r="AR58" s="1042"/>
      <c r="AS58" s="1042"/>
      <c r="AT58" s="1042"/>
      <c r="AU58" s="1042"/>
    </row>
    <row r="59" spans="1:47" ht="14.25" x14ac:dyDescent="0.2">
      <c r="A59" s="1046" t="s">
        <v>1359</v>
      </c>
      <c r="B59" s="1047"/>
      <c r="C59" s="1048"/>
      <c r="D59" s="1044">
        <v>10000000</v>
      </c>
      <c r="E59" s="1038"/>
      <c r="F59" s="1038"/>
      <c r="G59" s="1038"/>
      <c r="H59" s="127"/>
      <c r="I59" s="168"/>
      <c r="J59" s="168"/>
      <c r="K59" s="168"/>
      <c r="L59" s="168"/>
      <c r="M59" s="169"/>
      <c r="N59" s="169"/>
      <c r="O59" s="169"/>
      <c r="Q59" s="1042"/>
      <c r="R59" s="1042"/>
      <c r="S59" s="1042"/>
      <c r="T59" s="1042"/>
      <c r="U59" s="1042"/>
      <c r="V59" s="1042"/>
      <c r="W59" s="1042"/>
      <c r="X59" s="155"/>
      <c r="Y59" s="1042"/>
      <c r="Z59" s="1042"/>
      <c r="AA59" s="1042"/>
      <c r="AB59" s="1042"/>
      <c r="AC59" s="1042"/>
      <c r="AD59" s="1042"/>
      <c r="AE59" s="1042"/>
      <c r="AF59" s="155"/>
      <c r="AG59" s="1042"/>
      <c r="AH59" s="1042"/>
      <c r="AI59" s="1042"/>
      <c r="AJ59" s="1042"/>
      <c r="AK59" s="1042"/>
      <c r="AL59" s="1042"/>
      <c r="AM59" s="1042"/>
      <c r="AN59" s="155"/>
      <c r="AO59" s="1042"/>
      <c r="AP59" s="1042"/>
      <c r="AQ59" s="1042"/>
      <c r="AR59" s="1042"/>
      <c r="AS59" s="1042"/>
      <c r="AT59" s="1042"/>
      <c r="AU59" s="1042"/>
    </row>
    <row r="60" spans="1:47" ht="14.25" x14ac:dyDescent="0.2">
      <c r="A60" s="1233" t="s">
        <v>1360</v>
      </c>
      <c r="B60" s="1234"/>
      <c r="C60" s="1235"/>
      <c r="D60" s="1043">
        <v>4000000</v>
      </c>
      <c r="E60" s="233"/>
      <c r="F60" s="233"/>
      <c r="G60" s="233"/>
      <c r="H60" s="127"/>
      <c r="I60" s="168"/>
      <c r="J60" s="168"/>
      <c r="K60" s="168"/>
      <c r="L60" s="168"/>
      <c r="M60" s="169"/>
      <c r="N60" s="169"/>
      <c r="O60" s="169"/>
      <c r="Q60" s="234"/>
      <c r="R60" s="234"/>
      <c r="S60" s="234"/>
      <c r="T60" s="234"/>
      <c r="U60" s="234"/>
      <c r="V60" s="234"/>
      <c r="W60" s="234"/>
      <c r="X60" s="155"/>
      <c r="Y60" s="234"/>
      <c r="Z60" s="234"/>
      <c r="AA60" s="234"/>
      <c r="AB60" s="234"/>
      <c r="AC60" s="234"/>
      <c r="AD60" s="234"/>
      <c r="AE60" s="234"/>
      <c r="AF60" s="155"/>
      <c r="AG60" s="234"/>
      <c r="AH60" s="234"/>
      <c r="AI60" s="234"/>
      <c r="AJ60" s="234"/>
      <c r="AK60" s="234"/>
      <c r="AL60" s="234"/>
      <c r="AM60" s="234"/>
      <c r="AN60" s="155"/>
      <c r="AO60" s="234"/>
      <c r="AP60" s="234"/>
      <c r="AQ60" s="234"/>
      <c r="AR60" s="234"/>
      <c r="AS60" s="234"/>
      <c r="AT60" s="234"/>
      <c r="AU60" s="234"/>
    </row>
    <row r="61" spans="1:47" ht="14.25" x14ac:dyDescent="0.2">
      <c r="A61" s="1239" t="s">
        <v>502</v>
      </c>
      <c r="B61" s="1239"/>
      <c r="C61" s="1239"/>
      <c r="D61" s="323">
        <f>SUM(D26:D60)</f>
        <v>1214825701.4691999</v>
      </c>
      <c r="E61" s="233"/>
      <c r="F61" s="233"/>
      <c r="G61" s="233"/>
      <c r="H61" s="127"/>
      <c r="I61" s="168"/>
      <c r="J61" s="168"/>
      <c r="K61" s="168"/>
      <c r="L61" s="168"/>
      <c r="M61" s="169"/>
      <c r="N61" s="169"/>
      <c r="O61" s="169"/>
      <c r="Q61" s="234"/>
      <c r="R61" s="234"/>
      <c r="S61" s="234"/>
      <c r="T61" s="234"/>
      <c r="U61" s="234"/>
      <c r="V61" s="234"/>
      <c r="W61" s="234"/>
      <c r="X61" s="155"/>
      <c r="Y61" s="234"/>
      <c r="Z61" s="234"/>
      <c r="AA61" s="234"/>
      <c r="AB61" s="234"/>
      <c r="AC61" s="234"/>
      <c r="AD61" s="234"/>
      <c r="AE61" s="234"/>
      <c r="AF61" s="155"/>
      <c r="AG61" s="234"/>
      <c r="AH61" s="234"/>
      <c r="AI61" s="234"/>
      <c r="AJ61" s="234"/>
      <c r="AK61" s="234"/>
      <c r="AL61" s="234"/>
      <c r="AM61" s="234"/>
      <c r="AN61" s="155"/>
      <c r="AO61" s="234"/>
      <c r="AP61" s="234"/>
      <c r="AQ61" s="234"/>
      <c r="AR61" s="234"/>
      <c r="AS61" s="234"/>
      <c r="AT61" s="234"/>
      <c r="AU61" s="234"/>
    </row>
    <row r="62" spans="1:47" ht="22.5" customHeight="1" thickBot="1" x14ac:dyDescent="0.25">
      <c r="A62" s="1219" t="s">
        <v>868</v>
      </c>
      <c r="B62" s="1219"/>
      <c r="C62" s="1219"/>
      <c r="D62" s="1219"/>
      <c r="E62" s="233"/>
      <c r="F62" s="233"/>
      <c r="G62" s="233"/>
      <c r="H62" s="127"/>
      <c r="I62" s="168"/>
      <c r="J62" s="168"/>
      <c r="K62" s="168"/>
      <c r="L62" s="168"/>
      <c r="M62" s="169"/>
      <c r="N62" s="169"/>
      <c r="O62" s="169"/>
      <c r="Q62" s="234"/>
      <c r="R62" s="234"/>
      <c r="S62" s="234"/>
      <c r="T62" s="234"/>
      <c r="U62" s="234"/>
      <c r="V62" s="234"/>
      <c r="W62" s="234"/>
      <c r="X62" s="155"/>
      <c r="Y62" s="234"/>
      <c r="Z62" s="234"/>
      <c r="AA62" s="234"/>
      <c r="AB62" s="234"/>
      <c r="AC62" s="234"/>
      <c r="AD62" s="234"/>
      <c r="AE62" s="234"/>
      <c r="AF62" s="155"/>
      <c r="AG62" s="234"/>
      <c r="AH62" s="234"/>
      <c r="AI62" s="234"/>
      <c r="AJ62" s="234"/>
      <c r="AK62" s="234"/>
      <c r="AL62" s="234"/>
      <c r="AM62" s="234"/>
      <c r="AN62" s="155"/>
      <c r="AO62" s="234"/>
      <c r="AP62" s="234"/>
      <c r="AQ62" s="234"/>
      <c r="AR62" s="234"/>
      <c r="AS62" s="234"/>
      <c r="AT62" s="234"/>
      <c r="AU62" s="234"/>
    </row>
    <row r="63" spans="1:47" ht="30" customHeight="1" x14ac:dyDescent="0.2">
      <c r="A63" s="1220" t="s">
        <v>436</v>
      </c>
      <c r="B63" s="1221"/>
      <c r="C63" s="1222"/>
      <c r="D63" s="236" t="s">
        <v>437</v>
      </c>
      <c r="E63" s="233"/>
      <c r="F63" s="233"/>
      <c r="G63" s="233"/>
      <c r="H63" s="127"/>
      <c r="I63" s="168"/>
      <c r="J63" s="168"/>
      <c r="K63" s="168"/>
      <c r="L63" s="168"/>
      <c r="M63" s="169"/>
      <c r="N63" s="169"/>
      <c r="O63" s="169"/>
      <c r="Q63" s="234"/>
      <c r="R63" s="234"/>
      <c r="S63" s="234"/>
      <c r="T63" s="234"/>
      <c r="U63" s="234"/>
      <c r="V63" s="234"/>
      <c r="W63" s="234"/>
      <c r="X63" s="155"/>
      <c r="Y63" s="234"/>
      <c r="Z63" s="234"/>
      <c r="AA63" s="234"/>
      <c r="AB63" s="234"/>
      <c r="AC63" s="234"/>
      <c r="AD63" s="234"/>
      <c r="AE63" s="234"/>
      <c r="AF63" s="155"/>
      <c r="AG63" s="234"/>
      <c r="AH63" s="234"/>
      <c r="AI63" s="234"/>
      <c r="AJ63" s="234"/>
      <c r="AK63" s="234"/>
      <c r="AL63" s="234"/>
      <c r="AM63" s="234"/>
      <c r="AN63" s="155"/>
      <c r="AO63" s="234"/>
      <c r="AP63" s="234"/>
      <c r="AQ63" s="234"/>
      <c r="AR63" s="234"/>
      <c r="AS63" s="234"/>
      <c r="AT63" s="234"/>
      <c r="AU63" s="234"/>
    </row>
    <row r="64" spans="1:47" ht="14.25" x14ac:dyDescent="0.2">
      <c r="A64" s="1216" t="s">
        <v>1326</v>
      </c>
      <c r="B64" s="1217"/>
      <c r="C64" s="1218"/>
      <c r="D64" s="1044">
        <v>354008000</v>
      </c>
      <c r="E64" s="233"/>
      <c r="F64" s="233"/>
      <c r="G64" s="233"/>
      <c r="H64" s="127"/>
      <c r="I64" s="168"/>
      <c r="J64" s="168"/>
      <c r="K64" s="168"/>
      <c r="L64" s="168"/>
      <c r="M64" s="169"/>
      <c r="N64" s="169"/>
      <c r="O64" s="169"/>
      <c r="Q64" s="234"/>
      <c r="R64" s="234"/>
      <c r="S64" s="234"/>
      <c r="T64" s="234"/>
      <c r="U64" s="234"/>
      <c r="V64" s="234"/>
      <c r="W64" s="234"/>
      <c r="X64" s="155"/>
      <c r="Y64" s="234"/>
      <c r="Z64" s="234"/>
      <c r="AA64" s="234"/>
      <c r="AB64" s="234"/>
      <c r="AC64" s="234"/>
      <c r="AD64" s="234"/>
      <c r="AE64" s="234"/>
      <c r="AF64" s="155"/>
      <c r="AG64" s="234"/>
      <c r="AH64" s="234"/>
      <c r="AI64" s="234"/>
      <c r="AJ64" s="234"/>
      <c r="AK64" s="234"/>
      <c r="AL64" s="234"/>
      <c r="AM64" s="234"/>
      <c r="AN64" s="155"/>
      <c r="AO64" s="234"/>
      <c r="AP64" s="234"/>
      <c r="AQ64" s="234"/>
      <c r="AR64" s="234"/>
      <c r="AS64" s="234"/>
      <c r="AT64" s="234"/>
      <c r="AU64" s="234"/>
    </row>
    <row r="65" spans="1:47" ht="14.25" x14ac:dyDescent="0.2">
      <c r="A65" s="981" t="s">
        <v>1327</v>
      </c>
      <c r="B65" s="982"/>
      <c r="C65" s="983"/>
      <c r="D65" s="1044">
        <v>265506000</v>
      </c>
      <c r="E65" s="233"/>
      <c r="F65" s="233"/>
      <c r="G65" s="233"/>
      <c r="H65" s="127"/>
      <c r="I65" s="168"/>
      <c r="J65" s="168"/>
      <c r="K65" s="168"/>
      <c r="L65" s="168"/>
      <c r="M65" s="169"/>
      <c r="N65" s="169"/>
      <c r="O65" s="169"/>
      <c r="Q65" s="234"/>
      <c r="R65" s="234"/>
      <c r="S65" s="234"/>
      <c r="T65" s="234"/>
      <c r="U65" s="234"/>
      <c r="V65" s="234"/>
      <c r="W65" s="234"/>
      <c r="X65" s="155"/>
      <c r="Y65" s="234"/>
      <c r="Z65" s="234"/>
      <c r="AA65" s="234"/>
      <c r="AB65" s="234"/>
      <c r="AC65" s="234"/>
      <c r="AD65" s="234"/>
      <c r="AE65" s="234"/>
      <c r="AF65" s="155"/>
      <c r="AG65" s="234"/>
      <c r="AH65" s="234"/>
      <c r="AI65" s="234"/>
      <c r="AJ65" s="234"/>
      <c r="AK65" s="234"/>
      <c r="AL65" s="234"/>
      <c r="AM65" s="234"/>
      <c r="AN65" s="155"/>
      <c r="AO65" s="234"/>
      <c r="AP65" s="234"/>
      <c r="AQ65" s="234"/>
      <c r="AR65" s="234"/>
      <c r="AS65" s="234"/>
      <c r="AT65" s="234"/>
      <c r="AU65" s="234"/>
    </row>
    <row r="66" spans="1:47" ht="14.25" x14ac:dyDescent="0.2">
      <c r="A66" s="1216" t="s">
        <v>1328</v>
      </c>
      <c r="B66" s="1217"/>
      <c r="C66" s="1218"/>
      <c r="D66" s="1044">
        <v>156180000</v>
      </c>
      <c r="E66" s="233"/>
      <c r="F66" s="233"/>
      <c r="G66" s="233"/>
      <c r="H66" s="127"/>
      <c r="I66" s="168"/>
      <c r="J66" s="168"/>
      <c r="K66" s="168"/>
      <c r="L66" s="168"/>
      <c r="M66" s="169"/>
      <c r="N66" s="169"/>
      <c r="O66" s="169"/>
      <c r="Q66" s="234"/>
      <c r="R66" s="234"/>
      <c r="S66" s="234"/>
      <c r="T66" s="234"/>
      <c r="U66" s="234"/>
      <c r="V66" s="234"/>
      <c r="W66" s="234"/>
      <c r="X66" s="155"/>
      <c r="Y66" s="234"/>
      <c r="Z66" s="234"/>
      <c r="AA66" s="234"/>
      <c r="AB66" s="234"/>
      <c r="AC66" s="234"/>
      <c r="AD66" s="234"/>
      <c r="AE66" s="234"/>
      <c r="AF66" s="155"/>
      <c r="AG66" s="234"/>
      <c r="AH66" s="234"/>
      <c r="AI66" s="234"/>
      <c r="AJ66" s="234"/>
      <c r="AK66" s="234"/>
      <c r="AL66" s="234"/>
      <c r="AM66" s="234"/>
      <c r="AN66" s="155"/>
      <c r="AO66" s="234"/>
      <c r="AP66" s="234"/>
      <c r="AQ66" s="234"/>
      <c r="AR66" s="234"/>
      <c r="AS66" s="234"/>
      <c r="AT66" s="234"/>
      <c r="AU66" s="234"/>
    </row>
    <row r="67" spans="1:47" ht="14.25" x14ac:dyDescent="0.2">
      <c r="A67" s="1216" t="s">
        <v>1329</v>
      </c>
      <c r="B67" s="1217"/>
      <c r="C67" s="1218"/>
      <c r="D67" s="1044">
        <v>19782800</v>
      </c>
      <c r="E67" s="974"/>
      <c r="F67" s="974"/>
      <c r="G67" s="974"/>
      <c r="H67" s="127"/>
      <c r="I67" s="168"/>
      <c r="J67" s="168"/>
      <c r="K67" s="168"/>
      <c r="L67" s="168"/>
      <c r="M67" s="169"/>
      <c r="N67" s="169"/>
      <c r="O67" s="169"/>
      <c r="Q67" s="975"/>
      <c r="R67" s="975"/>
      <c r="S67" s="975"/>
      <c r="T67" s="975"/>
      <c r="U67" s="975"/>
      <c r="V67" s="975"/>
      <c r="W67" s="975"/>
      <c r="X67" s="155"/>
      <c r="Y67" s="975"/>
      <c r="Z67" s="975"/>
      <c r="AA67" s="975"/>
      <c r="AB67" s="975"/>
      <c r="AC67" s="975"/>
      <c r="AD67" s="975"/>
      <c r="AE67" s="975"/>
      <c r="AF67" s="155"/>
      <c r="AG67" s="975"/>
      <c r="AH67" s="975"/>
      <c r="AI67" s="975"/>
      <c r="AJ67" s="975"/>
      <c r="AK67" s="975"/>
      <c r="AL67" s="975"/>
      <c r="AM67" s="975"/>
      <c r="AN67" s="155"/>
      <c r="AO67" s="975"/>
      <c r="AP67" s="975"/>
      <c r="AQ67" s="975"/>
      <c r="AR67" s="975"/>
      <c r="AS67" s="975"/>
      <c r="AT67" s="975"/>
      <c r="AU67" s="975"/>
    </row>
    <row r="68" spans="1:47" ht="14.25" x14ac:dyDescent="0.2">
      <c r="A68" s="1039" t="s">
        <v>1330</v>
      </c>
      <c r="B68" s="1040"/>
      <c r="C68" s="1041"/>
      <c r="D68" s="1044">
        <v>15627213.5788</v>
      </c>
      <c r="E68" s="974"/>
      <c r="F68" s="974"/>
      <c r="G68" s="974"/>
      <c r="H68" s="127"/>
      <c r="I68" s="168"/>
      <c r="J68" s="168"/>
      <c r="K68" s="168"/>
      <c r="L68" s="168"/>
      <c r="M68" s="169"/>
      <c r="N68" s="169"/>
      <c r="O68" s="169"/>
      <c r="Q68" s="975"/>
      <c r="R68" s="975"/>
      <c r="S68" s="975"/>
      <c r="T68" s="975"/>
      <c r="U68" s="975"/>
      <c r="V68" s="975"/>
      <c r="W68" s="975"/>
      <c r="X68" s="155"/>
      <c r="Y68" s="975"/>
      <c r="Z68" s="975"/>
      <c r="AA68" s="975"/>
      <c r="AB68" s="975"/>
      <c r="AC68" s="975"/>
      <c r="AD68" s="975"/>
      <c r="AE68" s="975"/>
      <c r="AF68" s="155"/>
      <c r="AG68" s="975"/>
      <c r="AH68" s="975"/>
      <c r="AI68" s="975"/>
      <c r="AJ68" s="975"/>
      <c r="AK68" s="975"/>
      <c r="AL68" s="975"/>
      <c r="AM68" s="975"/>
      <c r="AN68" s="155"/>
      <c r="AO68" s="975"/>
      <c r="AP68" s="975"/>
      <c r="AQ68" s="975"/>
      <c r="AR68" s="975"/>
      <c r="AS68" s="975"/>
      <c r="AT68" s="975"/>
      <c r="AU68" s="975"/>
    </row>
    <row r="69" spans="1:47" ht="14.25" x14ac:dyDescent="0.2">
      <c r="A69" s="1039" t="s">
        <v>1331</v>
      </c>
      <c r="B69" s="1040"/>
      <c r="C69" s="1041"/>
      <c r="D69" s="1044">
        <v>22385800</v>
      </c>
      <c r="E69" s="974"/>
      <c r="F69" s="974"/>
      <c r="G69" s="974"/>
      <c r="H69" s="127"/>
      <c r="I69" s="168"/>
      <c r="J69" s="168"/>
      <c r="K69" s="168"/>
      <c r="L69" s="168"/>
      <c r="M69" s="169"/>
      <c r="N69" s="169"/>
      <c r="O69" s="169"/>
      <c r="Q69" s="975"/>
      <c r="R69" s="975"/>
      <c r="S69" s="975"/>
      <c r="T69" s="975"/>
      <c r="U69" s="975"/>
      <c r="V69" s="975"/>
      <c r="W69" s="975"/>
      <c r="X69" s="155"/>
      <c r="Y69" s="975"/>
      <c r="Z69" s="975"/>
      <c r="AA69" s="975"/>
      <c r="AB69" s="975"/>
      <c r="AC69" s="975"/>
      <c r="AD69" s="975"/>
      <c r="AE69" s="975"/>
      <c r="AF69" s="155"/>
      <c r="AG69" s="975"/>
      <c r="AH69" s="975"/>
      <c r="AI69" s="975"/>
      <c r="AJ69" s="975"/>
      <c r="AK69" s="975"/>
      <c r="AL69" s="975"/>
      <c r="AM69" s="975"/>
      <c r="AN69" s="155"/>
      <c r="AO69" s="975"/>
      <c r="AP69" s="975"/>
      <c r="AQ69" s="975"/>
      <c r="AR69" s="975"/>
      <c r="AS69" s="975"/>
      <c r="AT69" s="975"/>
      <c r="AU69" s="975"/>
    </row>
    <row r="70" spans="1:47" ht="14.25" x14ac:dyDescent="0.2">
      <c r="A70" s="1039" t="s">
        <v>1332</v>
      </c>
      <c r="B70" s="1040"/>
      <c r="C70" s="1041"/>
      <c r="D70" s="1044">
        <v>35921400</v>
      </c>
      <c r="E70" s="974"/>
      <c r="F70" s="974"/>
      <c r="G70" s="974"/>
      <c r="H70" s="127"/>
      <c r="I70" s="168"/>
      <c r="J70" s="168"/>
      <c r="K70" s="168"/>
      <c r="L70" s="168"/>
      <c r="M70" s="169"/>
      <c r="N70" s="169"/>
      <c r="O70" s="169"/>
      <c r="Q70" s="975"/>
      <c r="R70" s="975"/>
      <c r="S70" s="975"/>
      <c r="T70" s="975"/>
      <c r="U70" s="975"/>
      <c r="V70" s="975"/>
      <c r="W70" s="975"/>
      <c r="X70" s="155"/>
      <c r="Y70" s="975"/>
      <c r="Z70" s="975"/>
      <c r="AA70" s="975"/>
      <c r="AB70" s="975"/>
      <c r="AC70" s="975"/>
      <c r="AD70" s="975"/>
      <c r="AE70" s="975"/>
      <c r="AF70" s="155"/>
      <c r="AG70" s="975"/>
      <c r="AH70" s="975"/>
      <c r="AI70" s="975"/>
      <c r="AJ70" s="975"/>
      <c r="AK70" s="975"/>
      <c r="AL70" s="975"/>
      <c r="AM70" s="975"/>
      <c r="AN70" s="155"/>
      <c r="AO70" s="975"/>
      <c r="AP70" s="975"/>
      <c r="AQ70" s="975"/>
      <c r="AR70" s="975"/>
      <c r="AS70" s="975"/>
      <c r="AT70" s="975"/>
      <c r="AU70" s="975"/>
    </row>
    <row r="71" spans="1:47" ht="14.25" x14ac:dyDescent="0.2">
      <c r="A71" s="1039" t="s">
        <v>1333</v>
      </c>
      <c r="B71" s="1040"/>
      <c r="C71" s="1041"/>
      <c r="D71" s="1044">
        <v>39227943.004799999</v>
      </c>
      <c r="E71" s="974"/>
      <c r="F71" s="974"/>
      <c r="G71" s="974"/>
      <c r="H71" s="127"/>
      <c r="I71" s="168"/>
      <c r="J71" s="168"/>
      <c r="K71" s="168"/>
      <c r="L71" s="168"/>
      <c r="M71" s="169"/>
      <c r="N71" s="169"/>
      <c r="O71" s="169"/>
      <c r="Q71" s="975"/>
      <c r="R71" s="975"/>
      <c r="S71" s="975"/>
      <c r="T71" s="975"/>
      <c r="U71" s="975"/>
      <c r="V71" s="975"/>
      <c r="W71" s="975"/>
      <c r="X71" s="155"/>
      <c r="Y71" s="975"/>
      <c r="Z71" s="975"/>
      <c r="AA71" s="975"/>
      <c r="AB71" s="975"/>
      <c r="AC71" s="975"/>
      <c r="AD71" s="975"/>
      <c r="AE71" s="975"/>
      <c r="AF71" s="155"/>
      <c r="AG71" s="975"/>
      <c r="AH71" s="975"/>
      <c r="AI71" s="975"/>
      <c r="AJ71" s="975"/>
      <c r="AK71" s="975"/>
      <c r="AL71" s="975"/>
      <c r="AM71" s="975"/>
      <c r="AN71" s="155"/>
      <c r="AO71" s="975"/>
      <c r="AP71" s="975"/>
      <c r="AQ71" s="975"/>
      <c r="AR71" s="975"/>
      <c r="AS71" s="975"/>
      <c r="AT71" s="975"/>
      <c r="AU71" s="975"/>
    </row>
    <row r="72" spans="1:47" ht="14.25" x14ac:dyDescent="0.2">
      <c r="A72" s="1216" t="s">
        <v>1334</v>
      </c>
      <c r="B72" s="1217"/>
      <c r="C72" s="1218"/>
      <c r="D72" s="1044">
        <v>8242469.2604</v>
      </c>
      <c r="E72" s="974"/>
      <c r="F72" s="974"/>
      <c r="G72" s="974"/>
      <c r="H72" s="127"/>
      <c r="I72" s="168"/>
      <c r="J72" s="168"/>
      <c r="K72" s="168"/>
      <c r="L72" s="168"/>
      <c r="M72" s="169"/>
      <c r="N72" s="169"/>
      <c r="O72" s="169"/>
      <c r="Q72" s="975"/>
      <c r="R72" s="975"/>
      <c r="S72" s="975"/>
      <c r="T72" s="975"/>
      <c r="U72" s="975"/>
      <c r="V72" s="975"/>
      <c r="W72" s="975"/>
      <c r="X72" s="155"/>
      <c r="Y72" s="975"/>
      <c r="Z72" s="975"/>
      <c r="AA72" s="975"/>
      <c r="AB72" s="975"/>
      <c r="AC72" s="975"/>
      <c r="AD72" s="975"/>
      <c r="AE72" s="975"/>
      <c r="AF72" s="155"/>
      <c r="AG72" s="975"/>
      <c r="AH72" s="975"/>
      <c r="AI72" s="975"/>
      <c r="AJ72" s="975"/>
      <c r="AK72" s="975"/>
      <c r="AL72" s="975"/>
      <c r="AM72" s="975"/>
      <c r="AN72" s="155"/>
      <c r="AO72" s="975"/>
      <c r="AP72" s="975"/>
      <c r="AQ72" s="975"/>
      <c r="AR72" s="975"/>
      <c r="AS72" s="975"/>
      <c r="AT72" s="975"/>
      <c r="AU72" s="975"/>
    </row>
    <row r="73" spans="1:47" ht="14.25" x14ac:dyDescent="0.2">
      <c r="A73" s="1216" t="s">
        <v>1335</v>
      </c>
      <c r="B73" s="1217"/>
      <c r="C73" s="1218"/>
      <c r="D73" s="1044">
        <v>6226376</v>
      </c>
      <c r="E73" s="974"/>
      <c r="F73" s="974"/>
      <c r="G73" s="974"/>
      <c r="H73" s="127"/>
      <c r="I73" s="168"/>
      <c r="J73" s="168"/>
      <c r="K73" s="168"/>
      <c r="L73" s="168"/>
      <c r="M73" s="169"/>
      <c r="N73" s="169"/>
      <c r="O73" s="169"/>
      <c r="Q73" s="975"/>
      <c r="R73" s="975"/>
      <c r="S73" s="975"/>
      <c r="T73" s="975"/>
      <c r="U73" s="975"/>
      <c r="V73" s="975"/>
      <c r="W73" s="975"/>
      <c r="X73" s="155"/>
      <c r="Y73" s="975"/>
      <c r="Z73" s="975"/>
      <c r="AA73" s="975"/>
      <c r="AB73" s="975"/>
      <c r="AC73" s="975"/>
      <c r="AD73" s="975"/>
      <c r="AE73" s="975"/>
      <c r="AF73" s="155"/>
      <c r="AG73" s="975"/>
      <c r="AH73" s="975"/>
      <c r="AI73" s="975"/>
      <c r="AJ73" s="975"/>
      <c r="AK73" s="975"/>
      <c r="AL73" s="975"/>
      <c r="AM73" s="975"/>
      <c r="AN73" s="155"/>
      <c r="AO73" s="975"/>
      <c r="AP73" s="975"/>
      <c r="AQ73" s="975"/>
      <c r="AR73" s="975"/>
      <c r="AS73" s="975"/>
      <c r="AT73" s="975"/>
      <c r="AU73" s="975"/>
    </row>
    <row r="74" spans="1:47" ht="14.25" x14ac:dyDescent="0.2">
      <c r="A74" s="1225" t="s">
        <v>1336</v>
      </c>
      <c r="B74" s="1226"/>
      <c r="C74" s="1227"/>
      <c r="D74" s="1044">
        <v>7579936</v>
      </c>
      <c r="E74" s="974"/>
      <c r="F74" s="974"/>
      <c r="G74" s="974"/>
      <c r="H74" s="127"/>
      <c r="I74" s="168"/>
      <c r="J74" s="168"/>
      <c r="K74" s="168"/>
      <c r="L74" s="168"/>
      <c r="M74" s="169"/>
      <c r="N74" s="169"/>
      <c r="O74" s="169"/>
      <c r="Q74" s="975"/>
      <c r="R74" s="975"/>
      <c r="S74" s="975"/>
      <c r="T74" s="975"/>
      <c r="U74" s="975"/>
      <c r="V74" s="975"/>
      <c r="W74" s="975"/>
      <c r="X74" s="155"/>
      <c r="Y74" s="975"/>
      <c r="Z74" s="975"/>
      <c r="AA74" s="975"/>
      <c r="AB74" s="975"/>
      <c r="AC74" s="975"/>
      <c r="AD74" s="975"/>
      <c r="AE74" s="975"/>
      <c r="AF74" s="155"/>
      <c r="AG74" s="975"/>
      <c r="AH74" s="975"/>
      <c r="AI74" s="975"/>
      <c r="AJ74" s="975"/>
      <c r="AK74" s="975"/>
      <c r="AL74" s="975"/>
      <c r="AM74" s="975"/>
      <c r="AN74" s="155"/>
      <c r="AO74" s="975"/>
      <c r="AP74" s="975"/>
      <c r="AQ74" s="975"/>
      <c r="AR74" s="975"/>
      <c r="AS74" s="975"/>
      <c r="AT74" s="975"/>
      <c r="AU74" s="975"/>
    </row>
    <row r="75" spans="1:47" ht="14.25" x14ac:dyDescent="0.2">
      <c r="A75" s="1216" t="s">
        <v>1337</v>
      </c>
      <c r="B75" s="1217"/>
      <c r="C75" s="1218"/>
      <c r="D75" s="1044">
        <v>14401878.4</v>
      </c>
      <c r="E75" s="974"/>
      <c r="F75" s="974"/>
      <c r="G75" s="974"/>
      <c r="H75" s="127"/>
      <c r="I75" s="168"/>
      <c r="J75" s="168"/>
      <c r="K75" s="168"/>
      <c r="L75" s="168"/>
      <c r="M75" s="169"/>
      <c r="N75" s="169"/>
      <c r="O75" s="169"/>
      <c r="Q75" s="975"/>
      <c r="R75" s="975"/>
      <c r="S75" s="975"/>
      <c r="T75" s="975"/>
      <c r="U75" s="975"/>
      <c r="V75" s="975"/>
      <c r="W75" s="975"/>
      <c r="X75" s="155"/>
      <c r="Y75" s="975"/>
      <c r="Z75" s="975"/>
      <c r="AA75" s="975"/>
      <c r="AB75" s="975"/>
      <c r="AC75" s="975"/>
      <c r="AD75" s="975"/>
      <c r="AE75" s="975"/>
      <c r="AF75" s="155"/>
      <c r="AG75" s="975"/>
      <c r="AH75" s="975"/>
      <c r="AI75" s="975"/>
      <c r="AJ75" s="975"/>
      <c r="AK75" s="975"/>
      <c r="AL75" s="975"/>
      <c r="AM75" s="975"/>
      <c r="AN75" s="155"/>
      <c r="AO75" s="975"/>
      <c r="AP75" s="975"/>
      <c r="AQ75" s="975"/>
      <c r="AR75" s="975"/>
      <c r="AS75" s="975"/>
      <c r="AT75" s="975"/>
      <c r="AU75" s="975"/>
    </row>
    <row r="76" spans="1:47" ht="14.25" x14ac:dyDescent="0.2">
      <c r="A76" s="1216" t="s">
        <v>1338</v>
      </c>
      <c r="B76" s="1217"/>
      <c r="C76" s="1218"/>
      <c r="D76" s="1044">
        <v>12494400</v>
      </c>
      <c r="E76" s="974"/>
      <c r="F76" s="974"/>
      <c r="G76" s="974"/>
      <c r="H76" s="127"/>
      <c r="I76" s="168"/>
      <c r="J76" s="168"/>
      <c r="K76" s="168"/>
      <c r="L76" s="168"/>
      <c r="M76" s="169"/>
      <c r="N76" s="169"/>
      <c r="O76" s="169"/>
      <c r="Q76" s="975"/>
      <c r="R76" s="975"/>
      <c r="S76" s="975"/>
      <c r="T76" s="975"/>
      <c r="U76" s="975"/>
      <c r="V76" s="975"/>
      <c r="W76" s="975"/>
      <c r="X76" s="155"/>
      <c r="Y76" s="975"/>
      <c r="Z76" s="975"/>
      <c r="AA76" s="975"/>
      <c r="AB76" s="975"/>
      <c r="AC76" s="975"/>
      <c r="AD76" s="975"/>
      <c r="AE76" s="975"/>
      <c r="AF76" s="155"/>
      <c r="AG76" s="975"/>
      <c r="AH76" s="975"/>
      <c r="AI76" s="975"/>
      <c r="AJ76" s="975"/>
      <c r="AK76" s="975"/>
      <c r="AL76" s="975"/>
      <c r="AM76" s="975"/>
      <c r="AN76" s="155"/>
      <c r="AO76" s="975"/>
      <c r="AP76" s="975"/>
      <c r="AQ76" s="975"/>
      <c r="AR76" s="975"/>
      <c r="AS76" s="975"/>
      <c r="AT76" s="975"/>
      <c r="AU76" s="975"/>
    </row>
    <row r="77" spans="1:47" ht="14.25" x14ac:dyDescent="0.2">
      <c r="A77" s="1216" t="s">
        <v>1339</v>
      </c>
      <c r="B77" s="1217"/>
      <c r="C77" s="1218"/>
      <c r="D77" s="1044">
        <v>4904117.5955999997</v>
      </c>
      <c r="E77" s="974"/>
      <c r="F77" s="974"/>
      <c r="G77" s="974"/>
      <c r="H77" s="127"/>
      <c r="I77" s="168"/>
      <c r="J77" s="168"/>
      <c r="K77" s="168"/>
      <c r="L77" s="168"/>
      <c r="M77" s="169"/>
      <c r="N77" s="169"/>
      <c r="O77" s="169"/>
      <c r="Q77" s="975"/>
      <c r="R77" s="975"/>
      <c r="S77" s="975"/>
      <c r="T77" s="975"/>
      <c r="U77" s="975"/>
      <c r="V77" s="975"/>
      <c r="W77" s="975"/>
      <c r="X77" s="155"/>
      <c r="Y77" s="975"/>
      <c r="Z77" s="975"/>
      <c r="AA77" s="975"/>
      <c r="AB77" s="975"/>
      <c r="AC77" s="975"/>
      <c r="AD77" s="975"/>
      <c r="AE77" s="975"/>
      <c r="AF77" s="155"/>
      <c r="AG77" s="975"/>
      <c r="AH77" s="975"/>
      <c r="AI77" s="975"/>
      <c r="AJ77" s="975"/>
      <c r="AK77" s="975"/>
      <c r="AL77" s="975"/>
      <c r="AM77" s="975"/>
      <c r="AN77" s="155"/>
      <c r="AO77" s="975"/>
      <c r="AP77" s="975"/>
      <c r="AQ77" s="975"/>
      <c r="AR77" s="975"/>
      <c r="AS77" s="975"/>
      <c r="AT77" s="975"/>
      <c r="AU77" s="975"/>
    </row>
    <row r="78" spans="1:47" ht="14.25" x14ac:dyDescent="0.2">
      <c r="A78" s="1216" t="s">
        <v>1340</v>
      </c>
      <c r="B78" s="1217"/>
      <c r="C78" s="1218"/>
      <c r="D78" s="1044">
        <v>90714714.509599999</v>
      </c>
      <c r="E78" s="974"/>
      <c r="F78" s="974"/>
      <c r="G78" s="974"/>
      <c r="H78" s="127"/>
      <c r="I78" s="168"/>
      <c r="J78" s="168"/>
      <c r="K78" s="168"/>
      <c r="L78" s="168"/>
      <c r="M78" s="169"/>
      <c r="N78" s="169"/>
      <c r="O78" s="169"/>
      <c r="Q78" s="975"/>
      <c r="R78" s="975"/>
      <c r="S78" s="975"/>
      <c r="T78" s="975"/>
      <c r="U78" s="975"/>
      <c r="V78" s="975"/>
      <c r="W78" s="975"/>
      <c r="X78" s="155"/>
      <c r="Y78" s="975"/>
      <c r="Z78" s="975"/>
      <c r="AA78" s="975"/>
      <c r="AB78" s="975"/>
      <c r="AC78" s="975"/>
      <c r="AD78" s="975"/>
      <c r="AE78" s="975"/>
      <c r="AF78" s="155"/>
      <c r="AG78" s="975"/>
      <c r="AH78" s="975"/>
      <c r="AI78" s="975"/>
      <c r="AJ78" s="975"/>
      <c r="AK78" s="975"/>
      <c r="AL78" s="975"/>
      <c r="AM78" s="975"/>
      <c r="AN78" s="155"/>
      <c r="AO78" s="975"/>
      <c r="AP78" s="975"/>
      <c r="AQ78" s="975"/>
      <c r="AR78" s="975"/>
      <c r="AS78" s="975"/>
      <c r="AT78" s="975"/>
      <c r="AU78" s="975"/>
    </row>
    <row r="79" spans="1:47" ht="14.25" x14ac:dyDescent="0.2">
      <c r="A79" s="1039" t="s">
        <v>1341</v>
      </c>
      <c r="B79" s="1040"/>
      <c r="C79" s="1041"/>
      <c r="D79" s="1044">
        <v>20824000</v>
      </c>
      <c r="E79" s="573"/>
      <c r="F79" s="573"/>
      <c r="G79" s="573"/>
      <c r="H79" s="127"/>
      <c r="I79" s="168"/>
      <c r="J79" s="168"/>
      <c r="K79" s="168"/>
      <c r="L79" s="168"/>
      <c r="M79" s="169"/>
      <c r="N79" s="169"/>
      <c r="O79" s="169"/>
      <c r="Q79" s="574"/>
      <c r="R79" s="574"/>
      <c r="S79" s="574"/>
      <c r="T79" s="574"/>
      <c r="U79" s="574"/>
      <c r="V79" s="574"/>
      <c r="W79" s="574"/>
      <c r="X79" s="155"/>
      <c r="Y79" s="574"/>
      <c r="Z79" s="574"/>
      <c r="AA79" s="574"/>
      <c r="AB79" s="574"/>
      <c r="AC79" s="574"/>
      <c r="AD79" s="574"/>
      <c r="AE79" s="574"/>
      <c r="AF79" s="155"/>
      <c r="AG79" s="574"/>
      <c r="AH79" s="574"/>
      <c r="AI79" s="574"/>
      <c r="AJ79" s="574"/>
      <c r="AK79" s="574"/>
      <c r="AL79" s="574"/>
      <c r="AM79" s="574"/>
      <c r="AN79" s="155"/>
      <c r="AO79" s="574"/>
      <c r="AP79" s="574"/>
      <c r="AQ79" s="574"/>
      <c r="AR79" s="574"/>
      <c r="AS79" s="574"/>
      <c r="AT79" s="574"/>
      <c r="AU79" s="574"/>
    </row>
    <row r="80" spans="1:47" ht="14.25" x14ac:dyDescent="0.2">
      <c r="A80" s="1039" t="s">
        <v>1342</v>
      </c>
      <c r="B80" s="1040"/>
      <c r="C80" s="1041"/>
      <c r="D80" s="1044">
        <v>6497088</v>
      </c>
      <c r="E80" s="573"/>
      <c r="F80" s="573"/>
      <c r="G80" s="573"/>
      <c r="H80" s="127"/>
      <c r="I80" s="168"/>
      <c r="J80" s="168"/>
      <c r="K80" s="168"/>
      <c r="L80" s="168"/>
      <c r="M80" s="169"/>
      <c r="N80" s="169"/>
      <c r="O80" s="169"/>
      <c r="Q80" s="574"/>
      <c r="R80" s="574"/>
      <c r="S80" s="574"/>
      <c r="T80" s="574"/>
      <c r="U80" s="574"/>
      <c r="V80" s="574"/>
      <c r="W80" s="574"/>
      <c r="X80" s="155"/>
      <c r="Y80" s="574"/>
      <c r="Z80" s="574"/>
      <c r="AA80" s="574"/>
      <c r="AB80" s="574"/>
      <c r="AC80" s="574"/>
      <c r="AD80" s="574"/>
      <c r="AE80" s="574"/>
      <c r="AF80" s="155"/>
      <c r="AG80" s="574"/>
      <c r="AH80" s="574"/>
      <c r="AI80" s="574"/>
      <c r="AJ80" s="574"/>
      <c r="AK80" s="574"/>
      <c r="AL80" s="574"/>
      <c r="AM80" s="574"/>
      <c r="AN80" s="155"/>
      <c r="AO80" s="574"/>
      <c r="AP80" s="574"/>
      <c r="AQ80" s="574"/>
      <c r="AR80" s="574"/>
      <c r="AS80" s="574"/>
      <c r="AT80" s="574"/>
      <c r="AU80" s="574"/>
    </row>
    <row r="81" spans="1:47" ht="14.25" x14ac:dyDescent="0.2">
      <c r="A81" s="1039" t="s">
        <v>1343</v>
      </c>
      <c r="B81" s="1040"/>
      <c r="C81" s="1041"/>
      <c r="D81" s="1044">
        <v>6497088</v>
      </c>
      <c r="E81" s="573"/>
      <c r="F81" s="573"/>
      <c r="G81" s="573"/>
      <c r="H81" s="127"/>
      <c r="I81" s="168"/>
      <c r="J81" s="168"/>
      <c r="K81" s="168"/>
      <c r="L81" s="168"/>
      <c r="M81" s="169"/>
      <c r="N81" s="169"/>
      <c r="O81" s="169"/>
      <c r="Q81" s="574"/>
      <c r="R81" s="574"/>
      <c r="S81" s="574"/>
      <c r="T81" s="574"/>
      <c r="U81" s="574"/>
      <c r="V81" s="574"/>
      <c r="W81" s="574"/>
      <c r="X81" s="155"/>
      <c r="Y81" s="574"/>
      <c r="Z81" s="574"/>
      <c r="AA81" s="574"/>
      <c r="AB81" s="574"/>
      <c r="AC81" s="574"/>
      <c r="AD81" s="574"/>
      <c r="AE81" s="574"/>
      <c r="AF81" s="155"/>
      <c r="AG81" s="574"/>
      <c r="AH81" s="574"/>
      <c r="AI81" s="574"/>
      <c r="AJ81" s="574"/>
      <c r="AK81" s="574"/>
      <c r="AL81" s="574"/>
      <c r="AM81" s="574"/>
      <c r="AN81" s="155"/>
      <c r="AO81" s="574"/>
      <c r="AP81" s="574"/>
      <c r="AQ81" s="574"/>
      <c r="AR81" s="574"/>
      <c r="AS81" s="574"/>
      <c r="AT81" s="574"/>
      <c r="AU81" s="574"/>
    </row>
    <row r="82" spans="1:47" ht="14.25" x14ac:dyDescent="0.2">
      <c r="A82" s="1039" t="s">
        <v>1344</v>
      </c>
      <c r="B82" s="1040"/>
      <c r="C82" s="1041"/>
      <c r="D82" s="1044">
        <v>31236000</v>
      </c>
      <c r="E82" s="573"/>
      <c r="F82" s="573"/>
      <c r="G82" s="573"/>
      <c r="H82" s="127"/>
      <c r="I82" s="168"/>
      <c r="J82" s="168"/>
      <c r="K82" s="168"/>
      <c r="L82" s="168"/>
      <c r="M82" s="169"/>
      <c r="N82" s="169"/>
      <c r="O82" s="169"/>
      <c r="Q82" s="574"/>
      <c r="R82" s="574"/>
      <c r="S82" s="574"/>
      <c r="T82" s="574"/>
      <c r="U82" s="574"/>
      <c r="V82" s="574"/>
      <c r="W82" s="574"/>
      <c r="X82" s="155"/>
      <c r="Y82" s="574"/>
      <c r="Z82" s="574"/>
      <c r="AA82" s="574"/>
      <c r="AB82" s="574"/>
      <c r="AC82" s="574"/>
      <c r="AD82" s="574"/>
      <c r="AE82" s="574"/>
      <c r="AF82" s="155"/>
      <c r="AG82" s="574"/>
      <c r="AH82" s="574"/>
      <c r="AI82" s="574"/>
      <c r="AJ82" s="574"/>
      <c r="AK82" s="574"/>
      <c r="AL82" s="574"/>
      <c r="AM82" s="574"/>
      <c r="AN82" s="155"/>
      <c r="AO82" s="574"/>
      <c r="AP82" s="574"/>
      <c r="AQ82" s="574"/>
      <c r="AR82" s="574"/>
      <c r="AS82" s="574"/>
      <c r="AT82" s="574"/>
      <c r="AU82" s="574"/>
    </row>
    <row r="83" spans="1:47" ht="14.25" x14ac:dyDescent="0.2">
      <c r="A83" s="1039" t="s">
        <v>1345</v>
      </c>
      <c r="B83" s="1040"/>
      <c r="C83" s="1041"/>
      <c r="D83" s="1044">
        <v>4373040</v>
      </c>
      <c r="E83" s="573"/>
      <c r="F83" s="573"/>
      <c r="G83" s="573"/>
      <c r="H83" s="127"/>
      <c r="I83" s="168"/>
      <c r="J83" s="168"/>
      <c r="K83" s="168"/>
      <c r="L83" s="168"/>
      <c r="M83" s="169"/>
      <c r="N83" s="169"/>
      <c r="O83" s="169"/>
      <c r="Q83" s="574"/>
      <c r="R83" s="574"/>
      <c r="S83" s="574"/>
      <c r="T83" s="574"/>
      <c r="U83" s="574"/>
      <c r="V83" s="574"/>
      <c r="W83" s="574"/>
      <c r="X83" s="155"/>
      <c r="Y83" s="574"/>
      <c r="Z83" s="574"/>
      <c r="AA83" s="574"/>
      <c r="AB83" s="574"/>
      <c r="AC83" s="574"/>
      <c r="AD83" s="574"/>
      <c r="AE83" s="574"/>
      <c r="AF83" s="155"/>
      <c r="AG83" s="574"/>
      <c r="AH83" s="574"/>
      <c r="AI83" s="574"/>
      <c r="AJ83" s="574"/>
      <c r="AK83" s="574"/>
      <c r="AL83" s="574"/>
      <c r="AM83" s="574"/>
      <c r="AN83" s="155"/>
      <c r="AO83" s="574"/>
      <c r="AP83" s="574"/>
      <c r="AQ83" s="574"/>
      <c r="AR83" s="574"/>
      <c r="AS83" s="574"/>
      <c r="AT83" s="574"/>
      <c r="AU83" s="574"/>
    </row>
    <row r="84" spans="1:47" ht="14.25" x14ac:dyDescent="0.2">
      <c r="A84" s="1039" t="s">
        <v>1346</v>
      </c>
      <c r="B84" s="1040"/>
      <c r="C84" s="1041"/>
      <c r="D84" s="1044">
        <v>17468837.120000001</v>
      </c>
      <c r="E84" s="233"/>
      <c r="F84" s="233"/>
      <c r="G84" s="233"/>
      <c r="H84" s="127"/>
      <c r="I84" s="168"/>
      <c r="J84" s="168"/>
      <c r="K84" s="168"/>
      <c r="L84" s="168"/>
      <c r="M84" s="169"/>
      <c r="N84" s="169"/>
      <c r="O84" s="169"/>
      <c r="Q84" s="234"/>
      <c r="R84" s="234"/>
      <c r="S84" s="234"/>
      <c r="T84" s="234"/>
      <c r="U84" s="234"/>
      <c r="V84" s="234"/>
      <c r="W84" s="234"/>
      <c r="X84" s="155"/>
      <c r="Y84" s="234"/>
      <c r="Z84" s="234"/>
      <c r="AA84" s="234"/>
      <c r="AB84" s="234"/>
      <c r="AC84" s="234"/>
      <c r="AD84" s="234"/>
      <c r="AE84" s="234"/>
      <c r="AF84" s="155"/>
      <c r="AG84" s="234"/>
      <c r="AH84" s="234"/>
      <c r="AI84" s="234"/>
      <c r="AJ84" s="234"/>
      <c r="AK84" s="234"/>
      <c r="AL84" s="234"/>
      <c r="AM84" s="234"/>
      <c r="AN84" s="155"/>
      <c r="AO84" s="234"/>
      <c r="AP84" s="234"/>
      <c r="AQ84" s="234"/>
      <c r="AR84" s="234"/>
      <c r="AS84" s="234"/>
      <c r="AT84" s="234"/>
      <c r="AU84" s="234"/>
    </row>
    <row r="85" spans="1:47" ht="14.25" x14ac:dyDescent="0.2">
      <c r="A85" s="1039" t="s">
        <v>1347</v>
      </c>
      <c r="B85" s="1040"/>
      <c r="C85" s="1041"/>
      <c r="D85" s="1044">
        <v>2290640</v>
      </c>
      <c r="E85" s="233"/>
      <c r="F85" s="233"/>
      <c r="G85" s="233"/>
      <c r="H85" s="127"/>
      <c r="I85" s="168"/>
      <c r="J85" s="168"/>
      <c r="K85" s="168"/>
      <c r="L85" s="168"/>
      <c r="M85" s="169"/>
      <c r="N85" s="169"/>
      <c r="O85" s="169"/>
      <c r="Q85" s="234"/>
      <c r="R85" s="234"/>
      <c r="S85" s="234"/>
      <c r="T85" s="234"/>
      <c r="U85" s="234"/>
      <c r="V85" s="234"/>
      <c r="W85" s="234"/>
      <c r="X85" s="155"/>
      <c r="Y85" s="234"/>
      <c r="Z85" s="234"/>
      <c r="AA85" s="234"/>
      <c r="AB85" s="234"/>
      <c r="AC85" s="234"/>
      <c r="AD85" s="234"/>
      <c r="AE85" s="234"/>
      <c r="AF85" s="155"/>
      <c r="AG85" s="234"/>
      <c r="AH85" s="234"/>
      <c r="AI85" s="234"/>
      <c r="AJ85" s="234"/>
      <c r="AK85" s="234"/>
      <c r="AL85" s="234"/>
      <c r="AM85" s="234"/>
      <c r="AN85" s="155"/>
      <c r="AO85" s="234"/>
      <c r="AP85" s="234"/>
      <c r="AQ85" s="234"/>
      <c r="AR85" s="234"/>
      <c r="AS85" s="234"/>
      <c r="AT85" s="234"/>
      <c r="AU85" s="234"/>
    </row>
    <row r="86" spans="1:47" ht="14.25" x14ac:dyDescent="0.2">
      <c r="A86" s="1039" t="s">
        <v>1348</v>
      </c>
      <c r="B86" s="1040"/>
      <c r="C86" s="1041"/>
      <c r="D86" s="1044">
        <v>1874160</v>
      </c>
      <c r="E86" s="233"/>
      <c r="F86" s="233"/>
      <c r="G86" s="233"/>
      <c r="H86" s="127"/>
      <c r="I86" s="168"/>
      <c r="J86" s="168"/>
      <c r="K86" s="168"/>
      <c r="L86" s="168"/>
      <c r="M86" s="169"/>
      <c r="N86" s="169"/>
      <c r="O86" s="169"/>
      <c r="Q86" s="234"/>
      <c r="R86" s="234"/>
      <c r="S86" s="234"/>
      <c r="T86" s="234"/>
      <c r="U86" s="234"/>
      <c r="V86" s="234"/>
      <c r="W86" s="234"/>
      <c r="X86" s="155"/>
      <c r="Y86" s="234"/>
      <c r="Z86" s="234"/>
      <c r="AA86" s="234"/>
      <c r="AB86" s="234"/>
      <c r="AC86" s="234"/>
      <c r="AD86" s="234"/>
      <c r="AE86" s="234"/>
      <c r="AF86" s="155"/>
      <c r="AG86" s="234"/>
      <c r="AH86" s="234"/>
      <c r="AI86" s="234"/>
      <c r="AJ86" s="234"/>
      <c r="AK86" s="234"/>
      <c r="AL86" s="234"/>
      <c r="AM86" s="234"/>
      <c r="AN86" s="155"/>
      <c r="AO86" s="234"/>
      <c r="AP86" s="234"/>
      <c r="AQ86" s="234"/>
      <c r="AR86" s="234"/>
      <c r="AS86" s="234"/>
      <c r="AT86" s="234"/>
      <c r="AU86" s="234"/>
    </row>
    <row r="87" spans="1:47" ht="14.25" x14ac:dyDescent="0.2">
      <c r="A87" s="1236" t="s">
        <v>1349</v>
      </c>
      <c r="B87" s="1237"/>
      <c r="C87" s="1238"/>
      <c r="D87" s="1044">
        <v>1561800</v>
      </c>
      <c r="E87" s="233"/>
      <c r="F87" s="233"/>
      <c r="G87" s="233"/>
      <c r="H87" s="127"/>
      <c r="I87" s="168"/>
      <c r="J87" s="168"/>
      <c r="K87" s="168"/>
      <c r="L87" s="168"/>
      <c r="M87" s="169"/>
      <c r="N87" s="169"/>
      <c r="O87" s="169"/>
      <c r="Q87" s="234"/>
      <c r="R87" s="234"/>
      <c r="S87" s="234"/>
      <c r="T87" s="234"/>
      <c r="U87" s="234"/>
      <c r="V87" s="234"/>
      <c r="W87" s="234"/>
      <c r="X87" s="155"/>
      <c r="Y87" s="234"/>
      <c r="Z87" s="234"/>
      <c r="AA87" s="234"/>
      <c r="AB87" s="234"/>
      <c r="AC87" s="234"/>
      <c r="AD87" s="234"/>
      <c r="AE87" s="234"/>
      <c r="AF87" s="155"/>
      <c r="AG87" s="234"/>
      <c r="AH87" s="234"/>
      <c r="AI87" s="234"/>
      <c r="AJ87" s="234"/>
      <c r="AK87" s="234"/>
      <c r="AL87" s="234"/>
      <c r="AM87" s="234"/>
      <c r="AN87" s="155"/>
      <c r="AO87" s="234"/>
      <c r="AP87" s="234"/>
      <c r="AQ87" s="234"/>
      <c r="AR87" s="234"/>
      <c r="AS87" s="234"/>
      <c r="AT87" s="234"/>
      <c r="AU87" s="234"/>
    </row>
    <row r="88" spans="1:47" ht="14.25" x14ac:dyDescent="0.2">
      <c r="A88" s="1236" t="s">
        <v>1350</v>
      </c>
      <c r="B88" s="1237"/>
      <c r="C88" s="1238"/>
      <c r="D88" s="1043">
        <v>5000000</v>
      </c>
      <c r="E88" s="233"/>
      <c r="F88" s="233"/>
      <c r="G88" s="233"/>
      <c r="H88" s="127"/>
      <c r="I88" s="168"/>
      <c r="J88" s="168"/>
      <c r="K88" s="168"/>
      <c r="L88" s="168"/>
      <c r="M88" s="169"/>
      <c r="N88" s="169"/>
      <c r="O88" s="169"/>
      <c r="Q88" s="234"/>
      <c r="R88" s="234"/>
      <c r="S88" s="234"/>
      <c r="T88" s="234"/>
      <c r="U88" s="234"/>
      <c r="V88" s="234"/>
      <c r="W88" s="234"/>
      <c r="X88" s="155"/>
      <c r="Y88" s="234"/>
      <c r="Z88" s="234"/>
      <c r="AA88" s="234"/>
      <c r="AB88" s="234"/>
      <c r="AC88" s="234"/>
      <c r="AD88" s="234"/>
      <c r="AE88" s="234"/>
      <c r="AF88" s="155"/>
      <c r="AG88" s="234"/>
      <c r="AH88" s="234"/>
      <c r="AI88" s="234"/>
      <c r="AJ88" s="234"/>
      <c r="AK88" s="234"/>
      <c r="AL88" s="234"/>
      <c r="AM88" s="234"/>
      <c r="AN88" s="155"/>
      <c r="AO88" s="234"/>
      <c r="AP88" s="234"/>
      <c r="AQ88" s="234"/>
      <c r="AR88" s="234"/>
      <c r="AS88" s="234"/>
      <c r="AT88" s="234"/>
      <c r="AU88" s="234"/>
    </row>
    <row r="89" spans="1:47" ht="14.25" x14ac:dyDescent="0.2">
      <c r="A89" s="1213" t="s">
        <v>1351</v>
      </c>
      <c r="B89" s="1214"/>
      <c r="C89" s="1215"/>
      <c r="D89" s="1045">
        <v>0</v>
      </c>
      <c r="E89" s="233"/>
      <c r="F89" s="233"/>
      <c r="G89" s="233"/>
      <c r="H89" s="127"/>
      <c r="I89" s="168"/>
      <c r="J89" s="168"/>
      <c r="K89" s="168"/>
      <c r="L89" s="168"/>
      <c r="M89" s="169"/>
      <c r="N89" s="169"/>
      <c r="O89" s="169"/>
      <c r="Q89" s="234"/>
      <c r="R89" s="234"/>
      <c r="S89" s="234"/>
      <c r="T89" s="234"/>
      <c r="U89" s="234"/>
      <c r="V89" s="234"/>
      <c r="W89" s="234"/>
      <c r="X89" s="155"/>
      <c r="Y89" s="234"/>
      <c r="Z89" s="234"/>
      <c r="AA89" s="234"/>
      <c r="AB89" s="234"/>
      <c r="AC89" s="234"/>
      <c r="AD89" s="234"/>
      <c r="AE89" s="234"/>
      <c r="AF89" s="155"/>
      <c r="AG89" s="234"/>
      <c r="AH89" s="234"/>
      <c r="AI89" s="234"/>
      <c r="AJ89" s="234"/>
      <c r="AK89" s="234"/>
      <c r="AL89" s="234"/>
      <c r="AM89" s="234"/>
      <c r="AN89" s="155"/>
      <c r="AO89" s="234"/>
      <c r="AP89" s="234"/>
      <c r="AQ89" s="234"/>
      <c r="AR89" s="234"/>
      <c r="AS89" s="234"/>
      <c r="AT89" s="234"/>
      <c r="AU89" s="234"/>
    </row>
    <row r="90" spans="1:47" ht="14.25" x14ac:dyDescent="0.2">
      <c r="A90" s="1230" t="s">
        <v>1352</v>
      </c>
      <c r="B90" s="1231"/>
      <c r="C90" s="1232"/>
      <c r="D90" s="1044">
        <v>6000000</v>
      </c>
      <c r="E90" s="1038"/>
      <c r="F90" s="1038"/>
      <c r="G90" s="1038"/>
      <c r="H90" s="127"/>
      <c r="I90" s="168"/>
      <c r="J90" s="168"/>
      <c r="K90" s="168"/>
      <c r="L90" s="168"/>
      <c r="M90" s="169"/>
      <c r="N90" s="169"/>
      <c r="O90" s="169"/>
      <c r="Q90" s="1042"/>
      <c r="R90" s="1042"/>
      <c r="S90" s="1042"/>
      <c r="T90" s="1042"/>
      <c r="U90" s="1042"/>
      <c r="V90" s="1042"/>
      <c r="W90" s="1042"/>
      <c r="X90" s="155"/>
      <c r="Y90" s="1042"/>
      <c r="Z90" s="1042"/>
      <c r="AA90" s="1042"/>
      <c r="AB90" s="1042"/>
      <c r="AC90" s="1042"/>
      <c r="AD90" s="1042"/>
      <c r="AE90" s="1042"/>
      <c r="AF90" s="155"/>
      <c r="AG90" s="1042"/>
      <c r="AH90" s="1042"/>
      <c r="AI90" s="1042"/>
      <c r="AJ90" s="1042"/>
      <c r="AK90" s="1042"/>
      <c r="AL90" s="1042"/>
      <c r="AM90" s="1042"/>
      <c r="AN90" s="155"/>
      <c r="AO90" s="1042"/>
      <c r="AP90" s="1042"/>
      <c r="AQ90" s="1042"/>
      <c r="AR90" s="1042"/>
      <c r="AS90" s="1042"/>
      <c r="AT90" s="1042"/>
      <c r="AU90" s="1042"/>
    </row>
    <row r="91" spans="1:47" ht="14.25" x14ac:dyDescent="0.2">
      <c r="A91" s="1046" t="s">
        <v>1353</v>
      </c>
      <c r="B91" s="1047"/>
      <c r="C91" s="1048"/>
      <c r="D91" s="1044">
        <v>12000000</v>
      </c>
      <c r="E91" s="1038"/>
      <c r="F91" s="1038"/>
      <c r="G91" s="1038"/>
      <c r="H91" s="127"/>
      <c r="I91" s="168"/>
      <c r="J91" s="168"/>
      <c r="K91" s="168"/>
      <c r="L91" s="168"/>
      <c r="M91" s="169"/>
      <c r="N91" s="169"/>
      <c r="O91" s="169"/>
      <c r="Q91" s="1042"/>
      <c r="R91" s="1042"/>
      <c r="S91" s="1042"/>
      <c r="T91" s="1042"/>
      <c r="U91" s="1042"/>
      <c r="V91" s="1042"/>
      <c r="W91" s="1042"/>
      <c r="X91" s="155"/>
      <c r="Y91" s="1042"/>
      <c r="Z91" s="1042"/>
      <c r="AA91" s="1042"/>
      <c r="AB91" s="1042"/>
      <c r="AC91" s="1042"/>
      <c r="AD91" s="1042"/>
      <c r="AE91" s="1042"/>
      <c r="AF91" s="155"/>
      <c r="AG91" s="1042"/>
      <c r="AH91" s="1042"/>
      <c r="AI91" s="1042"/>
      <c r="AJ91" s="1042"/>
      <c r="AK91" s="1042"/>
      <c r="AL91" s="1042"/>
      <c r="AM91" s="1042"/>
      <c r="AN91" s="155"/>
      <c r="AO91" s="1042"/>
      <c r="AP91" s="1042"/>
      <c r="AQ91" s="1042"/>
      <c r="AR91" s="1042"/>
      <c r="AS91" s="1042"/>
      <c r="AT91" s="1042"/>
      <c r="AU91" s="1042"/>
    </row>
    <row r="92" spans="1:47" ht="14.25" x14ac:dyDescent="0.2">
      <c r="A92" s="1046" t="s">
        <v>1354</v>
      </c>
      <c r="B92" s="1047"/>
      <c r="C92" s="1048"/>
      <c r="D92" s="1044">
        <v>10000000</v>
      </c>
      <c r="E92" s="1038"/>
      <c r="F92" s="1038"/>
      <c r="G92" s="1038"/>
      <c r="H92" s="127"/>
      <c r="I92" s="168"/>
      <c r="J92" s="168"/>
      <c r="K92" s="168"/>
      <c r="L92" s="168"/>
      <c r="M92" s="169"/>
      <c r="N92" s="169"/>
      <c r="O92" s="169"/>
      <c r="Q92" s="1042"/>
      <c r="R92" s="1042"/>
      <c r="S92" s="1042"/>
      <c r="T92" s="1042"/>
      <c r="U92" s="1042"/>
      <c r="V92" s="1042"/>
      <c r="W92" s="1042"/>
      <c r="X92" s="155"/>
      <c r="Y92" s="1042"/>
      <c r="Z92" s="1042"/>
      <c r="AA92" s="1042"/>
      <c r="AB92" s="1042"/>
      <c r="AC92" s="1042"/>
      <c r="AD92" s="1042"/>
      <c r="AE92" s="1042"/>
      <c r="AF92" s="155"/>
      <c r="AG92" s="1042"/>
      <c r="AH92" s="1042"/>
      <c r="AI92" s="1042"/>
      <c r="AJ92" s="1042"/>
      <c r="AK92" s="1042"/>
      <c r="AL92" s="1042"/>
      <c r="AM92" s="1042"/>
      <c r="AN92" s="155"/>
      <c r="AO92" s="1042"/>
      <c r="AP92" s="1042"/>
      <c r="AQ92" s="1042"/>
      <c r="AR92" s="1042"/>
      <c r="AS92" s="1042"/>
      <c r="AT92" s="1042"/>
      <c r="AU92" s="1042"/>
    </row>
    <row r="93" spans="1:47" ht="14.25" x14ac:dyDescent="0.2">
      <c r="A93" s="1046" t="s">
        <v>1355</v>
      </c>
      <c r="B93" s="1047"/>
      <c r="C93" s="1048"/>
      <c r="D93" s="1044">
        <v>4000000</v>
      </c>
      <c r="E93" s="1038"/>
      <c r="F93" s="1038"/>
      <c r="G93" s="1038"/>
      <c r="H93" s="127"/>
      <c r="I93" s="168"/>
      <c r="J93" s="168"/>
      <c r="K93" s="168"/>
      <c r="L93" s="168"/>
      <c r="M93" s="169"/>
      <c r="N93" s="169"/>
      <c r="O93" s="169"/>
      <c r="Q93" s="1042"/>
      <c r="R93" s="1042"/>
      <c r="S93" s="1042"/>
      <c r="T93" s="1042"/>
      <c r="U93" s="1042"/>
      <c r="V93" s="1042"/>
      <c r="W93" s="1042"/>
      <c r="X93" s="155"/>
      <c r="Y93" s="1042"/>
      <c r="Z93" s="1042"/>
      <c r="AA93" s="1042"/>
      <c r="AB93" s="1042"/>
      <c r="AC93" s="1042"/>
      <c r="AD93" s="1042"/>
      <c r="AE93" s="1042"/>
      <c r="AF93" s="155"/>
      <c r="AG93" s="1042"/>
      <c r="AH93" s="1042"/>
      <c r="AI93" s="1042"/>
      <c r="AJ93" s="1042"/>
      <c r="AK93" s="1042"/>
      <c r="AL93" s="1042"/>
      <c r="AM93" s="1042"/>
      <c r="AN93" s="155"/>
      <c r="AO93" s="1042"/>
      <c r="AP93" s="1042"/>
      <c r="AQ93" s="1042"/>
      <c r="AR93" s="1042"/>
      <c r="AS93" s="1042"/>
      <c r="AT93" s="1042"/>
      <c r="AU93" s="1042"/>
    </row>
    <row r="94" spans="1:47" ht="14.25" x14ac:dyDescent="0.2">
      <c r="A94" s="1046" t="s">
        <v>1356</v>
      </c>
      <c r="B94" s="1047"/>
      <c r="C94" s="1048"/>
      <c r="D94" s="1044">
        <v>6000000</v>
      </c>
      <c r="E94" s="1038"/>
      <c r="F94" s="1038"/>
      <c r="G94" s="1038"/>
      <c r="H94" s="127"/>
      <c r="I94" s="168"/>
      <c r="J94" s="168"/>
      <c r="K94" s="168"/>
      <c r="L94" s="168"/>
      <c r="M94" s="169"/>
      <c r="N94" s="169"/>
      <c r="O94" s="169"/>
      <c r="Q94" s="1042"/>
      <c r="R94" s="1042"/>
      <c r="S94" s="1042"/>
      <c r="T94" s="1042"/>
      <c r="U94" s="1042"/>
      <c r="V94" s="1042"/>
      <c r="W94" s="1042"/>
      <c r="X94" s="155"/>
      <c r="Y94" s="1042"/>
      <c r="Z94" s="1042"/>
      <c r="AA94" s="1042"/>
      <c r="AB94" s="1042"/>
      <c r="AC94" s="1042"/>
      <c r="AD94" s="1042"/>
      <c r="AE94" s="1042"/>
      <c r="AF94" s="155"/>
      <c r="AG94" s="1042"/>
      <c r="AH94" s="1042"/>
      <c r="AI94" s="1042"/>
      <c r="AJ94" s="1042"/>
      <c r="AK94" s="1042"/>
      <c r="AL94" s="1042"/>
      <c r="AM94" s="1042"/>
      <c r="AN94" s="155"/>
      <c r="AO94" s="1042"/>
      <c r="AP94" s="1042"/>
      <c r="AQ94" s="1042"/>
      <c r="AR94" s="1042"/>
      <c r="AS94" s="1042"/>
      <c r="AT94" s="1042"/>
      <c r="AU94" s="1042"/>
    </row>
    <row r="95" spans="1:47" ht="14.25" x14ac:dyDescent="0.2">
      <c r="A95" s="1046" t="s">
        <v>1357</v>
      </c>
      <c r="B95" s="1047"/>
      <c r="C95" s="1048"/>
      <c r="D95" s="1044">
        <v>7000000</v>
      </c>
      <c r="E95" s="1038"/>
      <c r="F95" s="1038"/>
      <c r="G95" s="1038"/>
      <c r="H95" s="127"/>
      <c r="I95" s="168"/>
      <c r="J95" s="168"/>
      <c r="K95" s="168"/>
      <c r="L95" s="168"/>
      <c r="M95" s="169"/>
      <c r="N95" s="169"/>
      <c r="O95" s="169"/>
      <c r="Q95" s="1042"/>
      <c r="R95" s="1042"/>
      <c r="S95" s="1042"/>
      <c r="T95" s="1042"/>
      <c r="U95" s="1042"/>
      <c r="V95" s="1042"/>
      <c r="W95" s="1042"/>
      <c r="X95" s="155"/>
      <c r="Y95" s="1042"/>
      <c r="Z95" s="1042"/>
      <c r="AA95" s="1042"/>
      <c r="AB95" s="1042"/>
      <c r="AC95" s="1042"/>
      <c r="AD95" s="1042"/>
      <c r="AE95" s="1042"/>
      <c r="AF95" s="155"/>
      <c r="AG95" s="1042"/>
      <c r="AH95" s="1042"/>
      <c r="AI95" s="1042"/>
      <c r="AJ95" s="1042"/>
      <c r="AK95" s="1042"/>
      <c r="AL95" s="1042"/>
      <c r="AM95" s="1042"/>
      <c r="AN95" s="155"/>
      <c r="AO95" s="1042"/>
      <c r="AP95" s="1042"/>
      <c r="AQ95" s="1042"/>
      <c r="AR95" s="1042"/>
      <c r="AS95" s="1042"/>
      <c r="AT95" s="1042"/>
      <c r="AU95" s="1042"/>
    </row>
    <row r="96" spans="1:47" ht="14.25" x14ac:dyDescent="0.2">
      <c r="A96" s="1046" t="s">
        <v>1358</v>
      </c>
      <c r="B96" s="1047"/>
      <c r="C96" s="1048"/>
      <c r="D96" s="1044">
        <v>5000000</v>
      </c>
      <c r="E96" s="1038"/>
      <c r="F96" s="1038"/>
      <c r="G96" s="1038"/>
      <c r="H96" s="127"/>
      <c r="I96" s="168"/>
      <c r="J96" s="168"/>
      <c r="K96" s="168"/>
      <c r="L96" s="168"/>
      <c r="M96" s="169"/>
      <c r="N96" s="169"/>
      <c r="O96" s="169"/>
      <c r="Q96" s="1042"/>
      <c r="R96" s="1042"/>
      <c r="S96" s="1042"/>
      <c r="T96" s="1042"/>
      <c r="U96" s="1042"/>
      <c r="V96" s="1042"/>
      <c r="W96" s="1042"/>
      <c r="X96" s="155"/>
      <c r="Y96" s="1042"/>
      <c r="Z96" s="1042"/>
      <c r="AA96" s="1042"/>
      <c r="AB96" s="1042"/>
      <c r="AC96" s="1042"/>
      <c r="AD96" s="1042"/>
      <c r="AE96" s="1042"/>
      <c r="AF96" s="155"/>
      <c r="AG96" s="1042"/>
      <c r="AH96" s="1042"/>
      <c r="AI96" s="1042"/>
      <c r="AJ96" s="1042"/>
      <c r="AK96" s="1042"/>
      <c r="AL96" s="1042"/>
      <c r="AM96" s="1042"/>
      <c r="AN96" s="155"/>
      <c r="AO96" s="1042"/>
      <c r="AP96" s="1042"/>
      <c r="AQ96" s="1042"/>
      <c r="AR96" s="1042"/>
      <c r="AS96" s="1042"/>
      <c r="AT96" s="1042"/>
      <c r="AU96" s="1042"/>
    </row>
    <row r="97" spans="1:47" ht="14.25" x14ac:dyDescent="0.2">
      <c r="A97" s="1046" t="s">
        <v>1359</v>
      </c>
      <c r="B97" s="1047"/>
      <c r="C97" s="1048"/>
      <c r="D97" s="1044">
        <v>10000000</v>
      </c>
      <c r="E97" s="1038"/>
      <c r="F97" s="1038"/>
      <c r="G97" s="1038"/>
      <c r="H97" s="127"/>
      <c r="I97" s="168"/>
      <c r="J97" s="168"/>
      <c r="K97" s="168"/>
      <c r="L97" s="168"/>
      <c r="M97" s="169"/>
      <c r="N97" s="169"/>
      <c r="O97" s="169"/>
      <c r="Q97" s="1042"/>
      <c r="R97" s="1042"/>
      <c r="S97" s="1042"/>
      <c r="T97" s="1042"/>
      <c r="U97" s="1042"/>
      <c r="V97" s="1042"/>
      <c r="W97" s="1042"/>
      <c r="X97" s="155"/>
      <c r="Y97" s="1042"/>
      <c r="Z97" s="1042"/>
      <c r="AA97" s="1042"/>
      <c r="AB97" s="1042"/>
      <c r="AC97" s="1042"/>
      <c r="AD97" s="1042"/>
      <c r="AE97" s="1042"/>
      <c r="AF97" s="155"/>
      <c r="AG97" s="1042"/>
      <c r="AH97" s="1042"/>
      <c r="AI97" s="1042"/>
      <c r="AJ97" s="1042"/>
      <c r="AK97" s="1042"/>
      <c r="AL97" s="1042"/>
      <c r="AM97" s="1042"/>
      <c r="AN97" s="155"/>
      <c r="AO97" s="1042"/>
      <c r="AP97" s="1042"/>
      <c r="AQ97" s="1042"/>
      <c r="AR97" s="1042"/>
      <c r="AS97" s="1042"/>
      <c r="AT97" s="1042"/>
      <c r="AU97" s="1042"/>
    </row>
    <row r="98" spans="1:47" ht="14.25" x14ac:dyDescent="0.2">
      <c r="A98" s="1233" t="s">
        <v>1360</v>
      </c>
      <c r="B98" s="1234"/>
      <c r="C98" s="1235"/>
      <c r="D98" s="1043">
        <v>4000000</v>
      </c>
      <c r="E98" s="233"/>
      <c r="F98" s="233"/>
      <c r="G98" s="233"/>
      <c r="H98" s="127"/>
      <c r="I98" s="168"/>
      <c r="J98" s="168"/>
      <c r="K98" s="168"/>
      <c r="L98" s="168"/>
      <c r="M98" s="169"/>
      <c r="N98" s="169"/>
      <c r="O98" s="169"/>
      <c r="Q98" s="234"/>
      <c r="R98" s="234"/>
      <c r="S98" s="234"/>
      <c r="T98" s="234"/>
      <c r="U98" s="234"/>
      <c r="V98" s="234"/>
      <c r="W98" s="234"/>
      <c r="X98" s="155"/>
      <c r="Y98" s="234"/>
      <c r="Z98" s="234"/>
      <c r="AA98" s="234"/>
      <c r="AB98" s="234"/>
      <c r="AC98" s="234"/>
      <c r="AD98" s="234"/>
      <c r="AE98" s="234"/>
      <c r="AF98" s="155"/>
      <c r="AG98" s="234"/>
      <c r="AH98" s="234"/>
      <c r="AI98" s="234"/>
      <c r="AJ98" s="234"/>
      <c r="AK98" s="234"/>
      <c r="AL98" s="234"/>
      <c r="AM98" s="234"/>
      <c r="AN98" s="155"/>
      <c r="AO98" s="234"/>
      <c r="AP98" s="234"/>
      <c r="AQ98" s="234"/>
      <c r="AR98" s="234"/>
      <c r="AS98" s="234"/>
      <c r="AT98" s="234"/>
      <c r="AU98" s="234"/>
    </row>
    <row r="99" spans="1:47" ht="14.25" x14ac:dyDescent="0.2">
      <c r="A99" s="1242" t="s">
        <v>501</v>
      </c>
      <c r="B99" s="1243"/>
      <c r="C99" s="1244"/>
      <c r="D99" s="324">
        <f>SUM(D64:D98)</f>
        <v>1214825701.4691999</v>
      </c>
      <c r="E99" s="233"/>
      <c r="F99" s="233"/>
      <c r="G99" s="233"/>
      <c r="H99" s="127"/>
      <c r="I99" s="168"/>
      <c r="J99" s="168"/>
      <c r="K99" s="168"/>
      <c r="L99" s="168"/>
      <c r="M99" s="169"/>
      <c r="N99" s="169"/>
      <c r="O99" s="169"/>
      <c r="Q99" s="234"/>
      <c r="R99" s="234"/>
      <c r="S99" s="234"/>
      <c r="T99" s="234"/>
      <c r="U99" s="234"/>
      <c r="V99" s="234"/>
      <c r="W99" s="234"/>
      <c r="X99" s="155"/>
      <c r="Y99" s="234"/>
      <c r="Z99" s="234"/>
      <c r="AA99" s="234"/>
      <c r="AB99" s="234"/>
      <c r="AC99" s="234"/>
      <c r="AD99" s="234"/>
      <c r="AE99" s="234"/>
      <c r="AF99" s="155"/>
      <c r="AG99" s="234"/>
      <c r="AH99" s="234"/>
      <c r="AI99" s="234"/>
      <c r="AJ99" s="234"/>
      <c r="AK99" s="234"/>
      <c r="AL99" s="234"/>
      <c r="AM99" s="234"/>
      <c r="AN99" s="155"/>
      <c r="AO99" s="234"/>
      <c r="AP99" s="234"/>
      <c r="AQ99" s="234"/>
      <c r="AR99" s="234"/>
      <c r="AS99" s="234"/>
      <c r="AT99" s="234"/>
      <c r="AU99" s="234"/>
    </row>
    <row r="100" spans="1:47" ht="14.25" x14ac:dyDescent="0.2">
      <c r="A100" s="233"/>
      <c r="B100" s="233"/>
      <c r="C100" s="233"/>
      <c r="D100" s="233"/>
      <c r="E100" s="233"/>
      <c r="F100" s="233"/>
      <c r="G100" s="233"/>
      <c r="H100" s="127"/>
      <c r="I100" s="168"/>
      <c r="J100" s="168"/>
      <c r="K100" s="168"/>
      <c r="L100" s="168"/>
      <c r="M100" s="169"/>
      <c r="N100" s="169"/>
      <c r="O100" s="169"/>
      <c r="Q100" s="234"/>
      <c r="R100" s="234"/>
      <c r="S100" s="234"/>
      <c r="T100" s="234"/>
      <c r="U100" s="234"/>
      <c r="V100" s="234"/>
      <c r="W100" s="234"/>
      <c r="X100" s="155"/>
      <c r="Y100" s="234"/>
      <c r="Z100" s="234"/>
      <c r="AA100" s="234"/>
      <c r="AB100" s="234"/>
      <c r="AC100" s="234"/>
      <c r="AD100" s="234"/>
      <c r="AE100" s="234"/>
      <c r="AF100" s="155"/>
      <c r="AG100" s="234"/>
      <c r="AH100" s="234"/>
      <c r="AI100" s="234"/>
      <c r="AJ100" s="234"/>
      <c r="AK100" s="234"/>
      <c r="AL100" s="234"/>
      <c r="AM100" s="234"/>
      <c r="AN100" s="155"/>
      <c r="AO100" s="234"/>
      <c r="AP100" s="234"/>
      <c r="AQ100" s="234"/>
      <c r="AR100" s="234"/>
      <c r="AS100" s="234"/>
      <c r="AT100" s="234"/>
      <c r="AU100" s="234"/>
    </row>
    <row r="101" spans="1:47" x14ac:dyDescent="0.2">
      <c r="A101" s="104"/>
      <c r="B101" s="104"/>
      <c r="C101" s="104"/>
      <c r="D101" s="104"/>
      <c r="E101" s="104"/>
      <c r="F101" s="116"/>
      <c r="G101" s="104"/>
      <c r="I101" s="106"/>
      <c r="J101" s="106"/>
      <c r="K101" s="106"/>
      <c r="L101" s="106"/>
      <c r="M101" s="155"/>
      <c r="N101" s="155"/>
      <c r="O101" s="155"/>
      <c r="Q101" s="155"/>
      <c r="R101" s="155"/>
      <c r="S101" s="155"/>
      <c r="T101" s="155"/>
      <c r="U101" s="155"/>
      <c r="V101" s="156"/>
      <c r="W101" s="155"/>
      <c r="X101" s="155"/>
      <c r="Y101" s="155"/>
      <c r="Z101" s="155"/>
      <c r="AA101" s="155"/>
      <c r="AB101" s="155"/>
      <c r="AC101" s="155"/>
      <c r="AD101" s="156"/>
      <c r="AE101" s="155"/>
      <c r="AF101" s="155"/>
      <c r="AG101" s="155"/>
      <c r="AH101" s="155"/>
      <c r="AI101" s="155"/>
      <c r="AJ101" s="155"/>
      <c r="AK101" s="155"/>
      <c r="AL101" s="156"/>
      <c r="AM101" s="155"/>
      <c r="AN101" s="155"/>
      <c r="AO101" s="155"/>
      <c r="AP101" s="155"/>
      <c r="AQ101" s="155"/>
      <c r="AR101" s="155"/>
      <c r="AS101" s="155"/>
      <c r="AT101" s="156"/>
      <c r="AU101" s="155"/>
    </row>
    <row r="102" spans="1:47" ht="13.5" thickBot="1" x14ac:dyDescent="0.25">
      <c r="A102" s="104"/>
      <c r="B102" s="104"/>
      <c r="C102" s="104"/>
      <c r="D102" s="104"/>
      <c r="E102" s="104"/>
      <c r="F102" s="116"/>
      <c r="G102" s="104"/>
      <c r="I102" s="106"/>
      <c r="J102" s="106"/>
      <c r="K102" s="106"/>
      <c r="L102" s="106"/>
      <c r="M102" s="155"/>
      <c r="N102" s="155"/>
      <c r="O102" s="155"/>
      <c r="Q102" s="155"/>
      <c r="R102" s="155"/>
      <c r="S102" s="155"/>
      <c r="T102" s="155"/>
      <c r="U102" s="155"/>
      <c r="V102" s="156"/>
      <c r="W102" s="155"/>
      <c r="X102" s="155"/>
      <c r="Y102" s="155"/>
      <c r="Z102" s="155"/>
      <c r="AA102" s="155"/>
      <c r="AB102" s="155"/>
      <c r="AC102" s="155"/>
      <c r="AD102" s="156"/>
      <c r="AE102" s="155"/>
      <c r="AF102" s="155"/>
      <c r="AG102" s="155"/>
      <c r="AH102" s="155"/>
      <c r="AI102" s="155"/>
      <c r="AJ102" s="155"/>
      <c r="AK102" s="155"/>
      <c r="AL102" s="156"/>
      <c r="AM102" s="155"/>
      <c r="AN102" s="155"/>
      <c r="AO102" s="155"/>
      <c r="AP102" s="155"/>
      <c r="AQ102" s="155"/>
      <c r="AR102" s="155"/>
      <c r="AS102" s="155"/>
      <c r="AT102" s="156"/>
      <c r="AU102" s="155"/>
    </row>
    <row r="103" spans="1:47" ht="18" thickTop="1" thickBot="1" x14ac:dyDescent="0.3">
      <c r="A103" s="1245" t="s">
        <v>279</v>
      </c>
      <c r="B103" s="1245"/>
      <c r="C103" s="1246"/>
      <c r="D103" s="882">
        <f>+D61+D99</f>
        <v>2429651402.9383998</v>
      </c>
      <c r="E103" s="625" t="s">
        <v>169</v>
      </c>
      <c r="F103" s="625"/>
      <c r="G103" s="626"/>
      <c r="H103" s="119"/>
      <c r="I103" s="106"/>
      <c r="J103" s="106"/>
      <c r="K103" s="1198"/>
      <c r="L103" s="1198"/>
      <c r="M103" s="165"/>
      <c r="N103" s="165"/>
      <c r="O103" s="166"/>
      <c r="Q103" s="155"/>
      <c r="R103" s="155"/>
      <c r="S103" s="1211"/>
      <c r="T103" s="1211"/>
      <c r="U103" s="165"/>
      <c r="V103" s="167"/>
      <c r="W103" s="166"/>
      <c r="X103" s="155"/>
      <c r="Y103" s="155"/>
      <c r="Z103" s="155"/>
      <c r="AA103" s="1211"/>
      <c r="AB103" s="1211"/>
      <c r="AC103" s="165"/>
      <c r="AD103" s="167"/>
      <c r="AE103" s="166"/>
      <c r="AF103" s="155"/>
      <c r="AG103" s="155"/>
      <c r="AH103" s="155"/>
      <c r="AI103" s="1211"/>
      <c r="AJ103" s="1211"/>
      <c r="AK103" s="165"/>
      <c r="AL103" s="167"/>
      <c r="AM103" s="166"/>
      <c r="AN103" s="155"/>
      <c r="AO103" s="155"/>
      <c r="AP103" s="155"/>
      <c r="AQ103" s="1211"/>
      <c r="AR103" s="1211"/>
      <c r="AS103" s="165"/>
      <c r="AT103" s="167"/>
      <c r="AU103" s="166"/>
    </row>
    <row r="104" spans="1:47" ht="13.5" thickTop="1" x14ac:dyDescent="0.2">
      <c r="A104" s="104"/>
      <c r="B104" s="104"/>
      <c r="C104" s="104"/>
      <c r="D104" s="104"/>
      <c r="E104" s="104"/>
      <c r="F104" s="116"/>
      <c r="G104" s="104"/>
      <c r="I104" s="106"/>
      <c r="J104" s="106"/>
      <c r="K104" s="106"/>
      <c r="L104" s="106"/>
      <c r="M104" s="155"/>
      <c r="N104" s="155"/>
      <c r="O104" s="155"/>
      <c r="Q104" s="155"/>
      <c r="R104" s="155"/>
      <c r="S104" s="155"/>
      <c r="T104" s="155"/>
      <c r="U104" s="155"/>
      <c r="V104" s="155"/>
      <c r="W104" s="155"/>
      <c r="X104" s="155"/>
      <c r="Y104" s="155"/>
      <c r="Z104" s="155"/>
      <c r="AA104" s="155"/>
      <c r="AB104" s="155"/>
      <c r="AC104" s="155"/>
      <c r="AD104" s="155"/>
      <c r="AE104" s="155"/>
      <c r="AF104" s="155"/>
      <c r="AG104" s="155"/>
      <c r="AH104" s="155"/>
      <c r="AI104" s="155"/>
      <c r="AJ104" s="155"/>
      <c r="AK104" s="155"/>
      <c r="AL104" s="155"/>
      <c r="AM104" s="155"/>
      <c r="AN104" s="155"/>
      <c r="AO104" s="155"/>
      <c r="AP104" s="155"/>
      <c r="AQ104" s="155"/>
      <c r="AR104" s="155"/>
      <c r="AS104" s="155"/>
      <c r="AT104" s="155"/>
      <c r="AU104" s="155"/>
    </row>
    <row r="105" spans="1:47" x14ac:dyDescent="0.2">
      <c r="A105" s="104"/>
      <c r="B105" s="104"/>
      <c r="C105" s="104"/>
      <c r="D105" s="104"/>
      <c r="E105" s="104"/>
      <c r="F105" s="116"/>
      <c r="G105" s="106"/>
      <c r="I105" s="106"/>
      <c r="J105" s="106"/>
      <c r="K105" s="106"/>
      <c r="L105" s="106"/>
      <c r="M105" s="155"/>
      <c r="N105" s="155"/>
      <c r="O105" s="155"/>
      <c r="Q105" s="155"/>
      <c r="R105" s="155"/>
      <c r="S105" s="155"/>
      <c r="T105" s="155"/>
      <c r="U105" s="155"/>
      <c r="V105" s="156"/>
      <c r="W105" s="155"/>
      <c r="X105" s="155"/>
      <c r="Y105" s="155"/>
      <c r="Z105" s="155"/>
      <c r="AA105" s="155"/>
      <c r="AB105" s="155"/>
      <c r="AC105" s="155"/>
      <c r="AD105" s="156"/>
      <c r="AE105" s="155"/>
      <c r="AF105" s="155"/>
      <c r="AG105" s="155"/>
      <c r="AH105" s="155"/>
      <c r="AI105" s="155"/>
      <c r="AJ105" s="155"/>
      <c r="AK105" s="155"/>
      <c r="AL105" s="156"/>
      <c r="AM105" s="155"/>
      <c r="AN105" s="155"/>
      <c r="AO105" s="155"/>
      <c r="AP105" s="155"/>
      <c r="AQ105" s="155"/>
      <c r="AR105" s="155"/>
      <c r="AS105" s="155"/>
      <c r="AT105" s="156"/>
      <c r="AU105" s="155"/>
    </row>
    <row r="106" spans="1:47" s="152" customFormat="1" ht="41.25" customHeight="1" x14ac:dyDescent="0.2">
      <c r="A106" s="1240" t="s">
        <v>169</v>
      </c>
      <c r="B106" s="1240"/>
      <c r="C106" s="1240"/>
      <c r="D106" s="1240"/>
      <c r="E106" s="1240"/>
      <c r="F106" s="1240"/>
      <c r="G106" s="627" t="s">
        <v>169</v>
      </c>
      <c r="H106" s="111"/>
      <c r="I106" s="128"/>
      <c r="J106" s="128"/>
      <c r="K106" s="128"/>
      <c r="L106" s="111"/>
      <c r="M106" s="158"/>
      <c r="N106" s="158"/>
      <c r="O106" s="158"/>
      <c r="Q106" s="157"/>
      <c r="R106" s="157"/>
      <c r="S106" s="157"/>
      <c r="T106" s="158"/>
      <c r="U106" s="158"/>
      <c r="V106" s="159"/>
      <c r="W106" s="158"/>
      <c r="X106" s="160"/>
      <c r="Y106" s="157"/>
      <c r="Z106" s="157"/>
      <c r="AA106" s="157"/>
      <c r="AB106" s="158"/>
      <c r="AC106" s="158"/>
      <c r="AD106" s="159"/>
      <c r="AE106" s="158"/>
      <c r="AF106" s="160"/>
      <c r="AG106" s="157"/>
      <c r="AH106" s="157"/>
      <c r="AI106" s="157"/>
      <c r="AJ106" s="158"/>
      <c r="AK106" s="158"/>
      <c r="AL106" s="159"/>
      <c r="AM106" s="158"/>
      <c r="AN106" s="160"/>
      <c r="AO106" s="157"/>
      <c r="AP106" s="157"/>
      <c r="AQ106" s="157"/>
      <c r="AR106" s="158"/>
      <c r="AS106" s="158"/>
      <c r="AT106" s="159"/>
      <c r="AU106" s="158"/>
    </row>
    <row r="107" spans="1:47" ht="15.95" customHeight="1" x14ac:dyDescent="0.2">
      <c r="A107" s="1241" t="s">
        <v>169</v>
      </c>
      <c r="B107" s="1241"/>
      <c r="C107" s="1241"/>
      <c r="D107" s="1241"/>
      <c r="E107" s="1241"/>
      <c r="F107" s="1241"/>
      <c r="G107" s="628" t="s">
        <v>169</v>
      </c>
      <c r="H107" s="113"/>
      <c r="I107" s="129"/>
      <c r="J107" s="129"/>
      <c r="K107" s="129"/>
      <c r="L107" s="130"/>
      <c r="M107" s="162"/>
      <c r="N107" s="162"/>
      <c r="O107" s="163"/>
      <c r="Q107" s="161"/>
      <c r="R107" s="161"/>
      <c r="S107" s="161"/>
      <c r="T107" s="162"/>
      <c r="U107" s="162"/>
      <c r="V107" s="164"/>
      <c r="W107" s="163"/>
      <c r="X107" s="155"/>
      <c r="Y107" s="161"/>
      <c r="Z107" s="161"/>
      <c r="AA107" s="161"/>
      <c r="AB107" s="162"/>
      <c r="AC107" s="162"/>
      <c r="AD107" s="164"/>
      <c r="AE107" s="163"/>
      <c r="AF107" s="155"/>
      <c r="AG107" s="161"/>
      <c r="AH107" s="161"/>
      <c r="AI107" s="161"/>
      <c r="AJ107" s="162"/>
      <c r="AK107" s="162"/>
      <c r="AL107" s="164"/>
      <c r="AM107" s="163"/>
      <c r="AN107" s="155"/>
      <c r="AO107" s="161"/>
      <c r="AP107" s="161"/>
      <c r="AQ107" s="161"/>
      <c r="AR107" s="162"/>
      <c r="AS107" s="162"/>
      <c r="AT107" s="164"/>
      <c r="AU107" s="163"/>
    </row>
    <row r="108" spans="1:47" ht="15.95" customHeight="1" x14ac:dyDescent="0.2">
      <c r="A108" s="629"/>
      <c r="B108" s="629"/>
      <c r="C108" s="629"/>
      <c r="D108" s="630"/>
      <c r="E108" s="630"/>
      <c r="F108" s="631"/>
      <c r="G108" s="628" t="s">
        <v>169</v>
      </c>
      <c r="H108" s="113"/>
      <c r="I108" s="129"/>
      <c r="J108" s="129"/>
      <c r="K108" s="129"/>
      <c r="L108" s="130"/>
      <c r="M108" s="162"/>
      <c r="N108" s="162"/>
      <c r="O108" s="163"/>
      <c r="Q108" s="161"/>
      <c r="R108" s="161"/>
      <c r="S108" s="161"/>
      <c r="T108" s="162"/>
      <c r="U108" s="162"/>
      <c r="V108" s="164"/>
      <c r="W108" s="163"/>
      <c r="X108" s="155"/>
      <c r="Y108" s="161"/>
      <c r="Z108" s="161"/>
      <c r="AA108" s="161"/>
      <c r="AB108" s="162"/>
      <c r="AC108" s="162"/>
      <c r="AD108" s="164"/>
      <c r="AE108" s="163"/>
      <c r="AF108" s="155"/>
      <c r="AG108" s="161"/>
      <c r="AH108" s="161"/>
      <c r="AI108" s="161"/>
      <c r="AJ108" s="162"/>
      <c r="AK108" s="162"/>
      <c r="AL108" s="164"/>
      <c r="AM108" s="163"/>
      <c r="AN108" s="155"/>
      <c r="AO108" s="161"/>
      <c r="AP108" s="161"/>
      <c r="AQ108" s="161"/>
      <c r="AR108" s="162"/>
      <c r="AS108" s="162"/>
      <c r="AT108" s="164"/>
      <c r="AU108" s="163"/>
    </row>
    <row r="109" spans="1:47" ht="15.95" customHeight="1" x14ac:dyDescent="0.2">
      <c r="A109" s="629"/>
      <c r="B109" s="629"/>
      <c r="C109" s="629"/>
      <c r="D109" s="630"/>
      <c r="E109" s="630"/>
      <c r="F109" s="631"/>
      <c r="G109" s="628" t="s">
        <v>169</v>
      </c>
      <c r="H109" s="113"/>
      <c r="I109" s="129"/>
      <c r="J109" s="129"/>
      <c r="K109" s="129"/>
      <c r="L109" s="130"/>
      <c r="M109" s="162"/>
      <c r="N109" s="162"/>
      <c r="O109" s="163"/>
      <c r="Q109" s="161"/>
      <c r="R109" s="161"/>
      <c r="S109" s="161"/>
      <c r="T109" s="162"/>
      <c r="U109" s="162"/>
      <c r="V109" s="164"/>
      <c r="W109" s="163"/>
      <c r="X109" s="155"/>
      <c r="Y109" s="161"/>
      <c r="Z109" s="161"/>
      <c r="AA109" s="161"/>
      <c r="AB109" s="162"/>
      <c r="AC109" s="162"/>
      <c r="AD109" s="164"/>
      <c r="AE109" s="163"/>
      <c r="AF109" s="155"/>
      <c r="AG109" s="161"/>
      <c r="AH109" s="161"/>
      <c r="AI109" s="161"/>
      <c r="AJ109" s="162"/>
      <c r="AK109" s="162"/>
      <c r="AL109" s="164"/>
      <c r="AM109" s="163"/>
      <c r="AN109" s="155"/>
      <c r="AO109" s="161"/>
      <c r="AP109" s="161"/>
      <c r="AQ109" s="161"/>
      <c r="AR109" s="162"/>
      <c r="AS109" s="162"/>
      <c r="AT109" s="164"/>
      <c r="AU109" s="163"/>
    </row>
    <row r="110" spans="1:47" ht="15.95" customHeight="1" x14ac:dyDescent="0.2">
      <c r="A110" s="629"/>
      <c r="B110" s="629"/>
      <c r="C110" s="629"/>
      <c r="D110" s="630"/>
      <c r="E110" s="630"/>
      <c r="F110" s="631"/>
      <c r="G110" s="628" t="s">
        <v>169</v>
      </c>
      <c r="H110" s="113"/>
      <c r="I110" s="129"/>
      <c r="J110" s="129"/>
      <c r="K110" s="129"/>
      <c r="L110" s="130"/>
      <c r="M110" s="162"/>
      <c r="N110" s="162"/>
      <c r="O110" s="163"/>
      <c r="Q110" s="161"/>
      <c r="R110" s="161"/>
      <c r="S110" s="161"/>
      <c r="T110" s="162"/>
      <c r="U110" s="162"/>
      <c r="V110" s="164"/>
      <c r="W110" s="163"/>
      <c r="X110" s="155"/>
      <c r="Y110" s="161"/>
      <c r="Z110" s="161"/>
      <c r="AA110" s="161"/>
      <c r="AB110" s="162"/>
      <c r="AC110" s="162"/>
      <c r="AD110" s="164"/>
      <c r="AE110" s="163"/>
      <c r="AF110" s="155"/>
      <c r="AG110" s="161"/>
      <c r="AH110" s="161"/>
      <c r="AI110" s="161"/>
      <c r="AJ110" s="162"/>
      <c r="AK110" s="162"/>
      <c r="AL110" s="164"/>
      <c r="AM110" s="163"/>
      <c r="AN110" s="155"/>
      <c r="AO110" s="161"/>
      <c r="AP110" s="161"/>
      <c r="AQ110" s="161"/>
      <c r="AR110" s="162"/>
      <c r="AS110" s="162"/>
      <c r="AT110" s="164"/>
      <c r="AU110" s="163"/>
    </row>
    <row r="111" spans="1:47" ht="15.95" customHeight="1" x14ac:dyDescent="0.2">
      <c r="A111" s="629"/>
      <c r="B111" s="629"/>
      <c r="C111" s="629"/>
      <c r="D111" s="630"/>
      <c r="E111" s="630"/>
      <c r="F111" s="631"/>
      <c r="G111" s="628" t="s">
        <v>169</v>
      </c>
      <c r="H111" s="113"/>
      <c r="I111" s="129"/>
      <c r="J111" s="129"/>
      <c r="K111" s="129"/>
      <c r="L111" s="130"/>
      <c r="M111" s="162"/>
      <c r="N111" s="162"/>
      <c r="O111" s="163"/>
      <c r="Q111" s="161"/>
      <c r="R111" s="161"/>
      <c r="S111" s="161"/>
      <c r="T111" s="162"/>
      <c r="U111" s="162"/>
      <c r="V111" s="164"/>
      <c r="W111" s="163"/>
      <c r="X111" s="155"/>
      <c r="Y111" s="161"/>
      <c r="Z111" s="161"/>
      <c r="AA111" s="161"/>
      <c r="AB111" s="162"/>
      <c r="AC111" s="162"/>
      <c r="AD111" s="164"/>
      <c r="AE111" s="163"/>
      <c r="AF111" s="155"/>
      <c r="AG111" s="161"/>
      <c r="AH111" s="161"/>
      <c r="AI111" s="161"/>
      <c r="AJ111" s="162"/>
      <c r="AK111" s="162"/>
      <c r="AL111" s="164"/>
      <c r="AM111" s="163"/>
      <c r="AN111" s="155"/>
      <c r="AO111" s="161"/>
      <c r="AP111" s="161"/>
      <c r="AQ111" s="161"/>
      <c r="AR111" s="162"/>
      <c r="AS111" s="162"/>
      <c r="AT111" s="164"/>
      <c r="AU111" s="163"/>
    </row>
    <row r="112" spans="1:47" ht="15.95" customHeight="1" x14ac:dyDescent="0.2">
      <c r="A112" s="629"/>
      <c r="B112" s="629"/>
      <c r="C112" s="629"/>
      <c r="D112" s="630"/>
      <c r="E112" s="630"/>
      <c r="F112" s="631"/>
      <c r="G112" s="628" t="s">
        <v>169</v>
      </c>
      <c r="H112" s="113"/>
      <c r="I112" s="129"/>
      <c r="J112" s="129"/>
      <c r="K112" s="129"/>
      <c r="L112" s="130"/>
      <c r="M112" s="162"/>
      <c r="N112" s="162"/>
      <c r="O112" s="163"/>
      <c r="Q112" s="161"/>
      <c r="R112" s="161"/>
      <c r="S112" s="161"/>
      <c r="T112" s="162"/>
      <c r="U112" s="162"/>
      <c r="V112" s="164"/>
      <c r="W112" s="163"/>
      <c r="X112" s="155"/>
      <c r="Y112" s="161"/>
      <c r="Z112" s="161"/>
      <c r="AA112" s="161"/>
      <c r="AB112" s="162"/>
      <c r="AC112" s="162"/>
      <c r="AD112" s="164"/>
      <c r="AE112" s="163"/>
      <c r="AF112" s="155"/>
      <c r="AG112" s="161"/>
      <c r="AH112" s="161"/>
      <c r="AI112" s="161"/>
      <c r="AJ112" s="162"/>
      <c r="AK112" s="162"/>
      <c r="AL112" s="164"/>
      <c r="AM112" s="163"/>
      <c r="AN112" s="155"/>
      <c r="AO112" s="161"/>
      <c r="AP112" s="161"/>
      <c r="AQ112" s="161"/>
      <c r="AR112" s="162"/>
      <c r="AS112" s="162"/>
      <c r="AT112" s="164"/>
      <c r="AU112" s="163"/>
    </row>
    <row r="113" spans="1:47" ht="15.95" customHeight="1" x14ac:dyDescent="0.2">
      <c r="A113" s="629"/>
      <c r="B113" s="629"/>
      <c r="C113" s="629"/>
      <c r="D113" s="630"/>
      <c r="E113" s="630"/>
      <c r="F113" s="631"/>
      <c r="G113" s="628" t="s">
        <v>169</v>
      </c>
      <c r="H113" s="113"/>
      <c r="I113" s="129"/>
      <c r="J113" s="129"/>
      <c r="K113" s="129"/>
      <c r="L113" s="130"/>
      <c r="M113" s="162"/>
      <c r="N113" s="162"/>
      <c r="O113" s="163"/>
      <c r="Q113" s="161"/>
      <c r="R113" s="161"/>
      <c r="S113" s="161"/>
      <c r="T113" s="162"/>
      <c r="U113" s="162"/>
      <c r="V113" s="164"/>
      <c r="W113" s="163"/>
      <c r="X113" s="155"/>
      <c r="Y113" s="161"/>
      <c r="Z113" s="161"/>
      <c r="AA113" s="161"/>
      <c r="AB113" s="162"/>
      <c r="AC113" s="162"/>
      <c r="AD113" s="164"/>
      <c r="AE113" s="163"/>
      <c r="AF113" s="155"/>
      <c r="AG113" s="161"/>
      <c r="AH113" s="161"/>
      <c r="AI113" s="161"/>
      <c r="AJ113" s="162"/>
      <c r="AK113" s="162"/>
      <c r="AL113" s="164"/>
      <c r="AM113" s="163"/>
      <c r="AN113" s="155"/>
      <c r="AO113" s="161"/>
      <c r="AP113" s="161"/>
      <c r="AQ113" s="161"/>
      <c r="AR113" s="162"/>
      <c r="AS113" s="162"/>
      <c r="AT113" s="164"/>
      <c r="AU113" s="163"/>
    </row>
    <row r="114" spans="1:47" ht="15.95" customHeight="1" x14ac:dyDescent="0.2">
      <c r="A114" s="629"/>
      <c r="B114" s="629"/>
      <c r="C114" s="629"/>
      <c r="D114" s="630"/>
      <c r="E114" s="630"/>
      <c r="F114" s="631"/>
      <c r="G114" s="628" t="s">
        <v>169</v>
      </c>
      <c r="H114" s="113"/>
      <c r="I114" s="129"/>
      <c r="J114" s="129"/>
      <c r="K114" s="129"/>
      <c r="L114" s="130"/>
      <c r="M114" s="162"/>
      <c r="N114" s="162"/>
      <c r="O114" s="163"/>
      <c r="Q114" s="161"/>
      <c r="R114" s="161"/>
      <c r="S114" s="161"/>
      <c r="T114" s="162"/>
      <c r="U114" s="162"/>
      <c r="V114" s="164"/>
      <c r="W114" s="163"/>
      <c r="X114" s="155"/>
      <c r="Y114" s="161"/>
      <c r="Z114" s="161"/>
      <c r="AA114" s="161"/>
      <c r="AB114" s="162"/>
      <c r="AC114" s="162"/>
      <c r="AD114" s="164"/>
      <c r="AE114" s="163"/>
      <c r="AF114" s="155"/>
      <c r="AG114" s="161"/>
      <c r="AH114" s="161"/>
      <c r="AI114" s="161"/>
      <c r="AJ114" s="162"/>
      <c r="AK114" s="162"/>
      <c r="AL114" s="164"/>
      <c r="AM114" s="163"/>
      <c r="AN114" s="155"/>
      <c r="AO114" s="161"/>
      <c r="AP114" s="161"/>
      <c r="AQ114" s="161"/>
      <c r="AR114" s="162"/>
      <c r="AS114" s="162"/>
      <c r="AT114" s="164"/>
      <c r="AU114" s="163"/>
    </row>
    <row r="115" spans="1:47" ht="15.95" customHeight="1" x14ac:dyDescent="0.2">
      <c r="A115" s="629"/>
      <c r="B115" s="629"/>
      <c r="C115" s="629"/>
      <c r="D115" s="630"/>
      <c r="E115" s="630"/>
      <c r="F115" s="631"/>
      <c r="G115" s="628" t="s">
        <v>169</v>
      </c>
      <c r="H115" s="113"/>
      <c r="I115" s="129"/>
      <c r="J115" s="129"/>
      <c r="K115" s="129"/>
      <c r="L115" s="130"/>
      <c r="M115" s="162"/>
      <c r="N115" s="162"/>
      <c r="O115" s="163"/>
      <c r="Q115" s="161"/>
      <c r="R115" s="161"/>
      <c r="S115" s="161"/>
      <c r="T115" s="162"/>
      <c r="U115" s="162"/>
      <c r="V115" s="164"/>
      <c r="W115" s="163"/>
      <c r="X115" s="155"/>
      <c r="Y115" s="161"/>
      <c r="Z115" s="161"/>
      <c r="AA115" s="161"/>
      <c r="AB115" s="162"/>
      <c r="AC115" s="162"/>
      <c r="AD115" s="164"/>
      <c r="AE115" s="163"/>
      <c r="AF115" s="155"/>
      <c r="AG115" s="161"/>
      <c r="AH115" s="161"/>
      <c r="AI115" s="161"/>
      <c r="AJ115" s="162"/>
      <c r="AK115" s="162"/>
      <c r="AL115" s="164"/>
      <c r="AM115" s="163"/>
      <c r="AN115" s="155"/>
      <c r="AO115" s="161"/>
      <c r="AP115" s="161"/>
      <c r="AQ115" s="161"/>
      <c r="AR115" s="162"/>
      <c r="AS115" s="162"/>
      <c r="AT115" s="164"/>
      <c r="AU115" s="163"/>
    </row>
    <row r="116" spans="1:47" ht="15.95" customHeight="1" x14ac:dyDescent="0.2">
      <c r="A116" s="629"/>
      <c r="B116" s="629"/>
      <c r="C116" s="629"/>
      <c r="D116" s="630"/>
      <c r="E116" s="630"/>
      <c r="F116" s="631"/>
      <c r="G116" s="628" t="s">
        <v>169</v>
      </c>
      <c r="H116" s="113"/>
      <c r="I116" s="129"/>
      <c r="J116" s="129"/>
      <c r="K116" s="129"/>
      <c r="L116" s="130"/>
      <c r="M116" s="162"/>
      <c r="N116" s="162"/>
      <c r="O116" s="163"/>
      <c r="Q116" s="161"/>
      <c r="R116" s="161"/>
      <c r="S116" s="161"/>
      <c r="T116" s="162"/>
      <c r="U116" s="162"/>
      <c r="V116" s="164"/>
      <c r="W116" s="163"/>
      <c r="X116" s="155"/>
      <c r="Y116" s="161"/>
      <c r="Z116" s="161"/>
      <c r="AA116" s="161"/>
      <c r="AB116" s="162"/>
      <c r="AC116" s="162"/>
      <c r="AD116" s="164"/>
      <c r="AE116" s="163"/>
      <c r="AF116" s="155"/>
      <c r="AG116" s="161"/>
      <c r="AH116" s="161"/>
      <c r="AI116" s="161"/>
      <c r="AJ116" s="162"/>
      <c r="AK116" s="162"/>
      <c r="AL116" s="164"/>
      <c r="AM116" s="163"/>
      <c r="AN116" s="155"/>
      <c r="AO116" s="161"/>
      <c r="AP116" s="161"/>
      <c r="AQ116" s="161"/>
      <c r="AR116" s="162"/>
      <c r="AS116" s="162"/>
      <c r="AT116" s="164"/>
      <c r="AU116" s="163"/>
    </row>
    <row r="117" spans="1:47" ht="15.95" customHeight="1" x14ac:dyDescent="0.2">
      <c r="A117" s="629"/>
      <c r="B117" s="629"/>
      <c r="C117" s="629"/>
      <c r="D117" s="630"/>
      <c r="E117" s="630"/>
      <c r="F117" s="631"/>
      <c r="G117" s="628" t="s">
        <v>169</v>
      </c>
      <c r="H117" s="113"/>
      <c r="I117" s="129"/>
      <c r="J117" s="129"/>
      <c r="K117" s="129"/>
      <c r="L117" s="130"/>
      <c r="M117" s="162"/>
      <c r="N117" s="162"/>
      <c r="O117" s="163"/>
      <c r="Q117" s="161"/>
      <c r="R117" s="161"/>
      <c r="S117" s="161"/>
      <c r="T117" s="162"/>
      <c r="U117" s="162"/>
      <c r="V117" s="164"/>
      <c r="W117" s="163"/>
      <c r="X117" s="155"/>
      <c r="Y117" s="161"/>
      <c r="Z117" s="161"/>
      <c r="AA117" s="161"/>
      <c r="AB117" s="162"/>
      <c r="AC117" s="162"/>
      <c r="AD117" s="164"/>
      <c r="AE117" s="163"/>
      <c r="AF117" s="155"/>
      <c r="AG117" s="161"/>
      <c r="AH117" s="161"/>
      <c r="AI117" s="161"/>
      <c r="AJ117" s="162"/>
      <c r="AK117" s="162"/>
      <c r="AL117" s="164"/>
      <c r="AM117" s="163"/>
      <c r="AN117" s="155"/>
      <c r="AO117" s="161"/>
      <c r="AP117" s="161"/>
      <c r="AQ117" s="161"/>
      <c r="AR117" s="162"/>
      <c r="AS117" s="162"/>
      <c r="AT117" s="164"/>
      <c r="AU117" s="163"/>
    </row>
    <row r="118" spans="1:47" ht="15.95" customHeight="1" x14ac:dyDescent="0.2">
      <c r="A118" s="629"/>
      <c r="B118" s="629"/>
      <c r="C118" s="629"/>
      <c r="D118" s="630"/>
      <c r="E118" s="630"/>
      <c r="F118" s="631"/>
      <c r="G118" s="628" t="s">
        <v>169</v>
      </c>
      <c r="H118" s="113"/>
      <c r="I118" s="129"/>
      <c r="J118" s="129"/>
      <c r="K118" s="129"/>
      <c r="L118" s="130"/>
      <c r="M118" s="162"/>
      <c r="N118" s="162"/>
      <c r="O118" s="163"/>
      <c r="Q118" s="161"/>
      <c r="R118" s="161"/>
      <c r="S118" s="161"/>
      <c r="T118" s="162"/>
      <c r="U118" s="162"/>
      <c r="V118" s="164"/>
      <c r="W118" s="163"/>
      <c r="X118" s="155"/>
      <c r="Y118" s="161"/>
      <c r="Z118" s="161"/>
      <c r="AA118" s="161"/>
      <c r="AB118" s="162"/>
      <c r="AC118" s="162"/>
      <c r="AD118" s="164"/>
      <c r="AE118" s="163"/>
      <c r="AF118" s="155"/>
      <c r="AG118" s="161"/>
      <c r="AH118" s="161"/>
      <c r="AI118" s="161"/>
      <c r="AJ118" s="162"/>
      <c r="AK118" s="162"/>
      <c r="AL118" s="164"/>
      <c r="AM118" s="163"/>
      <c r="AN118" s="155"/>
      <c r="AO118" s="161"/>
      <c r="AP118" s="161"/>
      <c r="AQ118" s="161"/>
      <c r="AR118" s="162"/>
      <c r="AS118" s="162"/>
      <c r="AT118" s="164"/>
      <c r="AU118" s="163"/>
    </row>
    <row r="119" spans="1:47" ht="15.95" customHeight="1" x14ac:dyDescent="0.2">
      <c r="A119" s="629"/>
      <c r="B119" s="629"/>
      <c r="C119" s="629"/>
      <c r="D119" s="630"/>
      <c r="E119" s="630"/>
      <c r="F119" s="631"/>
      <c r="G119" s="628" t="s">
        <v>169</v>
      </c>
      <c r="H119" s="113"/>
      <c r="I119" s="129"/>
      <c r="J119" s="129"/>
      <c r="K119" s="129"/>
      <c r="L119" s="130"/>
      <c r="M119" s="162"/>
      <c r="N119" s="162"/>
      <c r="O119" s="163"/>
      <c r="Q119" s="161"/>
      <c r="R119" s="161"/>
      <c r="S119" s="161"/>
      <c r="T119" s="162"/>
      <c r="U119" s="162"/>
      <c r="V119" s="164"/>
      <c r="W119" s="163"/>
      <c r="X119" s="155"/>
      <c r="Y119" s="161"/>
      <c r="Z119" s="161"/>
      <c r="AA119" s="161"/>
      <c r="AB119" s="162"/>
      <c r="AC119" s="162"/>
      <c r="AD119" s="164"/>
      <c r="AE119" s="163"/>
      <c r="AF119" s="155"/>
      <c r="AG119" s="161"/>
      <c r="AH119" s="161"/>
      <c r="AI119" s="161"/>
      <c r="AJ119" s="162"/>
      <c r="AK119" s="162"/>
      <c r="AL119" s="164"/>
      <c r="AM119" s="163"/>
      <c r="AN119" s="155"/>
      <c r="AO119" s="161"/>
      <c r="AP119" s="161"/>
      <c r="AQ119" s="161"/>
      <c r="AR119" s="162"/>
      <c r="AS119" s="162"/>
      <c r="AT119" s="164"/>
      <c r="AU119" s="163"/>
    </row>
    <row r="120" spans="1:47" ht="15.95" customHeight="1" x14ac:dyDescent="0.2">
      <c r="A120" s="629"/>
      <c r="B120" s="629"/>
      <c r="C120" s="629"/>
      <c r="D120" s="630"/>
      <c r="E120" s="630"/>
      <c r="F120" s="631"/>
      <c r="G120" s="628" t="s">
        <v>169</v>
      </c>
      <c r="H120" s="113"/>
      <c r="I120" s="129"/>
      <c r="J120" s="129"/>
      <c r="K120" s="129"/>
      <c r="L120" s="130"/>
      <c r="M120" s="162"/>
      <c r="N120" s="162"/>
      <c r="O120" s="163"/>
      <c r="Q120" s="161"/>
      <c r="R120" s="161"/>
      <c r="S120" s="161"/>
      <c r="T120" s="162"/>
      <c r="U120" s="162"/>
      <c r="V120" s="164"/>
      <c r="W120" s="163"/>
      <c r="X120" s="155"/>
      <c r="Y120" s="161"/>
      <c r="Z120" s="161"/>
      <c r="AA120" s="161"/>
      <c r="AB120" s="162"/>
      <c r="AC120" s="162"/>
      <c r="AD120" s="164"/>
      <c r="AE120" s="163"/>
      <c r="AF120" s="155"/>
      <c r="AG120" s="161"/>
      <c r="AH120" s="161"/>
      <c r="AI120" s="161"/>
      <c r="AJ120" s="162"/>
      <c r="AK120" s="162"/>
      <c r="AL120" s="164"/>
      <c r="AM120" s="163"/>
      <c r="AN120" s="155"/>
      <c r="AO120" s="161"/>
      <c r="AP120" s="161"/>
      <c r="AQ120" s="161"/>
      <c r="AR120" s="162"/>
      <c r="AS120" s="162"/>
      <c r="AT120" s="164"/>
      <c r="AU120" s="163"/>
    </row>
    <row r="121" spans="1:47" ht="15.95" customHeight="1" x14ac:dyDescent="0.2">
      <c r="A121" s="629"/>
      <c r="B121" s="629"/>
      <c r="C121" s="629"/>
      <c r="D121" s="630"/>
      <c r="E121" s="630"/>
      <c r="F121" s="631"/>
      <c r="G121" s="628" t="s">
        <v>169</v>
      </c>
      <c r="H121" s="113"/>
      <c r="I121" s="129"/>
      <c r="J121" s="129"/>
      <c r="K121" s="129"/>
      <c r="L121" s="130"/>
      <c r="M121" s="162"/>
      <c r="N121" s="162"/>
      <c r="O121" s="163"/>
      <c r="Q121" s="161"/>
      <c r="R121" s="161"/>
      <c r="S121" s="161"/>
      <c r="T121" s="162"/>
      <c r="U121" s="162"/>
      <c r="V121" s="164"/>
      <c r="W121" s="163"/>
      <c r="X121" s="155"/>
      <c r="Y121" s="161"/>
      <c r="Z121" s="161"/>
      <c r="AA121" s="161"/>
      <c r="AB121" s="162"/>
      <c r="AC121" s="162"/>
      <c r="AD121" s="164"/>
      <c r="AE121" s="163"/>
      <c r="AF121" s="155"/>
      <c r="AG121" s="161"/>
      <c r="AH121" s="161"/>
      <c r="AI121" s="161"/>
      <c r="AJ121" s="162"/>
      <c r="AK121" s="162"/>
      <c r="AL121" s="164"/>
      <c r="AM121" s="163"/>
      <c r="AN121" s="155"/>
      <c r="AO121" s="161"/>
      <c r="AP121" s="161"/>
      <c r="AQ121" s="161"/>
      <c r="AR121" s="162"/>
      <c r="AS121" s="162"/>
      <c r="AT121" s="164"/>
      <c r="AU121" s="163"/>
    </row>
    <row r="122" spans="1:47" ht="15.95" customHeight="1" x14ac:dyDescent="0.2">
      <c r="A122" s="629"/>
      <c r="B122" s="629"/>
      <c r="C122" s="629"/>
      <c r="D122" s="630"/>
      <c r="E122" s="630"/>
      <c r="F122" s="631"/>
      <c r="G122" s="628" t="s">
        <v>169</v>
      </c>
      <c r="H122" s="113"/>
      <c r="I122" s="129"/>
      <c r="J122" s="129"/>
      <c r="K122" s="129"/>
      <c r="L122" s="130"/>
      <c r="M122" s="162"/>
      <c r="N122" s="162"/>
      <c r="O122" s="163"/>
      <c r="Q122" s="161"/>
      <c r="R122" s="161"/>
      <c r="S122" s="161"/>
      <c r="T122" s="162"/>
      <c r="U122" s="162"/>
      <c r="V122" s="164"/>
      <c r="W122" s="163"/>
      <c r="X122" s="155"/>
      <c r="Y122" s="161"/>
      <c r="Z122" s="161"/>
      <c r="AA122" s="161"/>
      <c r="AB122" s="162"/>
      <c r="AC122" s="162"/>
      <c r="AD122" s="164"/>
      <c r="AE122" s="163"/>
      <c r="AF122" s="155"/>
      <c r="AG122" s="161"/>
      <c r="AH122" s="161"/>
      <c r="AI122" s="161"/>
      <c r="AJ122" s="162"/>
      <c r="AK122" s="162"/>
      <c r="AL122" s="164"/>
      <c r="AM122" s="163"/>
      <c r="AN122" s="155"/>
      <c r="AO122" s="161"/>
      <c r="AP122" s="161"/>
      <c r="AQ122" s="161"/>
      <c r="AR122" s="162"/>
      <c r="AS122" s="162"/>
      <c r="AT122" s="164"/>
      <c r="AU122" s="163"/>
    </row>
    <row r="123" spans="1:47" ht="15.95" customHeight="1" x14ac:dyDescent="0.2">
      <c r="A123" s="629"/>
      <c r="B123" s="629"/>
      <c r="C123" s="629"/>
      <c r="D123" s="630"/>
      <c r="E123" s="630"/>
      <c r="F123" s="631"/>
      <c r="G123" s="628" t="s">
        <v>169</v>
      </c>
      <c r="H123" s="113"/>
      <c r="I123" s="129"/>
      <c r="J123" s="129"/>
      <c r="K123" s="129"/>
      <c r="L123" s="130"/>
      <c r="M123" s="162"/>
      <c r="N123" s="162"/>
      <c r="O123" s="163"/>
      <c r="Q123" s="161"/>
      <c r="R123" s="161"/>
      <c r="S123" s="161"/>
      <c r="T123" s="162"/>
      <c r="U123" s="162"/>
      <c r="V123" s="164"/>
      <c r="W123" s="163"/>
      <c r="X123" s="155"/>
      <c r="Y123" s="161"/>
      <c r="Z123" s="161"/>
      <c r="AA123" s="161"/>
      <c r="AB123" s="162"/>
      <c r="AC123" s="162"/>
      <c r="AD123" s="164"/>
      <c r="AE123" s="163"/>
      <c r="AF123" s="155"/>
      <c r="AG123" s="161"/>
      <c r="AH123" s="161"/>
      <c r="AI123" s="161"/>
      <c r="AJ123" s="162"/>
      <c r="AK123" s="162"/>
      <c r="AL123" s="164"/>
      <c r="AM123" s="163"/>
      <c r="AN123" s="155"/>
      <c r="AO123" s="161"/>
      <c r="AP123" s="161"/>
      <c r="AQ123" s="161"/>
      <c r="AR123" s="162"/>
      <c r="AS123" s="162"/>
      <c r="AT123" s="164"/>
      <c r="AU123" s="163"/>
    </row>
    <row r="124" spans="1:47" ht="15.95" customHeight="1" x14ac:dyDescent="0.2">
      <c r="A124" s="629"/>
      <c r="B124" s="629"/>
      <c r="C124" s="629"/>
      <c r="D124" s="630"/>
      <c r="E124" s="630"/>
      <c r="F124" s="631"/>
      <c r="G124" s="628" t="s">
        <v>169</v>
      </c>
      <c r="H124" s="113"/>
      <c r="I124" s="129"/>
      <c r="J124" s="129"/>
      <c r="K124" s="129"/>
      <c r="L124" s="130"/>
      <c r="M124" s="162"/>
      <c r="N124" s="162"/>
      <c r="O124" s="163"/>
      <c r="Q124" s="161"/>
      <c r="R124" s="161"/>
      <c r="S124" s="161"/>
      <c r="T124" s="162"/>
      <c r="U124" s="162"/>
      <c r="V124" s="164"/>
      <c r="W124" s="163"/>
      <c r="X124" s="155"/>
      <c r="Y124" s="161"/>
      <c r="Z124" s="161"/>
      <c r="AA124" s="161"/>
      <c r="AB124" s="162"/>
      <c r="AC124" s="162"/>
      <c r="AD124" s="164"/>
      <c r="AE124" s="163"/>
      <c r="AF124" s="155"/>
      <c r="AG124" s="161"/>
      <c r="AH124" s="161"/>
      <c r="AI124" s="161"/>
      <c r="AJ124" s="162"/>
      <c r="AK124" s="162"/>
      <c r="AL124" s="164"/>
      <c r="AM124" s="163"/>
      <c r="AN124" s="155"/>
      <c r="AO124" s="161"/>
      <c r="AP124" s="161"/>
      <c r="AQ124" s="161"/>
      <c r="AR124" s="162"/>
      <c r="AS124" s="162"/>
      <c r="AT124" s="164"/>
      <c r="AU124" s="163"/>
    </row>
    <row r="125" spans="1:47" ht="15.95" customHeight="1" x14ac:dyDescent="0.2">
      <c r="A125" s="629"/>
      <c r="B125" s="629"/>
      <c r="C125" s="629"/>
      <c r="D125" s="630"/>
      <c r="E125" s="630"/>
      <c r="F125" s="631"/>
      <c r="G125" s="628" t="s">
        <v>169</v>
      </c>
      <c r="H125" s="113"/>
      <c r="I125" s="129"/>
      <c r="J125" s="129"/>
      <c r="K125" s="129"/>
      <c r="L125" s="130"/>
      <c r="M125" s="162"/>
      <c r="N125" s="162"/>
      <c r="O125" s="163"/>
      <c r="Q125" s="161"/>
      <c r="R125" s="161"/>
      <c r="S125" s="161"/>
      <c r="T125" s="162"/>
      <c r="U125" s="162"/>
      <c r="V125" s="164"/>
      <c r="W125" s="163"/>
      <c r="X125" s="155"/>
      <c r="Y125" s="161"/>
      <c r="Z125" s="161"/>
      <c r="AA125" s="161"/>
      <c r="AB125" s="162"/>
      <c r="AC125" s="162"/>
      <c r="AD125" s="164"/>
      <c r="AE125" s="163"/>
      <c r="AF125" s="155"/>
      <c r="AG125" s="161"/>
      <c r="AH125" s="161"/>
      <c r="AI125" s="161"/>
      <c r="AJ125" s="162"/>
      <c r="AK125" s="162"/>
      <c r="AL125" s="164"/>
      <c r="AM125" s="163"/>
      <c r="AN125" s="155"/>
      <c r="AO125" s="161"/>
      <c r="AP125" s="161"/>
      <c r="AQ125" s="161"/>
      <c r="AR125" s="162"/>
      <c r="AS125" s="162"/>
      <c r="AT125" s="164"/>
      <c r="AU125" s="163"/>
    </row>
    <row r="126" spans="1:47" ht="15.95" customHeight="1" x14ac:dyDescent="0.2">
      <c r="A126" s="629"/>
      <c r="B126" s="629"/>
      <c r="C126" s="629"/>
      <c r="D126" s="630"/>
      <c r="E126" s="630"/>
      <c r="F126" s="631"/>
      <c r="G126" s="628" t="s">
        <v>169</v>
      </c>
      <c r="H126" s="113"/>
      <c r="I126" s="129"/>
      <c r="J126" s="129"/>
      <c r="K126" s="129"/>
      <c r="L126" s="130"/>
      <c r="M126" s="162"/>
      <c r="N126" s="162"/>
      <c r="O126" s="163"/>
      <c r="Q126" s="161"/>
      <c r="R126" s="161"/>
      <c r="S126" s="161"/>
      <c r="T126" s="162"/>
      <c r="U126" s="162"/>
      <c r="V126" s="164"/>
      <c r="W126" s="163"/>
      <c r="X126" s="155"/>
      <c r="Y126" s="161"/>
      <c r="Z126" s="161"/>
      <c r="AA126" s="161"/>
      <c r="AB126" s="162"/>
      <c r="AC126" s="162"/>
      <c r="AD126" s="164"/>
      <c r="AE126" s="163"/>
      <c r="AF126" s="155"/>
      <c r="AG126" s="161"/>
      <c r="AH126" s="161"/>
      <c r="AI126" s="161"/>
      <c r="AJ126" s="162"/>
      <c r="AK126" s="162"/>
      <c r="AL126" s="164"/>
      <c r="AM126" s="163"/>
      <c r="AN126" s="155"/>
      <c r="AO126" s="161"/>
      <c r="AP126" s="161"/>
      <c r="AQ126" s="161"/>
      <c r="AR126" s="162"/>
      <c r="AS126" s="162"/>
      <c r="AT126" s="164"/>
      <c r="AU126" s="163"/>
    </row>
    <row r="127" spans="1:47" ht="15.95" customHeight="1" x14ac:dyDescent="0.2">
      <c r="A127" s="629"/>
      <c r="B127" s="629"/>
      <c r="C127" s="629"/>
      <c r="D127" s="630"/>
      <c r="E127" s="630"/>
      <c r="F127" s="631"/>
      <c r="G127" s="628" t="s">
        <v>169</v>
      </c>
      <c r="H127" s="113"/>
      <c r="I127" s="129"/>
      <c r="J127" s="129"/>
      <c r="K127" s="129"/>
      <c r="L127" s="130"/>
      <c r="M127" s="162"/>
      <c r="N127" s="162"/>
      <c r="O127" s="163"/>
      <c r="Q127" s="161"/>
      <c r="R127" s="161"/>
      <c r="S127" s="161"/>
      <c r="T127" s="162"/>
      <c r="U127" s="162"/>
      <c r="V127" s="164"/>
      <c r="W127" s="163"/>
      <c r="X127" s="155"/>
      <c r="Y127" s="161"/>
      <c r="Z127" s="161"/>
      <c r="AA127" s="161"/>
      <c r="AB127" s="162"/>
      <c r="AC127" s="162"/>
      <c r="AD127" s="164"/>
      <c r="AE127" s="163"/>
      <c r="AF127" s="155"/>
      <c r="AG127" s="161"/>
      <c r="AH127" s="161"/>
      <c r="AI127" s="161"/>
      <c r="AJ127" s="162"/>
      <c r="AK127" s="162"/>
      <c r="AL127" s="164"/>
      <c r="AM127" s="163"/>
      <c r="AN127" s="155"/>
      <c r="AO127" s="161"/>
      <c r="AP127" s="161"/>
      <c r="AQ127" s="161"/>
      <c r="AR127" s="162"/>
      <c r="AS127" s="162"/>
      <c r="AT127" s="164"/>
      <c r="AU127" s="163"/>
    </row>
    <row r="128" spans="1:47" ht="15.95" customHeight="1" x14ac:dyDescent="0.2">
      <c r="A128" s="629"/>
      <c r="B128" s="629"/>
      <c r="C128" s="629"/>
      <c r="D128" s="630"/>
      <c r="E128" s="630"/>
      <c r="F128" s="631"/>
      <c r="G128" s="628" t="s">
        <v>169</v>
      </c>
      <c r="H128" s="113"/>
      <c r="I128" s="129"/>
      <c r="J128" s="129"/>
      <c r="K128" s="129"/>
      <c r="L128" s="130"/>
      <c r="M128" s="162"/>
      <c r="N128" s="162"/>
      <c r="O128" s="163"/>
      <c r="Q128" s="161"/>
      <c r="R128" s="161"/>
      <c r="S128" s="161"/>
      <c r="T128" s="162"/>
      <c r="U128" s="162"/>
      <c r="V128" s="164"/>
      <c r="W128" s="163"/>
      <c r="X128" s="155"/>
      <c r="Y128" s="161"/>
      <c r="Z128" s="161"/>
      <c r="AA128" s="161"/>
      <c r="AB128" s="162"/>
      <c r="AC128" s="162"/>
      <c r="AD128" s="164"/>
      <c r="AE128" s="163"/>
      <c r="AF128" s="155"/>
      <c r="AG128" s="161"/>
      <c r="AH128" s="161"/>
      <c r="AI128" s="161"/>
      <c r="AJ128" s="162"/>
      <c r="AK128" s="162"/>
      <c r="AL128" s="164"/>
      <c r="AM128" s="163"/>
      <c r="AN128" s="155"/>
      <c r="AO128" s="161"/>
      <c r="AP128" s="161"/>
      <c r="AQ128" s="161"/>
      <c r="AR128" s="162"/>
      <c r="AS128" s="162"/>
      <c r="AT128" s="164"/>
      <c r="AU128" s="163"/>
    </row>
    <row r="129" spans="1:47" ht="15.95" customHeight="1" x14ac:dyDescent="0.2">
      <c r="A129" s="629"/>
      <c r="B129" s="629"/>
      <c r="C129" s="629"/>
      <c r="D129" s="630"/>
      <c r="E129" s="630"/>
      <c r="F129" s="631"/>
      <c r="G129" s="628" t="s">
        <v>169</v>
      </c>
      <c r="H129" s="113"/>
      <c r="I129" s="129"/>
      <c r="J129" s="129"/>
      <c r="K129" s="129"/>
      <c r="L129" s="130"/>
      <c r="M129" s="162"/>
      <c r="N129" s="162"/>
      <c r="O129" s="163"/>
      <c r="Q129" s="161"/>
      <c r="R129" s="161"/>
      <c r="S129" s="161"/>
      <c r="T129" s="162"/>
      <c r="U129" s="162"/>
      <c r="V129" s="164"/>
      <c r="W129" s="163"/>
      <c r="X129" s="155"/>
      <c r="Y129" s="161"/>
      <c r="Z129" s="161"/>
      <c r="AA129" s="161"/>
      <c r="AB129" s="162"/>
      <c r="AC129" s="162"/>
      <c r="AD129" s="164"/>
      <c r="AE129" s="163"/>
      <c r="AF129" s="155"/>
      <c r="AG129" s="161"/>
      <c r="AH129" s="161"/>
      <c r="AI129" s="161"/>
      <c r="AJ129" s="162"/>
      <c r="AK129" s="162"/>
      <c r="AL129" s="164"/>
      <c r="AM129" s="163"/>
      <c r="AN129" s="155"/>
      <c r="AO129" s="161"/>
      <c r="AP129" s="161"/>
      <c r="AQ129" s="161"/>
      <c r="AR129" s="162"/>
      <c r="AS129" s="162"/>
      <c r="AT129" s="164"/>
      <c r="AU129" s="163"/>
    </row>
    <row r="130" spans="1:47" ht="15.95" customHeight="1" x14ac:dyDescent="0.2">
      <c r="A130" s="629"/>
      <c r="B130" s="629"/>
      <c r="C130" s="629"/>
      <c r="D130" s="630"/>
      <c r="E130" s="630"/>
      <c r="F130" s="631"/>
      <c r="G130" s="628" t="s">
        <v>169</v>
      </c>
      <c r="H130" s="113"/>
      <c r="I130" s="129"/>
      <c r="J130" s="129"/>
      <c r="K130" s="129"/>
      <c r="L130" s="130"/>
      <c r="M130" s="162"/>
      <c r="N130" s="162"/>
      <c r="O130" s="163"/>
      <c r="Q130" s="161"/>
      <c r="R130" s="161"/>
      <c r="S130" s="161"/>
      <c r="T130" s="162"/>
      <c r="U130" s="162"/>
      <c r="V130" s="164"/>
      <c r="W130" s="163"/>
      <c r="X130" s="155"/>
      <c r="Y130" s="161"/>
      <c r="Z130" s="161"/>
      <c r="AA130" s="161"/>
      <c r="AB130" s="162"/>
      <c r="AC130" s="162"/>
      <c r="AD130" s="164"/>
      <c r="AE130" s="163"/>
      <c r="AF130" s="155"/>
      <c r="AG130" s="161"/>
      <c r="AH130" s="161"/>
      <c r="AI130" s="161"/>
      <c r="AJ130" s="162"/>
      <c r="AK130" s="162"/>
      <c r="AL130" s="164"/>
      <c r="AM130" s="163"/>
      <c r="AN130" s="155"/>
      <c r="AO130" s="161"/>
      <c r="AP130" s="161"/>
      <c r="AQ130" s="161"/>
      <c r="AR130" s="162"/>
      <c r="AS130" s="162"/>
      <c r="AT130" s="164"/>
      <c r="AU130" s="163"/>
    </row>
    <row r="131" spans="1:47" ht="15.95" customHeight="1" x14ac:dyDescent="0.2">
      <c r="A131" s="629"/>
      <c r="B131" s="629"/>
      <c r="C131" s="629"/>
      <c r="D131" s="630"/>
      <c r="E131" s="630"/>
      <c r="F131" s="631"/>
      <c r="G131" s="628" t="s">
        <v>169</v>
      </c>
      <c r="H131" s="113"/>
      <c r="I131" s="129"/>
      <c r="J131" s="129"/>
      <c r="K131" s="129"/>
      <c r="L131" s="130"/>
      <c r="M131" s="162"/>
      <c r="N131" s="162"/>
      <c r="O131" s="163"/>
      <c r="Q131" s="161"/>
      <c r="R131" s="161"/>
      <c r="S131" s="161"/>
      <c r="T131" s="162"/>
      <c r="U131" s="162"/>
      <c r="V131" s="164"/>
      <c r="W131" s="163"/>
      <c r="X131" s="155"/>
      <c r="Y131" s="161"/>
      <c r="Z131" s="161"/>
      <c r="AA131" s="161"/>
      <c r="AB131" s="162"/>
      <c r="AC131" s="162"/>
      <c r="AD131" s="164"/>
      <c r="AE131" s="163"/>
      <c r="AF131" s="155"/>
      <c r="AG131" s="161"/>
      <c r="AH131" s="161"/>
      <c r="AI131" s="161"/>
      <c r="AJ131" s="162"/>
      <c r="AK131" s="162"/>
      <c r="AL131" s="164"/>
      <c r="AM131" s="163"/>
      <c r="AN131" s="155"/>
      <c r="AO131" s="161"/>
      <c r="AP131" s="161"/>
      <c r="AQ131" s="161"/>
      <c r="AR131" s="162"/>
      <c r="AS131" s="162"/>
      <c r="AT131" s="164"/>
      <c r="AU131" s="163"/>
    </row>
    <row r="132" spans="1:47" ht="15.95" customHeight="1" x14ac:dyDescent="0.2">
      <c r="A132" s="629"/>
      <c r="B132" s="629"/>
      <c r="C132" s="629"/>
      <c r="D132" s="630"/>
      <c r="E132" s="630"/>
      <c r="F132" s="631"/>
      <c r="G132" s="628" t="s">
        <v>169</v>
      </c>
      <c r="H132" s="113"/>
      <c r="I132" s="129"/>
      <c r="J132" s="129"/>
      <c r="K132" s="129"/>
      <c r="L132" s="130"/>
      <c r="M132" s="162"/>
      <c r="N132" s="162"/>
      <c r="O132" s="163"/>
      <c r="Q132" s="161"/>
      <c r="R132" s="161"/>
      <c r="S132" s="161"/>
      <c r="T132" s="162"/>
      <c r="U132" s="162"/>
      <c r="V132" s="164"/>
      <c r="W132" s="163"/>
      <c r="X132" s="155"/>
      <c r="Y132" s="161"/>
      <c r="Z132" s="161"/>
      <c r="AA132" s="161"/>
      <c r="AB132" s="162"/>
      <c r="AC132" s="162"/>
      <c r="AD132" s="164"/>
      <c r="AE132" s="163"/>
      <c r="AF132" s="155"/>
      <c r="AG132" s="161"/>
      <c r="AH132" s="161"/>
      <c r="AI132" s="161"/>
      <c r="AJ132" s="162"/>
      <c r="AK132" s="162"/>
      <c r="AL132" s="164"/>
      <c r="AM132" s="163"/>
      <c r="AN132" s="155"/>
      <c r="AO132" s="161"/>
      <c r="AP132" s="161"/>
      <c r="AQ132" s="161"/>
      <c r="AR132" s="162"/>
      <c r="AS132" s="162"/>
      <c r="AT132" s="164"/>
      <c r="AU132" s="163"/>
    </row>
    <row r="133" spans="1:47" ht="15.95" customHeight="1" x14ac:dyDescent="0.2">
      <c r="A133" s="629"/>
      <c r="B133" s="629"/>
      <c r="C133" s="629"/>
      <c r="D133" s="630"/>
      <c r="E133" s="630"/>
      <c r="F133" s="631"/>
      <c r="G133" s="628" t="s">
        <v>169</v>
      </c>
      <c r="H133" s="113"/>
      <c r="I133" s="129"/>
      <c r="J133" s="129"/>
      <c r="K133" s="129"/>
      <c r="L133" s="130"/>
      <c r="M133" s="162"/>
      <c r="N133" s="162"/>
      <c r="O133" s="163"/>
      <c r="Q133" s="161"/>
      <c r="R133" s="161"/>
      <c r="S133" s="161"/>
      <c r="T133" s="162"/>
      <c r="U133" s="162"/>
      <c r="V133" s="164"/>
      <c r="W133" s="163"/>
      <c r="X133" s="155"/>
      <c r="Y133" s="161"/>
      <c r="Z133" s="161"/>
      <c r="AA133" s="161"/>
      <c r="AB133" s="162"/>
      <c r="AC133" s="162"/>
      <c r="AD133" s="164"/>
      <c r="AE133" s="163"/>
      <c r="AF133" s="155"/>
      <c r="AG133" s="161"/>
      <c r="AH133" s="161"/>
      <c r="AI133" s="161"/>
      <c r="AJ133" s="162"/>
      <c r="AK133" s="162"/>
      <c r="AL133" s="164"/>
      <c r="AM133" s="163"/>
      <c r="AN133" s="155"/>
      <c r="AO133" s="161"/>
      <c r="AP133" s="161"/>
      <c r="AQ133" s="161"/>
      <c r="AR133" s="162"/>
      <c r="AS133" s="162"/>
      <c r="AT133" s="164"/>
      <c r="AU133" s="163"/>
    </row>
    <row r="134" spans="1:47" ht="15.95" customHeight="1" x14ac:dyDescent="0.2">
      <c r="A134" s="629"/>
      <c r="B134" s="629"/>
      <c r="C134" s="629"/>
      <c r="D134" s="630"/>
      <c r="E134" s="630"/>
      <c r="F134" s="631"/>
      <c r="G134" s="628" t="s">
        <v>169</v>
      </c>
      <c r="H134" s="113"/>
      <c r="I134" s="129"/>
      <c r="J134" s="129"/>
      <c r="K134" s="129"/>
      <c r="L134" s="130"/>
      <c r="M134" s="162"/>
      <c r="N134" s="162"/>
      <c r="O134" s="163"/>
      <c r="Q134" s="161"/>
      <c r="R134" s="161"/>
      <c r="S134" s="161"/>
      <c r="T134" s="162"/>
      <c r="U134" s="162"/>
      <c r="V134" s="164"/>
      <c r="W134" s="163"/>
      <c r="X134" s="155"/>
      <c r="Y134" s="161"/>
      <c r="Z134" s="161"/>
      <c r="AA134" s="161"/>
      <c r="AB134" s="162"/>
      <c r="AC134" s="162"/>
      <c r="AD134" s="164"/>
      <c r="AE134" s="163"/>
      <c r="AF134" s="155"/>
      <c r="AG134" s="161"/>
      <c r="AH134" s="161"/>
      <c r="AI134" s="161"/>
      <c r="AJ134" s="162"/>
      <c r="AK134" s="162"/>
      <c r="AL134" s="164"/>
      <c r="AM134" s="163"/>
      <c r="AN134" s="155"/>
      <c r="AO134" s="161"/>
      <c r="AP134" s="161"/>
      <c r="AQ134" s="161"/>
      <c r="AR134" s="162"/>
      <c r="AS134" s="162"/>
      <c r="AT134" s="164"/>
      <c r="AU134" s="163"/>
    </row>
    <row r="135" spans="1:47" ht="15.95" customHeight="1" x14ac:dyDescent="0.2">
      <c r="A135" s="629"/>
      <c r="B135" s="629"/>
      <c r="C135" s="629"/>
      <c r="D135" s="630"/>
      <c r="E135" s="630"/>
      <c r="F135" s="631"/>
      <c r="G135" s="628" t="s">
        <v>169</v>
      </c>
      <c r="H135" s="113"/>
      <c r="I135" s="129"/>
      <c r="J135" s="129"/>
      <c r="K135" s="129"/>
      <c r="L135" s="130"/>
      <c r="M135" s="162"/>
      <c r="N135" s="162"/>
      <c r="O135" s="163"/>
      <c r="Q135" s="161"/>
      <c r="R135" s="161"/>
      <c r="S135" s="161"/>
      <c r="T135" s="162"/>
      <c r="U135" s="162"/>
      <c r="V135" s="164"/>
      <c r="W135" s="163"/>
      <c r="X135" s="155"/>
      <c r="Y135" s="161"/>
      <c r="Z135" s="161"/>
      <c r="AA135" s="161"/>
      <c r="AB135" s="162"/>
      <c r="AC135" s="162"/>
      <c r="AD135" s="164"/>
      <c r="AE135" s="163"/>
      <c r="AF135" s="155"/>
      <c r="AG135" s="161"/>
      <c r="AH135" s="161"/>
      <c r="AI135" s="161"/>
      <c r="AJ135" s="162"/>
      <c r="AK135" s="162"/>
      <c r="AL135" s="164"/>
      <c r="AM135" s="163"/>
      <c r="AN135" s="155"/>
      <c r="AO135" s="161"/>
      <c r="AP135" s="161"/>
      <c r="AQ135" s="161"/>
      <c r="AR135" s="162"/>
      <c r="AS135" s="162"/>
      <c r="AT135" s="164"/>
      <c r="AU135" s="163"/>
    </row>
    <row r="136" spans="1:47" ht="15.95" customHeight="1" x14ac:dyDescent="0.2">
      <c r="A136" s="629"/>
      <c r="B136" s="629"/>
      <c r="C136" s="629"/>
      <c r="D136" s="630"/>
      <c r="E136" s="630"/>
      <c r="F136" s="631"/>
      <c r="G136" s="628" t="s">
        <v>169</v>
      </c>
      <c r="H136" s="113"/>
      <c r="I136" s="129"/>
      <c r="J136" s="129"/>
      <c r="K136" s="129"/>
      <c r="L136" s="130"/>
      <c r="M136" s="162"/>
      <c r="N136" s="162"/>
      <c r="O136" s="163"/>
      <c r="Q136" s="161"/>
      <c r="R136" s="161"/>
      <c r="S136" s="161"/>
      <c r="T136" s="162"/>
      <c r="U136" s="162"/>
      <c r="V136" s="164"/>
      <c r="W136" s="163"/>
      <c r="X136" s="155"/>
      <c r="Y136" s="161"/>
      <c r="Z136" s="161"/>
      <c r="AA136" s="161"/>
      <c r="AB136" s="162"/>
      <c r="AC136" s="162"/>
      <c r="AD136" s="164"/>
      <c r="AE136" s="163"/>
      <c r="AF136" s="155"/>
      <c r="AG136" s="161"/>
      <c r="AH136" s="161"/>
      <c r="AI136" s="161"/>
      <c r="AJ136" s="162"/>
      <c r="AK136" s="162"/>
      <c r="AL136" s="164"/>
      <c r="AM136" s="163"/>
      <c r="AN136" s="155"/>
      <c r="AO136" s="161"/>
      <c r="AP136" s="161"/>
      <c r="AQ136" s="161"/>
      <c r="AR136" s="162"/>
      <c r="AS136" s="162"/>
      <c r="AT136" s="164"/>
      <c r="AU136" s="163"/>
    </row>
    <row r="137" spans="1:47" ht="15.95" customHeight="1" x14ac:dyDescent="0.2">
      <c r="A137" s="629"/>
      <c r="B137" s="629"/>
      <c r="C137" s="629"/>
      <c r="D137" s="630"/>
      <c r="E137" s="630"/>
      <c r="F137" s="631"/>
      <c r="G137" s="628" t="s">
        <v>169</v>
      </c>
      <c r="H137" s="113"/>
      <c r="I137" s="129"/>
      <c r="J137" s="129"/>
      <c r="K137" s="129"/>
      <c r="L137" s="130"/>
      <c r="M137" s="162"/>
      <c r="N137" s="162"/>
      <c r="O137" s="163"/>
      <c r="Q137" s="161"/>
      <c r="R137" s="161"/>
      <c r="S137" s="161"/>
      <c r="T137" s="162"/>
      <c r="U137" s="162"/>
      <c r="V137" s="164"/>
      <c r="W137" s="163"/>
      <c r="X137" s="155"/>
      <c r="Y137" s="161"/>
      <c r="Z137" s="161"/>
      <c r="AA137" s="161"/>
      <c r="AB137" s="162"/>
      <c r="AC137" s="162"/>
      <c r="AD137" s="164"/>
      <c r="AE137" s="163"/>
      <c r="AF137" s="155"/>
      <c r="AG137" s="161"/>
      <c r="AH137" s="161"/>
      <c r="AI137" s="161"/>
      <c r="AJ137" s="162"/>
      <c r="AK137" s="162"/>
      <c r="AL137" s="164"/>
      <c r="AM137" s="163"/>
      <c r="AN137" s="155"/>
      <c r="AO137" s="161"/>
      <c r="AP137" s="161"/>
      <c r="AQ137" s="161"/>
      <c r="AR137" s="162"/>
      <c r="AS137" s="162"/>
      <c r="AT137" s="164"/>
      <c r="AU137" s="163"/>
    </row>
    <row r="138" spans="1:47" ht="15.95" customHeight="1" x14ac:dyDescent="0.2">
      <c r="A138" s="629"/>
      <c r="B138" s="629"/>
      <c r="C138" s="629"/>
      <c r="D138" s="630"/>
      <c r="E138" s="630"/>
      <c r="F138" s="631"/>
      <c r="G138" s="628" t="s">
        <v>169</v>
      </c>
      <c r="H138" s="113"/>
      <c r="I138" s="129"/>
      <c r="J138" s="129"/>
      <c r="K138" s="129"/>
      <c r="L138" s="130"/>
      <c r="M138" s="162"/>
      <c r="N138" s="162"/>
      <c r="O138" s="163"/>
      <c r="Q138" s="161"/>
      <c r="R138" s="161"/>
      <c r="S138" s="161"/>
      <c r="T138" s="162"/>
      <c r="U138" s="162"/>
      <c r="V138" s="164"/>
      <c r="W138" s="163"/>
      <c r="X138" s="155"/>
      <c r="Y138" s="161"/>
      <c r="Z138" s="161"/>
      <c r="AA138" s="161"/>
      <c r="AB138" s="162"/>
      <c r="AC138" s="162"/>
      <c r="AD138" s="164"/>
      <c r="AE138" s="163"/>
      <c r="AF138" s="155"/>
      <c r="AG138" s="161"/>
      <c r="AH138" s="161"/>
      <c r="AI138" s="161"/>
      <c r="AJ138" s="162"/>
      <c r="AK138" s="162"/>
      <c r="AL138" s="164"/>
      <c r="AM138" s="163"/>
      <c r="AN138" s="155"/>
      <c r="AO138" s="161"/>
      <c r="AP138" s="161"/>
      <c r="AQ138" s="161"/>
      <c r="AR138" s="162"/>
      <c r="AS138" s="162"/>
      <c r="AT138" s="164"/>
      <c r="AU138" s="163"/>
    </row>
    <row r="139" spans="1:47" ht="15.95" customHeight="1" x14ac:dyDescent="0.2">
      <c r="A139" s="629"/>
      <c r="B139" s="629"/>
      <c r="C139" s="629"/>
      <c r="D139" s="630"/>
      <c r="E139" s="630"/>
      <c r="F139" s="631"/>
      <c r="G139" s="628" t="s">
        <v>169</v>
      </c>
      <c r="H139" s="113"/>
      <c r="I139" s="129"/>
      <c r="J139" s="129"/>
      <c r="K139" s="129"/>
      <c r="L139" s="130"/>
      <c r="M139" s="162"/>
      <c r="N139" s="162"/>
      <c r="O139" s="163"/>
      <c r="Q139" s="161"/>
      <c r="R139" s="161"/>
      <c r="S139" s="161"/>
      <c r="T139" s="162"/>
      <c r="U139" s="162"/>
      <c r="V139" s="164"/>
      <c r="W139" s="163"/>
      <c r="X139" s="155"/>
      <c r="Y139" s="161"/>
      <c r="Z139" s="161"/>
      <c r="AA139" s="161"/>
      <c r="AB139" s="162"/>
      <c r="AC139" s="162"/>
      <c r="AD139" s="164"/>
      <c r="AE139" s="163"/>
      <c r="AF139" s="155"/>
      <c r="AG139" s="161"/>
      <c r="AH139" s="161"/>
      <c r="AI139" s="161"/>
      <c r="AJ139" s="162"/>
      <c r="AK139" s="162"/>
      <c r="AL139" s="164"/>
      <c r="AM139" s="163"/>
      <c r="AN139" s="155"/>
      <c r="AO139" s="161"/>
      <c r="AP139" s="161"/>
      <c r="AQ139" s="161"/>
      <c r="AR139" s="162"/>
      <c r="AS139" s="162"/>
      <c r="AT139" s="164"/>
      <c r="AU139" s="163"/>
    </row>
    <row r="140" spans="1:47" ht="15.95" customHeight="1" x14ac:dyDescent="0.2">
      <c r="A140" s="629"/>
      <c r="B140" s="629"/>
      <c r="C140" s="629"/>
      <c r="D140" s="630"/>
      <c r="E140" s="630"/>
      <c r="F140" s="631"/>
      <c r="G140" s="628" t="s">
        <v>169</v>
      </c>
      <c r="H140" s="113"/>
      <c r="I140" s="129"/>
      <c r="J140" s="129"/>
      <c r="K140" s="129"/>
      <c r="L140" s="130"/>
      <c r="M140" s="162"/>
      <c r="N140" s="162"/>
      <c r="O140" s="163"/>
      <c r="Q140" s="161"/>
      <c r="R140" s="161"/>
      <c r="S140" s="161"/>
      <c r="T140" s="162"/>
      <c r="U140" s="162"/>
      <c r="V140" s="164"/>
      <c r="W140" s="163"/>
      <c r="X140" s="155"/>
      <c r="Y140" s="161"/>
      <c r="Z140" s="161"/>
      <c r="AA140" s="161"/>
      <c r="AB140" s="162"/>
      <c r="AC140" s="162"/>
      <c r="AD140" s="164"/>
      <c r="AE140" s="163"/>
      <c r="AF140" s="155"/>
      <c r="AG140" s="161"/>
      <c r="AH140" s="161"/>
      <c r="AI140" s="161"/>
      <c r="AJ140" s="162"/>
      <c r="AK140" s="162"/>
      <c r="AL140" s="164"/>
      <c r="AM140" s="163"/>
      <c r="AN140" s="155"/>
      <c r="AO140" s="161"/>
      <c r="AP140" s="161"/>
      <c r="AQ140" s="161"/>
      <c r="AR140" s="162"/>
      <c r="AS140" s="162"/>
      <c r="AT140" s="164"/>
      <c r="AU140" s="163"/>
    </row>
    <row r="141" spans="1:47" ht="15.95" customHeight="1" x14ac:dyDescent="0.2">
      <c r="A141" s="629"/>
      <c r="B141" s="629"/>
      <c r="C141" s="629"/>
      <c r="D141" s="630"/>
      <c r="E141" s="630"/>
      <c r="F141" s="631"/>
      <c r="G141" s="628" t="s">
        <v>169</v>
      </c>
      <c r="H141" s="113"/>
      <c r="I141" s="129"/>
      <c r="J141" s="129"/>
      <c r="K141" s="129"/>
      <c r="L141" s="130"/>
      <c r="M141" s="162"/>
      <c r="N141" s="162"/>
      <c r="O141" s="163"/>
      <c r="Q141" s="161"/>
      <c r="R141" s="161"/>
      <c r="S141" s="161"/>
      <c r="T141" s="162"/>
      <c r="U141" s="162"/>
      <c r="V141" s="164"/>
      <c r="W141" s="163"/>
      <c r="X141" s="155"/>
      <c r="Y141" s="161"/>
      <c r="Z141" s="161"/>
      <c r="AA141" s="161"/>
      <c r="AB141" s="162"/>
      <c r="AC141" s="162"/>
      <c r="AD141" s="164"/>
      <c r="AE141" s="163"/>
      <c r="AF141" s="155"/>
      <c r="AG141" s="161"/>
      <c r="AH141" s="161"/>
      <c r="AI141" s="161"/>
      <c r="AJ141" s="162"/>
      <c r="AK141" s="162"/>
      <c r="AL141" s="164"/>
      <c r="AM141" s="163"/>
      <c r="AN141" s="155"/>
      <c r="AO141" s="161"/>
      <c r="AP141" s="161"/>
      <c r="AQ141" s="161"/>
      <c r="AR141" s="162"/>
      <c r="AS141" s="162"/>
      <c r="AT141" s="164"/>
      <c r="AU141" s="163"/>
    </row>
    <row r="142" spans="1:47" ht="15.95" customHeight="1" x14ac:dyDescent="0.2">
      <c r="A142" s="629"/>
      <c r="B142" s="629"/>
      <c r="C142" s="629"/>
      <c r="D142" s="630"/>
      <c r="E142" s="630"/>
      <c r="F142" s="631"/>
      <c r="G142" s="628" t="s">
        <v>169</v>
      </c>
      <c r="H142" s="113"/>
      <c r="I142" s="129"/>
      <c r="J142" s="129"/>
      <c r="K142" s="129"/>
      <c r="L142" s="130"/>
      <c r="M142" s="162"/>
      <c r="N142" s="162"/>
      <c r="O142" s="163"/>
      <c r="Q142" s="161"/>
      <c r="R142" s="161"/>
      <c r="S142" s="161"/>
      <c r="T142" s="162"/>
      <c r="U142" s="162"/>
      <c r="V142" s="164"/>
      <c r="W142" s="163"/>
      <c r="X142" s="155"/>
      <c r="Y142" s="161"/>
      <c r="Z142" s="161"/>
      <c r="AA142" s="161"/>
      <c r="AB142" s="162"/>
      <c r="AC142" s="162"/>
      <c r="AD142" s="164"/>
      <c r="AE142" s="163"/>
      <c r="AF142" s="155"/>
      <c r="AG142" s="161"/>
      <c r="AH142" s="161"/>
      <c r="AI142" s="161"/>
      <c r="AJ142" s="162"/>
      <c r="AK142" s="162"/>
      <c r="AL142" s="164"/>
      <c r="AM142" s="163"/>
      <c r="AN142" s="155"/>
      <c r="AO142" s="161"/>
      <c r="AP142" s="161"/>
      <c r="AQ142" s="161"/>
      <c r="AR142" s="162"/>
      <c r="AS142" s="162"/>
      <c r="AT142" s="164"/>
      <c r="AU142" s="163"/>
    </row>
    <row r="143" spans="1:47" ht="15.95" customHeight="1" x14ac:dyDescent="0.2">
      <c r="A143" s="629"/>
      <c r="B143" s="629"/>
      <c r="C143" s="629"/>
      <c r="D143" s="630"/>
      <c r="E143" s="630"/>
      <c r="F143" s="631"/>
      <c r="G143" s="628" t="s">
        <v>169</v>
      </c>
      <c r="H143" s="113"/>
      <c r="I143" s="129"/>
      <c r="J143" s="129"/>
      <c r="K143" s="129"/>
      <c r="L143" s="130"/>
      <c r="M143" s="162"/>
      <c r="N143" s="162"/>
      <c r="O143" s="163"/>
      <c r="Q143" s="161"/>
      <c r="R143" s="161"/>
      <c r="S143" s="161"/>
      <c r="T143" s="162"/>
      <c r="U143" s="162"/>
      <c r="V143" s="164"/>
      <c r="W143" s="163"/>
      <c r="X143" s="155"/>
      <c r="Y143" s="161"/>
      <c r="Z143" s="161"/>
      <c r="AA143" s="161"/>
      <c r="AB143" s="162"/>
      <c r="AC143" s="162"/>
      <c r="AD143" s="164"/>
      <c r="AE143" s="163"/>
      <c r="AF143" s="155"/>
      <c r="AG143" s="161"/>
      <c r="AH143" s="161"/>
      <c r="AI143" s="161"/>
      <c r="AJ143" s="162"/>
      <c r="AK143" s="162"/>
      <c r="AL143" s="164"/>
      <c r="AM143" s="163"/>
      <c r="AN143" s="155"/>
      <c r="AO143" s="161"/>
      <c r="AP143" s="161"/>
      <c r="AQ143" s="161"/>
      <c r="AR143" s="162"/>
      <c r="AS143" s="162"/>
      <c r="AT143" s="164"/>
      <c r="AU143" s="163"/>
    </row>
    <row r="144" spans="1:47" ht="15.95" customHeight="1" x14ac:dyDescent="0.2">
      <c r="A144" s="629"/>
      <c r="B144" s="629"/>
      <c r="C144" s="629"/>
      <c r="D144" s="630"/>
      <c r="E144" s="630"/>
      <c r="F144" s="631"/>
      <c r="G144" s="628" t="s">
        <v>169</v>
      </c>
      <c r="H144" s="113"/>
      <c r="I144" s="129"/>
      <c r="J144" s="129"/>
      <c r="K144" s="129"/>
      <c r="L144" s="130"/>
      <c r="M144" s="162"/>
      <c r="N144" s="162"/>
      <c r="O144" s="163"/>
      <c r="Q144" s="161"/>
      <c r="R144" s="161"/>
      <c r="S144" s="161"/>
      <c r="T144" s="162"/>
      <c r="U144" s="162"/>
      <c r="V144" s="164"/>
      <c r="W144" s="163"/>
      <c r="X144" s="155"/>
      <c r="Y144" s="161"/>
      <c r="Z144" s="161"/>
      <c r="AA144" s="161"/>
      <c r="AB144" s="162"/>
      <c r="AC144" s="162"/>
      <c r="AD144" s="164"/>
      <c r="AE144" s="163"/>
      <c r="AF144" s="155"/>
      <c r="AG144" s="161"/>
      <c r="AH144" s="161"/>
      <c r="AI144" s="161"/>
      <c r="AJ144" s="162"/>
      <c r="AK144" s="162"/>
      <c r="AL144" s="164"/>
      <c r="AM144" s="163"/>
      <c r="AN144" s="155"/>
      <c r="AO144" s="161"/>
      <c r="AP144" s="161"/>
      <c r="AQ144" s="161"/>
      <c r="AR144" s="162"/>
      <c r="AS144" s="162"/>
      <c r="AT144" s="164"/>
      <c r="AU144" s="163"/>
    </row>
    <row r="145" spans="1:47" ht="15.95" customHeight="1" x14ac:dyDescent="0.2">
      <c r="A145" s="629"/>
      <c r="B145" s="629"/>
      <c r="C145" s="629"/>
      <c r="D145" s="630"/>
      <c r="E145" s="630"/>
      <c r="F145" s="631"/>
      <c r="G145" s="628" t="s">
        <v>169</v>
      </c>
      <c r="H145" s="113"/>
      <c r="I145" s="129"/>
      <c r="J145" s="129"/>
      <c r="K145" s="129"/>
      <c r="L145" s="130"/>
      <c r="M145" s="162"/>
      <c r="N145" s="162"/>
      <c r="O145" s="163"/>
      <c r="Q145" s="161"/>
      <c r="R145" s="161"/>
      <c r="S145" s="161"/>
      <c r="T145" s="162"/>
      <c r="U145" s="162"/>
      <c r="V145" s="164"/>
      <c r="W145" s="163"/>
      <c r="X145" s="155"/>
      <c r="Y145" s="161"/>
      <c r="Z145" s="161"/>
      <c r="AA145" s="161"/>
      <c r="AB145" s="162"/>
      <c r="AC145" s="162"/>
      <c r="AD145" s="164"/>
      <c r="AE145" s="163"/>
      <c r="AF145" s="155"/>
      <c r="AG145" s="161"/>
      <c r="AH145" s="161"/>
      <c r="AI145" s="161"/>
      <c r="AJ145" s="162"/>
      <c r="AK145" s="162"/>
      <c r="AL145" s="164"/>
      <c r="AM145" s="163"/>
      <c r="AN145" s="155"/>
      <c r="AO145" s="161"/>
      <c r="AP145" s="161"/>
      <c r="AQ145" s="161"/>
      <c r="AR145" s="162"/>
      <c r="AS145" s="162"/>
      <c r="AT145" s="164"/>
      <c r="AU145" s="163"/>
    </row>
    <row r="146" spans="1:47" ht="15.95" customHeight="1" x14ac:dyDescent="0.2">
      <c r="A146" s="629"/>
      <c r="B146" s="629"/>
      <c r="C146" s="629"/>
      <c r="D146" s="630"/>
      <c r="E146" s="630"/>
      <c r="F146" s="631"/>
      <c r="G146" s="628" t="s">
        <v>169</v>
      </c>
      <c r="H146" s="113"/>
      <c r="I146" s="129"/>
      <c r="J146" s="129"/>
      <c r="K146" s="129"/>
      <c r="L146" s="130"/>
      <c r="M146" s="162"/>
      <c r="N146" s="162"/>
      <c r="O146" s="163"/>
      <c r="Q146" s="161"/>
      <c r="R146" s="161"/>
      <c r="S146" s="161"/>
      <c r="T146" s="162"/>
      <c r="U146" s="162"/>
      <c r="V146" s="164"/>
      <c r="W146" s="163"/>
      <c r="X146" s="155"/>
      <c r="Y146" s="161"/>
      <c r="Z146" s="161"/>
      <c r="AA146" s="161"/>
      <c r="AB146" s="162"/>
      <c r="AC146" s="162"/>
      <c r="AD146" s="164"/>
      <c r="AE146" s="163"/>
      <c r="AF146" s="155"/>
      <c r="AG146" s="161"/>
      <c r="AH146" s="161"/>
      <c r="AI146" s="161"/>
      <c r="AJ146" s="162"/>
      <c r="AK146" s="162"/>
      <c r="AL146" s="164"/>
      <c r="AM146" s="163"/>
      <c r="AN146" s="155"/>
      <c r="AO146" s="161"/>
      <c r="AP146" s="161"/>
      <c r="AQ146" s="161"/>
      <c r="AR146" s="162"/>
      <c r="AS146" s="162"/>
      <c r="AT146" s="164"/>
      <c r="AU146" s="163"/>
    </row>
    <row r="147" spans="1:47" ht="15.95" customHeight="1" x14ac:dyDescent="0.2">
      <c r="A147" s="629"/>
      <c r="B147" s="629"/>
      <c r="C147" s="629"/>
      <c r="D147" s="630"/>
      <c r="E147" s="630"/>
      <c r="F147" s="631"/>
      <c r="G147" s="628" t="s">
        <v>169</v>
      </c>
      <c r="H147" s="113"/>
      <c r="I147" s="129"/>
      <c r="J147" s="129"/>
      <c r="K147" s="129"/>
      <c r="L147" s="130"/>
      <c r="M147" s="162"/>
      <c r="N147" s="162"/>
      <c r="O147" s="163"/>
      <c r="Q147" s="161"/>
      <c r="R147" s="161"/>
      <c r="S147" s="161"/>
      <c r="T147" s="162"/>
      <c r="U147" s="162"/>
      <c r="V147" s="164"/>
      <c r="W147" s="163"/>
      <c r="X147" s="155"/>
      <c r="Y147" s="161"/>
      <c r="Z147" s="161"/>
      <c r="AA147" s="161"/>
      <c r="AB147" s="162"/>
      <c r="AC147" s="162"/>
      <c r="AD147" s="164"/>
      <c r="AE147" s="163"/>
      <c r="AF147" s="155"/>
      <c r="AG147" s="161"/>
      <c r="AH147" s="161"/>
      <c r="AI147" s="161"/>
      <c r="AJ147" s="162"/>
      <c r="AK147" s="162"/>
      <c r="AL147" s="164"/>
      <c r="AM147" s="163"/>
      <c r="AN147" s="155"/>
      <c r="AO147" s="161"/>
      <c r="AP147" s="161"/>
      <c r="AQ147" s="161"/>
      <c r="AR147" s="162"/>
      <c r="AS147" s="162"/>
      <c r="AT147" s="164"/>
      <c r="AU147" s="163"/>
    </row>
    <row r="148" spans="1:47" ht="15.95" customHeight="1" x14ac:dyDescent="0.2">
      <c r="A148" s="629"/>
      <c r="B148" s="629"/>
      <c r="C148" s="629"/>
      <c r="D148" s="630"/>
      <c r="E148" s="630"/>
      <c r="F148" s="631"/>
      <c r="G148" s="628" t="s">
        <v>169</v>
      </c>
      <c r="H148" s="113"/>
      <c r="I148" s="129"/>
      <c r="J148" s="129"/>
      <c r="K148" s="129"/>
      <c r="L148" s="130"/>
      <c r="M148" s="162"/>
      <c r="N148" s="162"/>
      <c r="O148" s="163"/>
      <c r="Q148" s="161"/>
      <c r="R148" s="161"/>
      <c r="S148" s="161"/>
      <c r="T148" s="162"/>
      <c r="U148" s="162"/>
      <c r="V148" s="164"/>
      <c r="W148" s="163"/>
      <c r="X148" s="155"/>
      <c r="Y148" s="161"/>
      <c r="Z148" s="161"/>
      <c r="AA148" s="161"/>
      <c r="AB148" s="162"/>
      <c r="AC148" s="162"/>
      <c r="AD148" s="164"/>
      <c r="AE148" s="163"/>
      <c r="AF148" s="155"/>
      <c r="AG148" s="161"/>
      <c r="AH148" s="161"/>
      <c r="AI148" s="161"/>
      <c r="AJ148" s="162"/>
      <c r="AK148" s="162"/>
      <c r="AL148" s="164"/>
      <c r="AM148" s="163"/>
      <c r="AN148" s="155"/>
      <c r="AO148" s="161"/>
      <c r="AP148" s="161"/>
      <c r="AQ148" s="161"/>
      <c r="AR148" s="162"/>
      <c r="AS148" s="162"/>
      <c r="AT148" s="164"/>
      <c r="AU148" s="163"/>
    </row>
    <row r="149" spans="1:47" ht="15.95" customHeight="1" x14ac:dyDescent="0.2">
      <c r="A149" s="629"/>
      <c r="B149" s="629"/>
      <c r="C149" s="629"/>
      <c r="D149" s="630"/>
      <c r="E149" s="630"/>
      <c r="F149" s="631"/>
      <c r="G149" s="628" t="s">
        <v>169</v>
      </c>
      <c r="H149" s="113"/>
      <c r="I149" s="129"/>
      <c r="J149" s="129"/>
      <c r="K149" s="129"/>
      <c r="L149" s="130"/>
      <c r="M149" s="162"/>
      <c r="N149" s="162"/>
      <c r="O149" s="163"/>
      <c r="Q149" s="161"/>
      <c r="R149" s="161"/>
      <c r="S149" s="161"/>
      <c r="T149" s="162"/>
      <c r="U149" s="162"/>
      <c r="V149" s="164"/>
      <c r="W149" s="163"/>
      <c r="X149" s="155"/>
      <c r="Y149" s="161"/>
      <c r="Z149" s="161"/>
      <c r="AA149" s="161"/>
      <c r="AB149" s="162"/>
      <c r="AC149" s="162"/>
      <c r="AD149" s="164"/>
      <c r="AE149" s="163"/>
      <c r="AF149" s="155"/>
      <c r="AG149" s="161"/>
      <c r="AH149" s="161"/>
      <c r="AI149" s="161"/>
      <c r="AJ149" s="162"/>
      <c r="AK149" s="162"/>
      <c r="AL149" s="164"/>
      <c r="AM149" s="163"/>
      <c r="AN149" s="155"/>
      <c r="AO149" s="161"/>
      <c r="AP149" s="161"/>
      <c r="AQ149" s="161"/>
      <c r="AR149" s="162"/>
      <c r="AS149" s="162"/>
      <c r="AT149" s="164"/>
      <c r="AU149" s="163"/>
    </row>
    <row r="150" spans="1:47" ht="15.95" customHeight="1" x14ac:dyDescent="0.2">
      <c r="A150" s="629"/>
      <c r="B150" s="629"/>
      <c r="C150" s="629"/>
      <c r="D150" s="630"/>
      <c r="E150" s="630"/>
      <c r="F150" s="631"/>
      <c r="G150" s="628" t="s">
        <v>169</v>
      </c>
      <c r="H150" s="113"/>
      <c r="I150" s="129"/>
      <c r="J150" s="129"/>
      <c r="K150" s="129"/>
      <c r="L150" s="130"/>
      <c r="M150" s="162"/>
      <c r="N150" s="162"/>
      <c r="O150" s="163"/>
      <c r="Q150" s="161"/>
      <c r="R150" s="161"/>
      <c r="S150" s="161"/>
      <c r="T150" s="162"/>
      <c r="U150" s="162"/>
      <c r="V150" s="164"/>
      <c r="W150" s="163"/>
      <c r="X150" s="155"/>
      <c r="Y150" s="161"/>
      <c r="Z150" s="161"/>
      <c r="AA150" s="161"/>
      <c r="AB150" s="162"/>
      <c r="AC150" s="162"/>
      <c r="AD150" s="164"/>
      <c r="AE150" s="163"/>
      <c r="AF150" s="155"/>
      <c r="AG150" s="161"/>
      <c r="AH150" s="161"/>
      <c r="AI150" s="161"/>
      <c r="AJ150" s="162"/>
      <c r="AK150" s="162"/>
      <c r="AL150" s="164"/>
      <c r="AM150" s="163"/>
      <c r="AN150" s="155"/>
      <c r="AO150" s="161"/>
      <c r="AP150" s="161"/>
      <c r="AQ150" s="161"/>
      <c r="AR150" s="162"/>
      <c r="AS150" s="162"/>
      <c r="AT150" s="164"/>
      <c r="AU150" s="163"/>
    </row>
    <row r="151" spans="1:47" ht="15.95" customHeight="1" x14ac:dyDescent="0.2">
      <c r="A151" s="629"/>
      <c r="B151" s="629"/>
      <c r="C151" s="629"/>
      <c r="D151" s="630"/>
      <c r="E151" s="630"/>
      <c r="F151" s="631"/>
      <c r="G151" s="628" t="s">
        <v>169</v>
      </c>
      <c r="H151" s="113"/>
      <c r="I151" s="129"/>
      <c r="J151" s="129"/>
      <c r="K151" s="129"/>
      <c r="L151" s="130"/>
      <c r="M151" s="162"/>
      <c r="N151" s="162"/>
      <c r="O151" s="163"/>
      <c r="Q151" s="161"/>
      <c r="R151" s="161"/>
      <c r="S151" s="161"/>
      <c r="T151" s="162"/>
      <c r="U151" s="162"/>
      <c r="V151" s="164"/>
      <c r="W151" s="163"/>
      <c r="X151" s="155"/>
      <c r="Y151" s="161"/>
      <c r="Z151" s="161"/>
      <c r="AA151" s="161"/>
      <c r="AB151" s="162"/>
      <c r="AC151" s="162"/>
      <c r="AD151" s="164"/>
      <c r="AE151" s="163"/>
      <c r="AF151" s="155"/>
      <c r="AG151" s="161"/>
      <c r="AH151" s="161"/>
      <c r="AI151" s="161"/>
      <c r="AJ151" s="162"/>
      <c r="AK151" s="162"/>
      <c r="AL151" s="164"/>
      <c r="AM151" s="163"/>
      <c r="AN151" s="155"/>
      <c r="AO151" s="161"/>
      <c r="AP151" s="161"/>
      <c r="AQ151" s="161"/>
      <c r="AR151" s="162"/>
      <c r="AS151" s="162"/>
      <c r="AT151" s="164"/>
      <c r="AU151" s="163"/>
    </row>
    <row r="152" spans="1:47" ht="15.95" customHeight="1" x14ac:dyDescent="0.2">
      <c r="A152" s="629"/>
      <c r="B152" s="629"/>
      <c r="C152" s="629"/>
      <c r="D152" s="630"/>
      <c r="E152" s="630"/>
      <c r="F152" s="631"/>
      <c r="G152" s="628" t="s">
        <v>169</v>
      </c>
      <c r="H152" s="113"/>
      <c r="I152" s="129"/>
      <c r="J152" s="129"/>
      <c r="K152" s="129"/>
      <c r="L152" s="130"/>
      <c r="M152" s="162"/>
      <c r="N152" s="162"/>
      <c r="O152" s="163"/>
      <c r="Q152" s="161"/>
      <c r="R152" s="161"/>
      <c r="S152" s="161"/>
      <c r="T152" s="162"/>
      <c r="U152" s="162"/>
      <c r="V152" s="164"/>
      <c r="W152" s="163"/>
      <c r="X152" s="155"/>
      <c r="Y152" s="161"/>
      <c r="Z152" s="161"/>
      <c r="AA152" s="161"/>
      <c r="AB152" s="162"/>
      <c r="AC152" s="162"/>
      <c r="AD152" s="164"/>
      <c r="AE152" s="163"/>
      <c r="AF152" s="155"/>
      <c r="AG152" s="161"/>
      <c r="AH152" s="161"/>
      <c r="AI152" s="161"/>
      <c r="AJ152" s="162"/>
      <c r="AK152" s="162"/>
      <c r="AL152" s="164"/>
      <c r="AM152" s="163"/>
      <c r="AN152" s="155"/>
      <c r="AO152" s="161"/>
      <c r="AP152" s="161"/>
      <c r="AQ152" s="161"/>
      <c r="AR152" s="162"/>
      <c r="AS152" s="162"/>
      <c r="AT152" s="164"/>
      <c r="AU152" s="163"/>
    </row>
    <row r="153" spans="1:47" ht="15.95" customHeight="1" x14ac:dyDescent="0.2">
      <c r="A153" s="629"/>
      <c r="B153" s="629"/>
      <c r="C153" s="629"/>
      <c r="D153" s="630"/>
      <c r="E153" s="630"/>
      <c r="F153" s="631"/>
      <c r="G153" s="628" t="s">
        <v>169</v>
      </c>
      <c r="H153" s="113"/>
      <c r="I153" s="129"/>
      <c r="J153" s="129"/>
      <c r="K153" s="129"/>
      <c r="L153" s="130"/>
      <c r="M153" s="162"/>
      <c r="N153" s="162"/>
      <c r="O153" s="163"/>
      <c r="Q153" s="161"/>
      <c r="R153" s="161"/>
      <c r="S153" s="161"/>
      <c r="T153" s="162"/>
      <c r="U153" s="162"/>
      <c r="V153" s="164"/>
      <c r="W153" s="163"/>
      <c r="X153" s="155"/>
      <c r="Y153" s="161"/>
      <c r="Z153" s="161"/>
      <c r="AA153" s="161"/>
      <c r="AB153" s="162"/>
      <c r="AC153" s="162"/>
      <c r="AD153" s="164"/>
      <c r="AE153" s="163"/>
      <c r="AF153" s="155"/>
      <c r="AG153" s="161"/>
      <c r="AH153" s="161"/>
      <c r="AI153" s="161"/>
      <c r="AJ153" s="162"/>
      <c r="AK153" s="162"/>
      <c r="AL153" s="164"/>
      <c r="AM153" s="163"/>
      <c r="AN153" s="155"/>
      <c r="AO153" s="161"/>
      <c r="AP153" s="161"/>
      <c r="AQ153" s="161"/>
      <c r="AR153" s="162"/>
      <c r="AS153" s="162"/>
      <c r="AT153" s="164"/>
      <c r="AU153" s="163"/>
    </row>
    <row r="154" spans="1:47" ht="15.95" customHeight="1" x14ac:dyDescent="0.2">
      <c r="A154" s="629"/>
      <c r="B154" s="629"/>
      <c r="C154" s="629"/>
      <c r="D154" s="630"/>
      <c r="E154" s="630"/>
      <c r="F154" s="631"/>
      <c r="G154" s="628" t="s">
        <v>169</v>
      </c>
      <c r="H154" s="113"/>
      <c r="I154" s="129"/>
      <c r="J154" s="129"/>
      <c r="K154" s="129"/>
      <c r="L154" s="130"/>
      <c r="M154" s="162"/>
      <c r="N154" s="162"/>
      <c r="O154" s="163"/>
      <c r="Q154" s="161"/>
      <c r="R154" s="161"/>
      <c r="S154" s="161"/>
      <c r="T154" s="162"/>
      <c r="U154" s="162"/>
      <c r="V154" s="164"/>
      <c r="W154" s="163"/>
      <c r="X154" s="155"/>
      <c r="Y154" s="161"/>
      <c r="Z154" s="161"/>
      <c r="AA154" s="161"/>
      <c r="AB154" s="162"/>
      <c r="AC154" s="162"/>
      <c r="AD154" s="164"/>
      <c r="AE154" s="163"/>
      <c r="AF154" s="155"/>
      <c r="AG154" s="161"/>
      <c r="AH154" s="161"/>
      <c r="AI154" s="161"/>
      <c r="AJ154" s="162"/>
      <c r="AK154" s="162"/>
      <c r="AL154" s="164"/>
      <c r="AM154" s="163"/>
      <c r="AN154" s="155"/>
      <c r="AO154" s="161"/>
      <c r="AP154" s="161"/>
      <c r="AQ154" s="161"/>
      <c r="AR154" s="162"/>
      <c r="AS154" s="162"/>
      <c r="AT154" s="164"/>
      <c r="AU154" s="163"/>
    </row>
    <row r="155" spans="1:47" ht="15.95" customHeight="1" x14ac:dyDescent="0.2">
      <c r="A155" s="629"/>
      <c r="B155" s="629"/>
      <c r="C155" s="629"/>
      <c r="D155" s="630"/>
      <c r="E155" s="630"/>
      <c r="F155" s="631"/>
      <c r="G155" s="628" t="s">
        <v>169</v>
      </c>
      <c r="H155" s="113"/>
      <c r="I155" s="129"/>
      <c r="J155" s="129"/>
      <c r="K155" s="129"/>
      <c r="L155" s="130"/>
      <c r="M155" s="162"/>
      <c r="N155" s="162"/>
      <c r="O155" s="163"/>
      <c r="Q155" s="161"/>
      <c r="R155" s="161"/>
      <c r="S155" s="161"/>
      <c r="T155" s="162"/>
      <c r="U155" s="162"/>
      <c r="V155" s="164"/>
      <c r="W155" s="163"/>
      <c r="X155" s="155"/>
      <c r="Y155" s="161"/>
      <c r="Z155" s="161"/>
      <c r="AA155" s="161"/>
      <c r="AB155" s="162"/>
      <c r="AC155" s="162"/>
      <c r="AD155" s="164"/>
      <c r="AE155" s="163"/>
      <c r="AF155" s="155"/>
      <c r="AG155" s="161"/>
      <c r="AH155" s="161"/>
      <c r="AI155" s="161"/>
      <c r="AJ155" s="162"/>
      <c r="AK155" s="162"/>
      <c r="AL155" s="164"/>
      <c r="AM155" s="163"/>
      <c r="AN155" s="155"/>
      <c r="AO155" s="161"/>
      <c r="AP155" s="161"/>
      <c r="AQ155" s="161"/>
      <c r="AR155" s="162"/>
      <c r="AS155" s="162"/>
      <c r="AT155" s="164"/>
      <c r="AU155" s="163"/>
    </row>
    <row r="156" spans="1:47" ht="15.95" customHeight="1" x14ac:dyDescent="0.2">
      <c r="A156" s="629"/>
      <c r="B156" s="629"/>
      <c r="C156" s="629"/>
      <c r="D156" s="630"/>
      <c r="E156" s="630"/>
      <c r="F156" s="631"/>
      <c r="G156" s="628" t="s">
        <v>169</v>
      </c>
      <c r="H156" s="113"/>
      <c r="I156" s="129"/>
      <c r="J156" s="129"/>
      <c r="K156" s="129"/>
      <c r="L156" s="130"/>
      <c r="M156" s="162"/>
      <c r="N156" s="162"/>
      <c r="O156" s="163"/>
      <c r="Q156" s="161"/>
      <c r="R156" s="161"/>
      <c r="S156" s="161"/>
      <c r="T156" s="162"/>
      <c r="U156" s="162"/>
      <c r="V156" s="164"/>
      <c r="W156" s="163"/>
      <c r="X156" s="155"/>
      <c r="Y156" s="161"/>
      <c r="Z156" s="161"/>
      <c r="AA156" s="161"/>
      <c r="AB156" s="162"/>
      <c r="AC156" s="162"/>
      <c r="AD156" s="164"/>
      <c r="AE156" s="163"/>
      <c r="AF156" s="155"/>
      <c r="AG156" s="161"/>
      <c r="AH156" s="161"/>
      <c r="AI156" s="161"/>
      <c r="AJ156" s="162"/>
      <c r="AK156" s="162"/>
      <c r="AL156" s="164"/>
      <c r="AM156" s="163"/>
      <c r="AN156" s="155"/>
      <c r="AO156" s="161"/>
      <c r="AP156" s="161"/>
      <c r="AQ156" s="161"/>
      <c r="AR156" s="162"/>
      <c r="AS156" s="162"/>
      <c r="AT156" s="164"/>
      <c r="AU156" s="163"/>
    </row>
    <row r="157" spans="1:47" ht="15.95" customHeight="1" x14ac:dyDescent="0.2">
      <c r="A157" s="629"/>
      <c r="B157" s="629"/>
      <c r="C157" s="629"/>
      <c r="D157" s="630"/>
      <c r="E157" s="630"/>
      <c r="F157" s="631"/>
      <c r="G157" s="628" t="s">
        <v>169</v>
      </c>
      <c r="H157" s="113"/>
      <c r="I157" s="129"/>
      <c r="J157" s="129"/>
      <c r="K157" s="129"/>
      <c r="L157" s="130"/>
      <c r="M157" s="162"/>
      <c r="N157" s="162"/>
      <c r="O157" s="163"/>
      <c r="Q157" s="161"/>
      <c r="R157" s="161"/>
      <c r="S157" s="161"/>
      <c r="T157" s="162"/>
      <c r="U157" s="162"/>
      <c r="V157" s="164"/>
      <c r="W157" s="163"/>
      <c r="X157" s="155"/>
      <c r="Y157" s="161"/>
      <c r="Z157" s="161"/>
      <c r="AA157" s="161"/>
      <c r="AB157" s="162"/>
      <c r="AC157" s="162"/>
      <c r="AD157" s="164"/>
      <c r="AE157" s="163"/>
      <c r="AF157" s="155"/>
      <c r="AG157" s="161"/>
      <c r="AH157" s="161"/>
      <c r="AI157" s="161"/>
      <c r="AJ157" s="162"/>
      <c r="AK157" s="162"/>
      <c r="AL157" s="164"/>
      <c r="AM157" s="163"/>
      <c r="AN157" s="155"/>
      <c r="AO157" s="161"/>
      <c r="AP157" s="161"/>
      <c r="AQ157" s="161"/>
      <c r="AR157" s="162"/>
      <c r="AS157" s="162"/>
      <c r="AT157" s="164"/>
      <c r="AU157" s="163"/>
    </row>
    <row r="158" spans="1:47" ht="15.95" customHeight="1" x14ac:dyDescent="0.2">
      <c r="A158" s="629"/>
      <c r="B158" s="629"/>
      <c r="C158" s="629"/>
      <c r="D158" s="630"/>
      <c r="E158" s="630"/>
      <c r="F158" s="631"/>
      <c r="G158" s="628" t="s">
        <v>169</v>
      </c>
      <c r="H158" s="113"/>
      <c r="I158" s="129"/>
      <c r="J158" s="129"/>
      <c r="K158" s="129"/>
      <c r="L158" s="130"/>
      <c r="M158" s="162"/>
      <c r="N158" s="162"/>
      <c r="O158" s="163"/>
      <c r="Q158" s="161"/>
      <c r="R158" s="161"/>
      <c r="S158" s="161"/>
      <c r="T158" s="162"/>
      <c r="U158" s="162"/>
      <c r="V158" s="164"/>
      <c r="W158" s="163"/>
      <c r="X158" s="155"/>
      <c r="Y158" s="161"/>
      <c r="Z158" s="161"/>
      <c r="AA158" s="161"/>
      <c r="AB158" s="162"/>
      <c r="AC158" s="162"/>
      <c r="AD158" s="164"/>
      <c r="AE158" s="163"/>
      <c r="AF158" s="155"/>
      <c r="AG158" s="161"/>
      <c r="AH158" s="161"/>
      <c r="AI158" s="161"/>
      <c r="AJ158" s="162"/>
      <c r="AK158" s="162"/>
      <c r="AL158" s="164"/>
      <c r="AM158" s="163"/>
      <c r="AN158" s="155"/>
      <c r="AO158" s="161"/>
      <c r="AP158" s="161"/>
      <c r="AQ158" s="161"/>
      <c r="AR158" s="162"/>
      <c r="AS158" s="162"/>
      <c r="AT158" s="164"/>
      <c r="AU158" s="163"/>
    </row>
    <row r="159" spans="1:47" ht="15.95" customHeight="1" x14ac:dyDescent="0.2">
      <c r="A159" s="629"/>
      <c r="B159" s="629"/>
      <c r="C159" s="629"/>
      <c r="D159" s="630"/>
      <c r="E159" s="630"/>
      <c r="F159" s="631"/>
      <c r="G159" s="628" t="s">
        <v>169</v>
      </c>
      <c r="H159" s="113"/>
      <c r="I159" s="129"/>
      <c r="J159" s="129"/>
      <c r="K159" s="129"/>
      <c r="L159" s="130"/>
      <c r="M159" s="162"/>
      <c r="N159" s="162"/>
      <c r="O159" s="163"/>
      <c r="Q159" s="161"/>
      <c r="R159" s="161"/>
      <c r="S159" s="161"/>
      <c r="T159" s="162"/>
      <c r="U159" s="162"/>
      <c r="V159" s="164"/>
      <c r="W159" s="163"/>
      <c r="X159" s="155"/>
      <c r="Y159" s="161"/>
      <c r="Z159" s="161"/>
      <c r="AA159" s="161"/>
      <c r="AB159" s="162"/>
      <c r="AC159" s="162"/>
      <c r="AD159" s="164"/>
      <c r="AE159" s="163"/>
      <c r="AF159" s="155"/>
      <c r="AG159" s="161"/>
      <c r="AH159" s="161"/>
      <c r="AI159" s="161"/>
      <c r="AJ159" s="162"/>
      <c r="AK159" s="162"/>
      <c r="AL159" s="164"/>
      <c r="AM159" s="163"/>
      <c r="AN159" s="155"/>
      <c r="AO159" s="161"/>
      <c r="AP159" s="161"/>
      <c r="AQ159" s="161"/>
      <c r="AR159" s="162"/>
      <c r="AS159" s="162"/>
      <c r="AT159" s="164"/>
      <c r="AU159" s="163"/>
    </row>
    <row r="160" spans="1:47" ht="15.95" customHeight="1" x14ac:dyDescent="0.2">
      <c r="A160" s="629"/>
      <c r="B160" s="629"/>
      <c r="C160" s="629"/>
      <c r="D160" s="630"/>
      <c r="E160" s="630"/>
      <c r="F160" s="631"/>
      <c r="G160" s="628" t="s">
        <v>169</v>
      </c>
      <c r="H160" s="113"/>
      <c r="I160" s="129"/>
      <c r="J160" s="129"/>
      <c r="K160" s="129"/>
      <c r="L160" s="130"/>
      <c r="M160" s="162"/>
      <c r="N160" s="162"/>
      <c r="O160" s="163"/>
      <c r="Q160" s="161"/>
      <c r="R160" s="161"/>
      <c r="S160" s="161"/>
      <c r="T160" s="162"/>
      <c r="U160" s="162"/>
      <c r="V160" s="164"/>
      <c r="W160" s="163"/>
      <c r="X160" s="155"/>
      <c r="Y160" s="161"/>
      <c r="Z160" s="161"/>
      <c r="AA160" s="161"/>
      <c r="AB160" s="162"/>
      <c r="AC160" s="162"/>
      <c r="AD160" s="164"/>
      <c r="AE160" s="163"/>
      <c r="AF160" s="155"/>
      <c r="AG160" s="161"/>
      <c r="AH160" s="161"/>
      <c r="AI160" s="161"/>
      <c r="AJ160" s="162"/>
      <c r="AK160" s="162"/>
      <c r="AL160" s="164"/>
      <c r="AM160" s="163"/>
      <c r="AN160" s="155"/>
      <c r="AO160" s="161"/>
      <c r="AP160" s="161"/>
      <c r="AQ160" s="161"/>
      <c r="AR160" s="162"/>
      <c r="AS160" s="162"/>
      <c r="AT160" s="164"/>
      <c r="AU160" s="163"/>
    </row>
    <row r="161" spans="1:47" ht="15.95" customHeight="1" x14ac:dyDescent="0.2">
      <c r="A161" s="629"/>
      <c r="B161" s="629"/>
      <c r="C161" s="629"/>
      <c r="D161" s="630"/>
      <c r="E161" s="630"/>
      <c r="F161" s="631"/>
      <c r="G161" s="628" t="s">
        <v>169</v>
      </c>
      <c r="H161" s="113"/>
      <c r="I161" s="129"/>
      <c r="J161" s="129"/>
      <c r="K161" s="129"/>
      <c r="L161" s="130"/>
      <c r="M161" s="162"/>
      <c r="N161" s="162"/>
      <c r="O161" s="163"/>
      <c r="Q161" s="161"/>
      <c r="R161" s="161"/>
      <c r="S161" s="161"/>
      <c r="T161" s="162"/>
      <c r="U161" s="162"/>
      <c r="V161" s="164"/>
      <c r="W161" s="163"/>
      <c r="X161" s="155"/>
      <c r="Y161" s="161"/>
      <c r="Z161" s="161"/>
      <c r="AA161" s="161"/>
      <c r="AB161" s="162"/>
      <c r="AC161" s="162"/>
      <c r="AD161" s="164"/>
      <c r="AE161" s="163"/>
      <c r="AF161" s="155"/>
      <c r="AG161" s="161"/>
      <c r="AH161" s="161"/>
      <c r="AI161" s="161"/>
      <c r="AJ161" s="162"/>
      <c r="AK161" s="162"/>
      <c r="AL161" s="164"/>
      <c r="AM161" s="163"/>
      <c r="AN161" s="155"/>
      <c r="AO161" s="161"/>
      <c r="AP161" s="161"/>
      <c r="AQ161" s="161"/>
      <c r="AR161" s="162"/>
      <c r="AS161" s="162"/>
      <c r="AT161" s="164"/>
      <c r="AU161" s="163"/>
    </row>
    <row r="162" spans="1:47" ht="15.95" customHeight="1" x14ac:dyDescent="0.2">
      <c r="A162" s="629"/>
      <c r="B162" s="629"/>
      <c r="C162" s="629"/>
      <c r="D162" s="630"/>
      <c r="E162" s="630"/>
      <c r="F162" s="631"/>
      <c r="G162" s="628" t="s">
        <v>169</v>
      </c>
      <c r="H162" s="113"/>
      <c r="I162" s="129"/>
      <c r="J162" s="129"/>
      <c r="K162" s="129"/>
      <c r="L162" s="130"/>
      <c r="M162" s="162"/>
      <c r="N162" s="162"/>
      <c r="O162" s="163"/>
      <c r="Q162" s="161"/>
      <c r="R162" s="161"/>
      <c r="S162" s="161"/>
      <c r="T162" s="162"/>
      <c r="U162" s="162"/>
      <c r="V162" s="164"/>
      <c r="W162" s="163"/>
      <c r="X162" s="155"/>
      <c r="Y162" s="161"/>
      <c r="Z162" s="161"/>
      <c r="AA162" s="161"/>
      <c r="AB162" s="162"/>
      <c r="AC162" s="162"/>
      <c r="AD162" s="164"/>
      <c r="AE162" s="163"/>
      <c r="AF162" s="155"/>
      <c r="AG162" s="161"/>
      <c r="AH162" s="161"/>
      <c r="AI162" s="161"/>
      <c r="AJ162" s="162"/>
      <c r="AK162" s="162"/>
      <c r="AL162" s="164"/>
      <c r="AM162" s="163"/>
      <c r="AN162" s="155"/>
      <c r="AO162" s="161"/>
      <c r="AP162" s="161"/>
      <c r="AQ162" s="161"/>
      <c r="AR162" s="162"/>
      <c r="AS162" s="162"/>
      <c r="AT162" s="164"/>
      <c r="AU162" s="163"/>
    </row>
    <row r="163" spans="1:47" ht="15.95" customHeight="1" x14ac:dyDescent="0.2">
      <c r="A163" s="629"/>
      <c r="B163" s="629"/>
      <c r="C163" s="629"/>
      <c r="D163" s="630"/>
      <c r="E163" s="630"/>
      <c r="F163" s="631"/>
      <c r="G163" s="628" t="s">
        <v>169</v>
      </c>
      <c r="H163" s="113"/>
      <c r="I163" s="129"/>
      <c r="J163" s="129"/>
      <c r="K163" s="129"/>
      <c r="L163" s="130"/>
      <c r="M163" s="162"/>
      <c r="N163" s="162"/>
      <c r="O163" s="163"/>
      <c r="Q163" s="161"/>
      <c r="R163" s="161"/>
      <c r="S163" s="161"/>
      <c r="T163" s="162"/>
      <c r="U163" s="162"/>
      <c r="V163" s="164"/>
      <c r="W163" s="163"/>
      <c r="X163" s="155"/>
      <c r="Y163" s="161"/>
      <c r="Z163" s="161"/>
      <c r="AA163" s="161"/>
      <c r="AB163" s="162"/>
      <c r="AC163" s="162"/>
      <c r="AD163" s="164"/>
      <c r="AE163" s="163"/>
      <c r="AF163" s="155"/>
      <c r="AG163" s="161"/>
      <c r="AH163" s="161"/>
      <c r="AI163" s="161"/>
      <c r="AJ163" s="162"/>
      <c r="AK163" s="162"/>
      <c r="AL163" s="164"/>
      <c r="AM163" s="163"/>
      <c r="AN163" s="155"/>
      <c r="AO163" s="161"/>
      <c r="AP163" s="161"/>
      <c r="AQ163" s="161"/>
      <c r="AR163" s="162"/>
      <c r="AS163" s="162"/>
      <c r="AT163" s="164"/>
      <c r="AU163" s="163"/>
    </row>
    <row r="164" spans="1:47" ht="15.95" customHeight="1" x14ac:dyDescent="0.2">
      <c r="A164" s="629"/>
      <c r="B164" s="629"/>
      <c r="C164" s="629"/>
      <c r="D164" s="630"/>
      <c r="E164" s="630"/>
      <c r="F164" s="631"/>
      <c r="G164" s="628" t="s">
        <v>169</v>
      </c>
      <c r="H164" s="113"/>
      <c r="I164" s="129"/>
      <c r="J164" s="129"/>
      <c r="K164" s="129"/>
      <c r="L164" s="130"/>
      <c r="M164" s="162"/>
      <c r="N164" s="162"/>
      <c r="O164" s="163"/>
      <c r="Q164" s="161"/>
      <c r="R164" s="161"/>
      <c r="S164" s="161"/>
      <c r="T164" s="162"/>
      <c r="U164" s="162"/>
      <c r="V164" s="164"/>
      <c r="W164" s="163"/>
      <c r="X164" s="155"/>
      <c r="Y164" s="161"/>
      <c r="Z164" s="161"/>
      <c r="AA164" s="161"/>
      <c r="AB164" s="162"/>
      <c r="AC164" s="162"/>
      <c r="AD164" s="164"/>
      <c r="AE164" s="163"/>
      <c r="AF164" s="155"/>
      <c r="AG164" s="161"/>
      <c r="AH164" s="161"/>
      <c r="AI164" s="161"/>
      <c r="AJ164" s="162"/>
      <c r="AK164" s="162"/>
      <c r="AL164" s="164"/>
      <c r="AM164" s="163"/>
      <c r="AN164" s="155"/>
      <c r="AO164" s="161"/>
      <c r="AP164" s="161"/>
      <c r="AQ164" s="161"/>
      <c r="AR164" s="162"/>
      <c r="AS164" s="162"/>
      <c r="AT164" s="164"/>
      <c r="AU164" s="163"/>
    </row>
    <row r="165" spans="1:47" ht="15.95" customHeight="1" x14ac:dyDescent="0.2">
      <c r="A165" s="629"/>
      <c r="B165" s="629"/>
      <c r="C165" s="629"/>
      <c r="D165" s="630"/>
      <c r="E165" s="630"/>
      <c r="F165" s="631"/>
      <c r="G165" s="628" t="s">
        <v>169</v>
      </c>
      <c r="H165" s="113"/>
      <c r="I165" s="129"/>
      <c r="J165" s="129"/>
      <c r="K165" s="129"/>
      <c r="L165" s="130"/>
      <c r="M165" s="162"/>
      <c r="N165" s="162"/>
      <c r="O165" s="163"/>
      <c r="Q165" s="161"/>
      <c r="R165" s="161"/>
      <c r="S165" s="161"/>
      <c r="T165" s="162"/>
      <c r="U165" s="162"/>
      <c r="V165" s="164"/>
      <c r="W165" s="163"/>
      <c r="X165" s="155"/>
      <c r="Y165" s="161"/>
      <c r="Z165" s="161"/>
      <c r="AA165" s="161"/>
      <c r="AB165" s="162"/>
      <c r="AC165" s="162"/>
      <c r="AD165" s="164"/>
      <c r="AE165" s="163"/>
      <c r="AF165" s="155"/>
      <c r="AG165" s="161"/>
      <c r="AH165" s="161"/>
      <c r="AI165" s="161"/>
      <c r="AJ165" s="162"/>
      <c r="AK165" s="162"/>
      <c r="AL165" s="164"/>
      <c r="AM165" s="163"/>
      <c r="AN165" s="155"/>
      <c r="AO165" s="161"/>
      <c r="AP165" s="161"/>
      <c r="AQ165" s="161"/>
      <c r="AR165" s="162"/>
      <c r="AS165" s="162"/>
      <c r="AT165" s="164"/>
      <c r="AU165" s="163"/>
    </row>
    <row r="166" spans="1:47" ht="15.95" customHeight="1" x14ac:dyDescent="0.2">
      <c r="A166" s="629"/>
      <c r="B166" s="629"/>
      <c r="C166" s="629"/>
      <c r="D166" s="630"/>
      <c r="E166" s="630"/>
      <c r="F166" s="631"/>
      <c r="G166" s="628" t="s">
        <v>169</v>
      </c>
      <c r="H166" s="113"/>
      <c r="I166" s="129"/>
      <c r="J166" s="129"/>
      <c r="K166" s="129"/>
      <c r="L166" s="130"/>
      <c r="M166" s="162"/>
      <c r="N166" s="162"/>
      <c r="O166" s="163"/>
      <c r="Q166" s="161"/>
      <c r="R166" s="161"/>
      <c r="S166" s="161"/>
      <c r="T166" s="162"/>
      <c r="U166" s="162"/>
      <c r="V166" s="164"/>
      <c r="W166" s="163"/>
      <c r="X166" s="155"/>
      <c r="Y166" s="161"/>
      <c r="Z166" s="161"/>
      <c r="AA166" s="161"/>
      <c r="AB166" s="162"/>
      <c r="AC166" s="162"/>
      <c r="AD166" s="164"/>
      <c r="AE166" s="163"/>
      <c r="AF166" s="155"/>
      <c r="AG166" s="161"/>
      <c r="AH166" s="161"/>
      <c r="AI166" s="161"/>
      <c r="AJ166" s="162"/>
      <c r="AK166" s="162"/>
      <c r="AL166" s="164"/>
      <c r="AM166" s="163"/>
      <c r="AN166" s="155"/>
      <c r="AO166" s="161"/>
      <c r="AP166" s="161"/>
      <c r="AQ166" s="161"/>
      <c r="AR166" s="162"/>
      <c r="AS166" s="162"/>
      <c r="AT166" s="164"/>
      <c r="AU166" s="163"/>
    </row>
    <row r="167" spans="1:47" ht="15.95" customHeight="1" x14ac:dyDescent="0.2">
      <c r="A167" s="629"/>
      <c r="B167" s="629"/>
      <c r="C167" s="629"/>
      <c r="D167" s="630"/>
      <c r="E167" s="630"/>
      <c r="F167" s="631"/>
      <c r="G167" s="628" t="s">
        <v>169</v>
      </c>
      <c r="H167" s="113"/>
      <c r="I167" s="129"/>
      <c r="J167" s="129"/>
      <c r="K167" s="129"/>
      <c r="L167" s="130"/>
      <c r="M167" s="162"/>
      <c r="N167" s="162"/>
      <c r="O167" s="163"/>
      <c r="Q167" s="161"/>
      <c r="R167" s="161"/>
      <c r="S167" s="161"/>
      <c r="T167" s="162"/>
      <c r="U167" s="162"/>
      <c r="V167" s="164"/>
      <c r="W167" s="163"/>
      <c r="X167" s="155"/>
      <c r="Y167" s="161"/>
      <c r="Z167" s="161"/>
      <c r="AA167" s="161"/>
      <c r="AB167" s="162"/>
      <c r="AC167" s="162"/>
      <c r="AD167" s="164"/>
      <c r="AE167" s="163"/>
      <c r="AF167" s="155"/>
      <c r="AG167" s="161"/>
      <c r="AH167" s="161"/>
      <c r="AI167" s="161"/>
      <c r="AJ167" s="162"/>
      <c r="AK167" s="162"/>
      <c r="AL167" s="164"/>
      <c r="AM167" s="163"/>
      <c r="AN167" s="155"/>
      <c r="AO167" s="161"/>
      <c r="AP167" s="161"/>
      <c r="AQ167" s="161"/>
      <c r="AR167" s="162"/>
      <c r="AS167" s="162"/>
      <c r="AT167" s="164"/>
      <c r="AU167" s="163"/>
    </row>
    <row r="168" spans="1:47" ht="15.95" customHeight="1" x14ac:dyDescent="0.2">
      <c r="A168" s="629"/>
      <c r="B168" s="629"/>
      <c r="C168" s="629"/>
      <c r="D168" s="630"/>
      <c r="E168" s="630"/>
      <c r="F168" s="631"/>
      <c r="G168" s="628" t="s">
        <v>169</v>
      </c>
      <c r="H168" s="113"/>
      <c r="I168" s="129"/>
      <c r="J168" s="129"/>
      <c r="K168" s="129"/>
      <c r="L168" s="130"/>
      <c r="M168" s="162"/>
      <c r="N168" s="162"/>
      <c r="O168" s="163"/>
      <c r="Q168" s="161"/>
      <c r="R168" s="161"/>
      <c r="S168" s="161"/>
      <c r="T168" s="162"/>
      <c r="U168" s="162"/>
      <c r="V168" s="164"/>
      <c r="W168" s="163"/>
      <c r="X168" s="155"/>
      <c r="Y168" s="161"/>
      <c r="Z168" s="161"/>
      <c r="AA168" s="161"/>
      <c r="AB168" s="162"/>
      <c r="AC168" s="162"/>
      <c r="AD168" s="164"/>
      <c r="AE168" s="163"/>
      <c r="AF168" s="155"/>
      <c r="AG168" s="161"/>
      <c r="AH168" s="161"/>
      <c r="AI168" s="161"/>
      <c r="AJ168" s="162"/>
      <c r="AK168" s="162"/>
      <c r="AL168" s="164"/>
      <c r="AM168" s="163"/>
      <c r="AN168" s="155"/>
      <c r="AO168" s="161"/>
      <c r="AP168" s="161"/>
      <c r="AQ168" s="161"/>
      <c r="AR168" s="162"/>
      <c r="AS168" s="162"/>
      <c r="AT168" s="164"/>
      <c r="AU168" s="163"/>
    </row>
    <row r="169" spans="1:47" ht="15.95" customHeight="1" x14ac:dyDescent="0.2">
      <c r="A169" s="629"/>
      <c r="B169" s="629"/>
      <c r="C169" s="629"/>
      <c r="D169" s="630"/>
      <c r="E169" s="630"/>
      <c r="F169" s="631"/>
      <c r="G169" s="628" t="s">
        <v>169</v>
      </c>
      <c r="H169" s="113"/>
      <c r="I169" s="129"/>
      <c r="J169" s="129"/>
      <c r="K169" s="129"/>
      <c r="L169" s="130"/>
      <c r="M169" s="162"/>
      <c r="N169" s="162"/>
      <c r="O169" s="163"/>
      <c r="Q169" s="161"/>
      <c r="R169" s="161"/>
      <c r="S169" s="161"/>
      <c r="T169" s="162"/>
      <c r="U169" s="162"/>
      <c r="V169" s="164"/>
      <c r="W169" s="163"/>
      <c r="X169" s="155"/>
      <c r="Y169" s="161"/>
      <c r="Z169" s="161"/>
      <c r="AA169" s="161"/>
      <c r="AB169" s="162"/>
      <c r="AC169" s="162"/>
      <c r="AD169" s="164"/>
      <c r="AE169" s="163"/>
      <c r="AF169" s="155"/>
      <c r="AG169" s="161"/>
      <c r="AH169" s="161"/>
      <c r="AI169" s="161"/>
      <c r="AJ169" s="162"/>
      <c r="AK169" s="162"/>
      <c r="AL169" s="164"/>
      <c r="AM169" s="163"/>
      <c r="AN169" s="155"/>
      <c r="AO169" s="161"/>
      <c r="AP169" s="161"/>
      <c r="AQ169" s="161"/>
      <c r="AR169" s="162"/>
      <c r="AS169" s="162"/>
      <c r="AT169" s="164"/>
      <c r="AU169" s="163"/>
    </row>
    <row r="170" spans="1:47" ht="15.95" customHeight="1" x14ac:dyDescent="0.2">
      <c r="A170" s="629"/>
      <c r="B170" s="629"/>
      <c r="C170" s="629"/>
      <c r="D170" s="630"/>
      <c r="E170" s="630"/>
      <c r="F170" s="631"/>
      <c r="G170" s="628" t="s">
        <v>169</v>
      </c>
      <c r="H170" s="113"/>
      <c r="I170" s="129"/>
      <c r="J170" s="129"/>
      <c r="K170" s="129"/>
      <c r="L170" s="130"/>
      <c r="M170" s="162"/>
      <c r="N170" s="162"/>
      <c r="O170" s="163"/>
      <c r="Q170" s="161"/>
      <c r="R170" s="161"/>
      <c r="S170" s="161"/>
      <c r="T170" s="162"/>
      <c r="U170" s="162"/>
      <c r="V170" s="164"/>
      <c r="W170" s="163"/>
      <c r="X170" s="155"/>
      <c r="Y170" s="161"/>
      <c r="Z170" s="161"/>
      <c r="AA170" s="161"/>
      <c r="AB170" s="162"/>
      <c r="AC170" s="162"/>
      <c r="AD170" s="164"/>
      <c r="AE170" s="163"/>
      <c r="AF170" s="155"/>
      <c r="AG170" s="161"/>
      <c r="AH170" s="161"/>
      <c r="AI170" s="161"/>
      <c r="AJ170" s="162"/>
      <c r="AK170" s="162"/>
      <c r="AL170" s="164"/>
      <c r="AM170" s="163"/>
      <c r="AN170" s="155"/>
      <c r="AO170" s="161"/>
      <c r="AP170" s="161"/>
      <c r="AQ170" s="161"/>
      <c r="AR170" s="162"/>
      <c r="AS170" s="162"/>
      <c r="AT170" s="164"/>
      <c r="AU170" s="163"/>
    </row>
    <row r="171" spans="1:47" ht="15.95" customHeight="1" x14ac:dyDescent="0.2">
      <c r="A171" s="629"/>
      <c r="B171" s="629"/>
      <c r="C171" s="629"/>
      <c r="D171" s="630"/>
      <c r="E171" s="630"/>
      <c r="F171" s="631"/>
      <c r="G171" s="628" t="s">
        <v>169</v>
      </c>
      <c r="H171" s="113"/>
      <c r="I171" s="129"/>
      <c r="J171" s="129"/>
      <c r="K171" s="129"/>
      <c r="L171" s="130"/>
      <c r="M171" s="162"/>
      <c r="N171" s="162"/>
      <c r="O171" s="163"/>
      <c r="Q171" s="161"/>
      <c r="R171" s="161"/>
      <c r="S171" s="161"/>
      <c r="T171" s="162"/>
      <c r="U171" s="162"/>
      <c r="V171" s="164"/>
      <c r="W171" s="163"/>
      <c r="X171" s="155"/>
      <c r="Y171" s="161"/>
      <c r="Z171" s="161"/>
      <c r="AA171" s="161"/>
      <c r="AB171" s="162"/>
      <c r="AC171" s="162"/>
      <c r="AD171" s="164"/>
      <c r="AE171" s="163"/>
      <c r="AF171" s="155"/>
      <c r="AG171" s="161"/>
      <c r="AH171" s="161"/>
      <c r="AI171" s="161"/>
      <c r="AJ171" s="162"/>
      <c r="AK171" s="162"/>
      <c r="AL171" s="164"/>
      <c r="AM171" s="163"/>
      <c r="AN171" s="155"/>
      <c r="AO171" s="161"/>
      <c r="AP171" s="161"/>
      <c r="AQ171" s="161"/>
      <c r="AR171" s="162"/>
      <c r="AS171" s="162"/>
      <c r="AT171" s="164"/>
      <c r="AU171" s="163"/>
    </row>
    <row r="172" spans="1:47" ht="15.95" customHeight="1" x14ac:dyDescent="0.2">
      <c r="A172" s="629"/>
      <c r="B172" s="629"/>
      <c r="C172" s="629"/>
      <c r="D172" s="630"/>
      <c r="E172" s="630"/>
      <c r="F172" s="631"/>
      <c r="G172" s="628" t="s">
        <v>169</v>
      </c>
      <c r="H172" s="113"/>
      <c r="I172" s="129"/>
      <c r="J172" s="129"/>
      <c r="K172" s="129"/>
      <c r="L172" s="130"/>
      <c r="M172" s="162"/>
      <c r="N172" s="162"/>
      <c r="O172" s="163"/>
      <c r="Q172" s="161"/>
      <c r="R172" s="161"/>
      <c r="S172" s="161"/>
      <c r="T172" s="162"/>
      <c r="U172" s="162"/>
      <c r="V172" s="164"/>
      <c r="W172" s="163"/>
      <c r="X172" s="155"/>
      <c r="Y172" s="161"/>
      <c r="Z172" s="161"/>
      <c r="AA172" s="161"/>
      <c r="AB172" s="162"/>
      <c r="AC172" s="162"/>
      <c r="AD172" s="164"/>
      <c r="AE172" s="163"/>
      <c r="AF172" s="155"/>
      <c r="AG172" s="161"/>
      <c r="AH172" s="161"/>
      <c r="AI172" s="161"/>
      <c r="AJ172" s="162"/>
      <c r="AK172" s="162"/>
      <c r="AL172" s="164"/>
      <c r="AM172" s="163"/>
      <c r="AN172" s="155"/>
      <c r="AO172" s="161"/>
      <c r="AP172" s="161"/>
      <c r="AQ172" s="161"/>
      <c r="AR172" s="162"/>
      <c r="AS172" s="162"/>
      <c r="AT172" s="164"/>
      <c r="AU172" s="163"/>
    </row>
    <row r="173" spans="1:47" ht="15.95" customHeight="1" x14ac:dyDescent="0.2">
      <c r="A173" s="629"/>
      <c r="B173" s="629"/>
      <c r="C173" s="629"/>
      <c r="D173" s="630"/>
      <c r="E173" s="630"/>
      <c r="F173" s="631"/>
      <c r="G173" s="628" t="s">
        <v>169</v>
      </c>
      <c r="H173" s="113"/>
      <c r="I173" s="129"/>
      <c r="J173" s="129"/>
      <c r="K173" s="129"/>
      <c r="L173" s="130"/>
      <c r="M173" s="162"/>
      <c r="N173" s="162"/>
      <c r="O173" s="163"/>
      <c r="Q173" s="161"/>
      <c r="R173" s="161"/>
      <c r="S173" s="161"/>
      <c r="T173" s="162"/>
      <c r="U173" s="162"/>
      <c r="V173" s="164"/>
      <c r="W173" s="163"/>
      <c r="X173" s="155"/>
      <c r="Y173" s="161"/>
      <c r="Z173" s="161"/>
      <c r="AA173" s="161"/>
      <c r="AB173" s="162"/>
      <c r="AC173" s="162"/>
      <c r="AD173" s="164"/>
      <c r="AE173" s="163"/>
      <c r="AF173" s="155"/>
      <c r="AG173" s="161"/>
      <c r="AH173" s="161"/>
      <c r="AI173" s="161"/>
      <c r="AJ173" s="162"/>
      <c r="AK173" s="162"/>
      <c r="AL173" s="164"/>
      <c r="AM173" s="163"/>
      <c r="AN173" s="155"/>
      <c r="AO173" s="161"/>
      <c r="AP173" s="161"/>
      <c r="AQ173" s="161"/>
      <c r="AR173" s="162"/>
      <c r="AS173" s="162"/>
      <c r="AT173" s="164"/>
      <c r="AU173" s="163"/>
    </row>
    <row r="174" spans="1:47" ht="15.95" customHeight="1" x14ac:dyDescent="0.2">
      <c r="A174" s="629"/>
      <c r="B174" s="629"/>
      <c r="C174" s="629"/>
      <c r="D174" s="630"/>
      <c r="E174" s="630"/>
      <c r="F174" s="631"/>
      <c r="G174" s="628" t="s">
        <v>169</v>
      </c>
      <c r="H174" s="113"/>
      <c r="I174" s="129"/>
      <c r="J174" s="129"/>
      <c r="K174" s="129"/>
      <c r="L174" s="130"/>
      <c r="M174" s="162"/>
      <c r="N174" s="162"/>
      <c r="O174" s="163"/>
      <c r="Q174" s="161"/>
      <c r="R174" s="161"/>
      <c r="S174" s="161"/>
      <c r="T174" s="162"/>
      <c r="U174" s="162"/>
      <c r="V174" s="164"/>
      <c r="W174" s="163"/>
      <c r="X174" s="155"/>
      <c r="Y174" s="161"/>
      <c r="Z174" s="161"/>
      <c r="AA174" s="161"/>
      <c r="AB174" s="162"/>
      <c r="AC174" s="162"/>
      <c r="AD174" s="164"/>
      <c r="AE174" s="163"/>
      <c r="AF174" s="155"/>
      <c r="AG174" s="161"/>
      <c r="AH174" s="161"/>
      <c r="AI174" s="161"/>
      <c r="AJ174" s="162"/>
      <c r="AK174" s="162"/>
      <c r="AL174" s="164"/>
      <c r="AM174" s="163"/>
      <c r="AN174" s="155"/>
      <c r="AO174" s="161"/>
      <c r="AP174" s="161"/>
      <c r="AQ174" s="161"/>
      <c r="AR174" s="162"/>
      <c r="AS174" s="162"/>
      <c r="AT174" s="164"/>
      <c r="AU174" s="163"/>
    </row>
    <row r="175" spans="1:47" ht="15.95" customHeight="1" x14ac:dyDescent="0.2">
      <c r="A175" s="629"/>
      <c r="B175" s="629"/>
      <c r="C175" s="629"/>
      <c r="D175" s="630"/>
      <c r="E175" s="630"/>
      <c r="F175" s="631"/>
      <c r="G175" s="628" t="s">
        <v>169</v>
      </c>
      <c r="H175" s="113"/>
      <c r="I175" s="129"/>
      <c r="J175" s="129"/>
      <c r="K175" s="129"/>
      <c r="L175" s="130"/>
      <c r="M175" s="162"/>
      <c r="N175" s="162"/>
      <c r="O175" s="163"/>
      <c r="Q175" s="161"/>
      <c r="R175" s="161"/>
      <c r="S175" s="161"/>
      <c r="T175" s="162"/>
      <c r="U175" s="162"/>
      <c r="V175" s="164"/>
      <c r="W175" s="163"/>
      <c r="X175" s="155"/>
      <c r="Y175" s="161"/>
      <c r="Z175" s="161"/>
      <c r="AA175" s="161"/>
      <c r="AB175" s="162"/>
      <c r="AC175" s="162"/>
      <c r="AD175" s="164"/>
      <c r="AE175" s="163"/>
      <c r="AF175" s="155"/>
      <c r="AG175" s="161"/>
      <c r="AH175" s="161"/>
      <c r="AI175" s="161"/>
      <c r="AJ175" s="162"/>
      <c r="AK175" s="162"/>
      <c r="AL175" s="164"/>
      <c r="AM175" s="163"/>
      <c r="AN175" s="155"/>
      <c r="AO175" s="161"/>
      <c r="AP175" s="161"/>
      <c r="AQ175" s="161"/>
      <c r="AR175" s="162"/>
      <c r="AS175" s="162"/>
      <c r="AT175" s="164"/>
      <c r="AU175" s="163"/>
    </row>
    <row r="176" spans="1:47" ht="15.95" customHeight="1" x14ac:dyDescent="0.2">
      <c r="A176" s="629"/>
      <c r="B176" s="629"/>
      <c r="C176" s="629"/>
      <c r="D176" s="630"/>
      <c r="E176" s="630"/>
      <c r="F176" s="631"/>
      <c r="G176" s="628" t="s">
        <v>169</v>
      </c>
      <c r="H176" s="113"/>
      <c r="I176" s="129"/>
      <c r="J176" s="129"/>
      <c r="K176" s="129"/>
      <c r="L176" s="130"/>
      <c r="M176" s="162"/>
      <c r="N176" s="162"/>
      <c r="O176" s="163"/>
      <c r="Q176" s="161"/>
      <c r="R176" s="161"/>
      <c r="S176" s="161"/>
      <c r="T176" s="162"/>
      <c r="U176" s="162"/>
      <c r="V176" s="164"/>
      <c r="W176" s="163"/>
      <c r="X176" s="155"/>
      <c r="Y176" s="161"/>
      <c r="Z176" s="161"/>
      <c r="AA176" s="161"/>
      <c r="AB176" s="162"/>
      <c r="AC176" s="162"/>
      <c r="AD176" s="164"/>
      <c r="AE176" s="163"/>
      <c r="AF176" s="155"/>
      <c r="AG176" s="161"/>
      <c r="AH176" s="161"/>
      <c r="AI176" s="161"/>
      <c r="AJ176" s="162"/>
      <c r="AK176" s="162"/>
      <c r="AL176" s="164"/>
      <c r="AM176" s="163"/>
      <c r="AN176" s="155"/>
      <c r="AO176" s="161"/>
      <c r="AP176" s="161"/>
      <c r="AQ176" s="161"/>
      <c r="AR176" s="162"/>
      <c r="AS176" s="162"/>
      <c r="AT176" s="164"/>
      <c r="AU176" s="163"/>
    </row>
    <row r="177" spans="1:47" ht="15.95" customHeight="1" x14ac:dyDescent="0.2">
      <c r="A177" s="629"/>
      <c r="B177" s="629"/>
      <c r="C177" s="629"/>
      <c r="D177" s="630"/>
      <c r="E177" s="630"/>
      <c r="F177" s="631"/>
      <c r="G177" s="628" t="s">
        <v>169</v>
      </c>
      <c r="H177" s="113"/>
      <c r="I177" s="129"/>
      <c r="J177" s="129"/>
      <c r="K177" s="129"/>
      <c r="L177" s="130"/>
      <c r="M177" s="162"/>
      <c r="N177" s="162"/>
      <c r="O177" s="163"/>
      <c r="Q177" s="161"/>
      <c r="R177" s="161"/>
      <c r="S177" s="161"/>
      <c r="T177" s="162"/>
      <c r="U177" s="162"/>
      <c r="V177" s="164"/>
      <c r="W177" s="163"/>
      <c r="X177" s="155"/>
      <c r="Y177" s="161"/>
      <c r="Z177" s="161"/>
      <c r="AA177" s="161"/>
      <c r="AB177" s="162"/>
      <c r="AC177" s="162"/>
      <c r="AD177" s="164"/>
      <c r="AE177" s="163"/>
      <c r="AF177" s="155"/>
      <c r="AG177" s="161"/>
      <c r="AH177" s="161"/>
      <c r="AI177" s="161"/>
      <c r="AJ177" s="162"/>
      <c r="AK177" s="162"/>
      <c r="AL177" s="164"/>
      <c r="AM177" s="163"/>
      <c r="AN177" s="155"/>
      <c r="AO177" s="161"/>
      <c r="AP177" s="161"/>
      <c r="AQ177" s="161"/>
      <c r="AR177" s="162"/>
      <c r="AS177" s="162"/>
      <c r="AT177" s="164"/>
      <c r="AU177" s="163"/>
    </row>
    <row r="178" spans="1:47" ht="15.95" customHeight="1" x14ac:dyDescent="0.2">
      <c r="A178" s="629"/>
      <c r="B178" s="629"/>
      <c r="C178" s="629"/>
      <c r="D178" s="630"/>
      <c r="E178" s="630"/>
      <c r="F178" s="631"/>
      <c r="G178" s="628" t="s">
        <v>169</v>
      </c>
      <c r="H178" s="113"/>
      <c r="I178" s="129"/>
      <c r="J178" s="129"/>
      <c r="K178" s="129"/>
      <c r="L178" s="130"/>
      <c r="M178" s="162"/>
      <c r="N178" s="162"/>
      <c r="O178" s="163"/>
      <c r="Q178" s="161"/>
      <c r="R178" s="161"/>
      <c r="S178" s="161"/>
      <c r="T178" s="162"/>
      <c r="U178" s="162"/>
      <c r="V178" s="164"/>
      <c r="W178" s="163"/>
      <c r="X178" s="155"/>
      <c r="Y178" s="161"/>
      <c r="Z178" s="161"/>
      <c r="AA178" s="161"/>
      <c r="AB178" s="162"/>
      <c r="AC178" s="162"/>
      <c r="AD178" s="164"/>
      <c r="AE178" s="163"/>
      <c r="AF178" s="155"/>
      <c r="AG178" s="161"/>
      <c r="AH178" s="161"/>
      <c r="AI178" s="161"/>
      <c r="AJ178" s="162"/>
      <c r="AK178" s="162"/>
      <c r="AL178" s="164"/>
      <c r="AM178" s="163"/>
      <c r="AN178" s="155"/>
      <c r="AO178" s="161"/>
      <c r="AP178" s="161"/>
      <c r="AQ178" s="161"/>
      <c r="AR178" s="162"/>
      <c r="AS178" s="162"/>
      <c r="AT178" s="164"/>
      <c r="AU178" s="163"/>
    </row>
    <row r="179" spans="1:47" ht="15.95" customHeight="1" x14ac:dyDescent="0.2">
      <c r="A179" s="629"/>
      <c r="B179" s="629"/>
      <c r="C179" s="629"/>
      <c r="D179" s="630"/>
      <c r="E179" s="630"/>
      <c r="F179" s="631"/>
      <c r="G179" s="628" t="s">
        <v>169</v>
      </c>
      <c r="H179" s="113"/>
      <c r="I179" s="129"/>
      <c r="J179" s="129"/>
      <c r="K179" s="129"/>
      <c r="L179" s="130"/>
      <c r="M179" s="162"/>
      <c r="N179" s="162"/>
      <c r="O179" s="163"/>
      <c r="Q179" s="161"/>
      <c r="R179" s="161"/>
      <c r="S179" s="161"/>
      <c r="T179" s="162"/>
      <c r="U179" s="162"/>
      <c r="V179" s="164"/>
      <c r="W179" s="163"/>
      <c r="X179" s="155"/>
      <c r="Y179" s="161"/>
      <c r="Z179" s="161"/>
      <c r="AA179" s="161"/>
      <c r="AB179" s="162"/>
      <c r="AC179" s="162"/>
      <c r="AD179" s="164"/>
      <c r="AE179" s="163"/>
      <c r="AF179" s="155"/>
      <c r="AG179" s="161"/>
      <c r="AH179" s="161"/>
      <c r="AI179" s="161"/>
      <c r="AJ179" s="162"/>
      <c r="AK179" s="162"/>
      <c r="AL179" s="164"/>
      <c r="AM179" s="163"/>
      <c r="AN179" s="155"/>
      <c r="AO179" s="161"/>
      <c r="AP179" s="161"/>
      <c r="AQ179" s="161"/>
      <c r="AR179" s="162"/>
      <c r="AS179" s="162"/>
      <c r="AT179" s="164"/>
      <c r="AU179" s="163"/>
    </row>
    <row r="180" spans="1:47" ht="15.95" customHeight="1" x14ac:dyDescent="0.2">
      <c r="A180" s="629"/>
      <c r="B180" s="629"/>
      <c r="C180" s="629"/>
      <c r="D180" s="630"/>
      <c r="E180" s="630"/>
      <c r="F180" s="631"/>
      <c r="G180" s="628" t="s">
        <v>169</v>
      </c>
      <c r="H180" s="113"/>
      <c r="I180" s="129"/>
      <c r="J180" s="129"/>
      <c r="K180" s="129"/>
      <c r="L180" s="130"/>
      <c r="M180" s="162"/>
      <c r="N180" s="162"/>
      <c r="O180" s="163"/>
      <c r="Q180" s="161"/>
      <c r="R180" s="161"/>
      <c r="S180" s="161"/>
      <c r="T180" s="162"/>
      <c r="U180" s="162"/>
      <c r="V180" s="164"/>
      <c r="W180" s="163"/>
      <c r="X180" s="155"/>
      <c r="Y180" s="161"/>
      <c r="Z180" s="161"/>
      <c r="AA180" s="161"/>
      <c r="AB180" s="162"/>
      <c r="AC180" s="162"/>
      <c r="AD180" s="164"/>
      <c r="AE180" s="163"/>
      <c r="AF180" s="155"/>
      <c r="AG180" s="161"/>
      <c r="AH180" s="161"/>
      <c r="AI180" s="161"/>
      <c r="AJ180" s="162"/>
      <c r="AK180" s="162"/>
      <c r="AL180" s="164"/>
      <c r="AM180" s="163"/>
      <c r="AN180" s="155"/>
      <c r="AO180" s="161"/>
      <c r="AP180" s="161"/>
      <c r="AQ180" s="161"/>
      <c r="AR180" s="162"/>
      <c r="AS180" s="162"/>
      <c r="AT180" s="164"/>
      <c r="AU180" s="163"/>
    </row>
    <row r="181" spans="1:47" ht="15.95" customHeight="1" x14ac:dyDescent="0.2">
      <c r="A181" s="629"/>
      <c r="B181" s="629"/>
      <c r="C181" s="629"/>
      <c r="D181" s="630"/>
      <c r="E181" s="630"/>
      <c r="F181" s="631"/>
      <c r="G181" s="628" t="s">
        <v>169</v>
      </c>
      <c r="H181" s="113"/>
      <c r="I181" s="129"/>
      <c r="J181" s="129"/>
      <c r="K181" s="129"/>
      <c r="L181" s="130"/>
      <c r="M181" s="162"/>
      <c r="N181" s="162"/>
      <c r="O181" s="163"/>
      <c r="Q181" s="161"/>
      <c r="R181" s="161"/>
      <c r="S181" s="161"/>
      <c r="T181" s="162"/>
      <c r="U181" s="162"/>
      <c r="V181" s="164"/>
      <c r="W181" s="163"/>
      <c r="X181" s="155"/>
      <c r="Y181" s="161"/>
      <c r="Z181" s="161"/>
      <c r="AA181" s="161"/>
      <c r="AB181" s="162"/>
      <c r="AC181" s="162"/>
      <c r="AD181" s="164"/>
      <c r="AE181" s="163"/>
      <c r="AF181" s="155"/>
      <c r="AG181" s="161"/>
      <c r="AH181" s="161"/>
      <c r="AI181" s="161"/>
      <c r="AJ181" s="162"/>
      <c r="AK181" s="162"/>
      <c r="AL181" s="164"/>
      <c r="AM181" s="163"/>
      <c r="AN181" s="155"/>
      <c r="AO181" s="161"/>
      <c r="AP181" s="161"/>
      <c r="AQ181" s="161"/>
      <c r="AR181" s="162"/>
      <c r="AS181" s="162"/>
      <c r="AT181" s="164"/>
      <c r="AU181" s="163"/>
    </row>
    <row r="182" spans="1:47" ht="15.95" customHeight="1" x14ac:dyDescent="0.2">
      <c r="A182" s="629"/>
      <c r="B182" s="629"/>
      <c r="C182" s="629"/>
      <c r="D182" s="630"/>
      <c r="E182" s="630"/>
      <c r="F182" s="631"/>
      <c r="G182" s="628" t="s">
        <v>169</v>
      </c>
      <c r="H182" s="113"/>
      <c r="I182" s="129"/>
      <c r="J182" s="129"/>
      <c r="K182" s="129"/>
      <c r="L182" s="130"/>
      <c r="M182" s="162"/>
      <c r="N182" s="162"/>
      <c r="O182" s="163"/>
      <c r="Q182" s="161"/>
      <c r="R182" s="161"/>
      <c r="S182" s="161"/>
      <c r="T182" s="162"/>
      <c r="U182" s="162"/>
      <c r="V182" s="164"/>
      <c r="W182" s="163"/>
      <c r="X182" s="155"/>
      <c r="Y182" s="161"/>
      <c r="Z182" s="161"/>
      <c r="AA182" s="161"/>
      <c r="AB182" s="162"/>
      <c r="AC182" s="162"/>
      <c r="AD182" s="164"/>
      <c r="AE182" s="163"/>
      <c r="AF182" s="155"/>
      <c r="AG182" s="161"/>
      <c r="AH182" s="161"/>
      <c r="AI182" s="161"/>
      <c r="AJ182" s="162"/>
      <c r="AK182" s="162"/>
      <c r="AL182" s="164"/>
      <c r="AM182" s="163"/>
      <c r="AN182" s="155"/>
      <c r="AO182" s="161"/>
      <c r="AP182" s="161"/>
      <c r="AQ182" s="161"/>
      <c r="AR182" s="162"/>
      <c r="AS182" s="162"/>
      <c r="AT182" s="164"/>
      <c r="AU182" s="163"/>
    </row>
    <row r="183" spans="1:47" ht="15.95" customHeight="1" x14ac:dyDescent="0.2">
      <c r="A183" s="629"/>
      <c r="B183" s="629"/>
      <c r="C183" s="629"/>
      <c r="D183" s="630"/>
      <c r="E183" s="630"/>
      <c r="F183" s="631"/>
      <c r="G183" s="628" t="s">
        <v>169</v>
      </c>
      <c r="H183" s="113"/>
      <c r="I183" s="129"/>
      <c r="J183" s="129"/>
      <c r="K183" s="129"/>
      <c r="L183" s="130"/>
      <c r="M183" s="162"/>
      <c r="N183" s="162"/>
      <c r="O183" s="163"/>
      <c r="Q183" s="161"/>
      <c r="R183" s="161"/>
      <c r="S183" s="161"/>
      <c r="T183" s="162"/>
      <c r="U183" s="162"/>
      <c r="V183" s="164"/>
      <c r="W183" s="163"/>
      <c r="X183" s="155"/>
      <c r="Y183" s="161"/>
      <c r="Z183" s="161"/>
      <c r="AA183" s="161"/>
      <c r="AB183" s="162"/>
      <c r="AC183" s="162"/>
      <c r="AD183" s="164"/>
      <c r="AE183" s="163"/>
      <c r="AF183" s="155"/>
      <c r="AG183" s="161"/>
      <c r="AH183" s="161"/>
      <c r="AI183" s="161"/>
      <c r="AJ183" s="162"/>
      <c r="AK183" s="162"/>
      <c r="AL183" s="164"/>
      <c r="AM183" s="163"/>
      <c r="AN183" s="155"/>
      <c r="AO183" s="161"/>
      <c r="AP183" s="161"/>
      <c r="AQ183" s="161"/>
      <c r="AR183" s="162"/>
      <c r="AS183" s="162"/>
      <c r="AT183" s="164"/>
      <c r="AU183" s="163"/>
    </row>
    <row r="184" spans="1:47" ht="15.95" customHeight="1" x14ac:dyDescent="0.2">
      <c r="A184" s="629"/>
      <c r="B184" s="629"/>
      <c r="C184" s="629"/>
      <c r="D184" s="630"/>
      <c r="E184" s="630"/>
      <c r="F184" s="631"/>
      <c r="G184" s="628" t="s">
        <v>169</v>
      </c>
      <c r="H184" s="113"/>
      <c r="I184" s="129"/>
      <c r="J184" s="129"/>
      <c r="K184" s="129"/>
      <c r="L184" s="130"/>
      <c r="M184" s="162"/>
      <c r="N184" s="162"/>
      <c r="O184" s="163"/>
      <c r="Q184" s="161"/>
      <c r="R184" s="161"/>
      <c r="S184" s="161"/>
      <c r="T184" s="162"/>
      <c r="U184" s="162"/>
      <c r="V184" s="164"/>
      <c r="W184" s="163"/>
      <c r="X184" s="155"/>
      <c r="Y184" s="161"/>
      <c r="Z184" s="161"/>
      <c r="AA184" s="161"/>
      <c r="AB184" s="162"/>
      <c r="AC184" s="162"/>
      <c r="AD184" s="164"/>
      <c r="AE184" s="163"/>
      <c r="AF184" s="155"/>
      <c r="AG184" s="161"/>
      <c r="AH184" s="161"/>
      <c r="AI184" s="161"/>
      <c r="AJ184" s="162"/>
      <c r="AK184" s="162"/>
      <c r="AL184" s="164"/>
      <c r="AM184" s="163"/>
      <c r="AN184" s="155"/>
      <c r="AO184" s="161"/>
      <c r="AP184" s="161"/>
      <c r="AQ184" s="161"/>
      <c r="AR184" s="162"/>
      <c r="AS184" s="162"/>
      <c r="AT184" s="164"/>
      <c r="AU184" s="163"/>
    </row>
    <row r="185" spans="1:47" ht="15.95" customHeight="1" x14ac:dyDescent="0.2">
      <c r="A185" s="629"/>
      <c r="B185" s="629"/>
      <c r="C185" s="629"/>
      <c r="D185" s="630"/>
      <c r="E185" s="630"/>
      <c r="F185" s="631"/>
      <c r="G185" s="628" t="s">
        <v>169</v>
      </c>
      <c r="H185" s="113"/>
      <c r="I185" s="129"/>
      <c r="J185" s="129"/>
      <c r="K185" s="129"/>
      <c r="L185" s="130"/>
      <c r="M185" s="162"/>
      <c r="N185" s="162"/>
      <c r="O185" s="163"/>
      <c r="Q185" s="161"/>
      <c r="R185" s="161"/>
      <c r="S185" s="161"/>
      <c r="T185" s="162"/>
      <c r="U185" s="162"/>
      <c r="V185" s="164"/>
      <c r="W185" s="163"/>
      <c r="X185" s="155"/>
      <c r="Y185" s="161"/>
      <c r="Z185" s="161"/>
      <c r="AA185" s="161"/>
      <c r="AB185" s="162"/>
      <c r="AC185" s="162"/>
      <c r="AD185" s="164"/>
      <c r="AE185" s="163"/>
      <c r="AF185" s="155"/>
      <c r="AG185" s="161"/>
      <c r="AH185" s="161"/>
      <c r="AI185" s="161"/>
      <c r="AJ185" s="162"/>
      <c r="AK185" s="162"/>
      <c r="AL185" s="164"/>
      <c r="AM185" s="163"/>
      <c r="AN185" s="155"/>
      <c r="AO185" s="161"/>
      <c r="AP185" s="161"/>
      <c r="AQ185" s="161"/>
      <c r="AR185" s="162"/>
      <c r="AS185" s="162"/>
      <c r="AT185" s="164"/>
      <c r="AU185" s="163"/>
    </row>
    <row r="186" spans="1:47" ht="15.95" customHeight="1" x14ac:dyDescent="0.2">
      <c r="A186" s="629"/>
      <c r="B186" s="629"/>
      <c r="C186" s="629"/>
      <c r="D186" s="630"/>
      <c r="E186" s="630"/>
      <c r="F186" s="631"/>
      <c r="G186" s="628" t="s">
        <v>169</v>
      </c>
      <c r="H186" s="113"/>
      <c r="I186" s="129"/>
      <c r="J186" s="129"/>
      <c r="K186" s="129"/>
      <c r="L186" s="130"/>
      <c r="M186" s="162"/>
      <c r="N186" s="162"/>
      <c r="O186" s="163"/>
      <c r="Q186" s="161"/>
      <c r="R186" s="161"/>
      <c r="S186" s="161"/>
      <c r="T186" s="162"/>
      <c r="U186" s="162"/>
      <c r="V186" s="164"/>
      <c r="W186" s="163"/>
      <c r="X186" s="155"/>
      <c r="Y186" s="161"/>
      <c r="Z186" s="161"/>
      <c r="AA186" s="161"/>
      <c r="AB186" s="162"/>
      <c r="AC186" s="162"/>
      <c r="AD186" s="164"/>
      <c r="AE186" s="163"/>
      <c r="AF186" s="155"/>
      <c r="AG186" s="161"/>
      <c r="AH186" s="161"/>
      <c r="AI186" s="161"/>
      <c r="AJ186" s="162"/>
      <c r="AK186" s="162"/>
      <c r="AL186" s="164"/>
      <c r="AM186" s="163"/>
      <c r="AN186" s="155"/>
      <c r="AO186" s="161"/>
      <c r="AP186" s="161"/>
      <c r="AQ186" s="161"/>
      <c r="AR186" s="162"/>
      <c r="AS186" s="162"/>
      <c r="AT186" s="164"/>
      <c r="AU186" s="163"/>
    </row>
    <row r="187" spans="1:47" ht="15.95" customHeight="1" x14ac:dyDescent="0.2">
      <c r="A187" s="629"/>
      <c r="B187" s="629"/>
      <c r="C187" s="629"/>
      <c r="D187" s="630"/>
      <c r="E187" s="630"/>
      <c r="F187" s="631"/>
      <c r="G187" s="628" t="s">
        <v>169</v>
      </c>
      <c r="H187" s="113"/>
      <c r="I187" s="129"/>
      <c r="J187" s="129"/>
      <c r="K187" s="129"/>
      <c r="L187" s="130"/>
      <c r="M187" s="162"/>
      <c r="N187" s="162"/>
      <c r="O187" s="163"/>
      <c r="Q187" s="161"/>
      <c r="R187" s="161"/>
      <c r="S187" s="161"/>
      <c r="T187" s="162"/>
      <c r="U187" s="162"/>
      <c r="V187" s="164"/>
      <c r="W187" s="163"/>
      <c r="X187" s="155"/>
      <c r="Y187" s="161"/>
      <c r="Z187" s="161"/>
      <c r="AA187" s="161"/>
      <c r="AB187" s="162"/>
      <c r="AC187" s="162"/>
      <c r="AD187" s="164"/>
      <c r="AE187" s="163"/>
      <c r="AF187" s="155"/>
      <c r="AG187" s="161"/>
      <c r="AH187" s="161"/>
      <c r="AI187" s="161"/>
      <c r="AJ187" s="162"/>
      <c r="AK187" s="162"/>
      <c r="AL187" s="164"/>
      <c r="AM187" s="163"/>
      <c r="AN187" s="155"/>
      <c r="AO187" s="161"/>
      <c r="AP187" s="161"/>
      <c r="AQ187" s="161"/>
      <c r="AR187" s="162"/>
      <c r="AS187" s="162"/>
      <c r="AT187" s="164"/>
      <c r="AU187" s="163"/>
    </row>
    <row r="188" spans="1:47" ht="15.95" customHeight="1" x14ac:dyDescent="0.2">
      <c r="A188" s="629"/>
      <c r="B188" s="629"/>
      <c r="C188" s="629"/>
      <c r="D188" s="630"/>
      <c r="E188" s="630"/>
      <c r="F188" s="631"/>
      <c r="G188" s="628" t="s">
        <v>169</v>
      </c>
      <c r="H188" s="113"/>
      <c r="I188" s="129"/>
      <c r="J188" s="129"/>
      <c r="K188" s="129"/>
      <c r="L188" s="130"/>
      <c r="M188" s="162"/>
      <c r="N188" s="162"/>
      <c r="O188" s="163"/>
      <c r="Q188" s="161"/>
      <c r="R188" s="161"/>
      <c r="S188" s="161"/>
      <c r="T188" s="162"/>
      <c r="U188" s="162"/>
      <c r="V188" s="164"/>
      <c r="W188" s="163"/>
      <c r="X188" s="155"/>
      <c r="Y188" s="161"/>
      <c r="Z188" s="161"/>
      <c r="AA188" s="161"/>
      <c r="AB188" s="162"/>
      <c r="AC188" s="162"/>
      <c r="AD188" s="164"/>
      <c r="AE188" s="163"/>
      <c r="AF188" s="155"/>
      <c r="AG188" s="161"/>
      <c r="AH188" s="161"/>
      <c r="AI188" s="161"/>
      <c r="AJ188" s="162"/>
      <c r="AK188" s="162"/>
      <c r="AL188" s="164"/>
      <c r="AM188" s="163"/>
      <c r="AN188" s="155"/>
      <c r="AO188" s="161"/>
      <c r="AP188" s="161"/>
      <c r="AQ188" s="161"/>
      <c r="AR188" s="162"/>
      <c r="AS188" s="162"/>
      <c r="AT188" s="164"/>
      <c r="AU188" s="163"/>
    </row>
    <row r="189" spans="1:47" ht="15.95" customHeight="1" x14ac:dyDescent="0.2">
      <c r="A189" s="629"/>
      <c r="B189" s="629"/>
      <c r="C189" s="629"/>
      <c r="D189" s="630"/>
      <c r="E189" s="630"/>
      <c r="F189" s="631"/>
      <c r="G189" s="628" t="s">
        <v>169</v>
      </c>
      <c r="H189" s="113"/>
      <c r="I189" s="129"/>
      <c r="J189" s="129"/>
      <c r="K189" s="129"/>
      <c r="L189" s="130"/>
      <c r="M189" s="162"/>
      <c r="N189" s="162"/>
      <c r="O189" s="163"/>
      <c r="Q189" s="161"/>
      <c r="R189" s="161"/>
      <c r="S189" s="161"/>
      <c r="T189" s="162"/>
      <c r="U189" s="162"/>
      <c r="V189" s="164"/>
      <c r="W189" s="163"/>
      <c r="X189" s="155"/>
      <c r="Y189" s="161"/>
      <c r="Z189" s="161"/>
      <c r="AA189" s="161"/>
      <c r="AB189" s="162"/>
      <c r="AC189" s="162"/>
      <c r="AD189" s="164"/>
      <c r="AE189" s="163"/>
      <c r="AF189" s="155"/>
      <c r="AG189" s="161"/>
      <c r="AH189" s="161"/>
      <c r="AI189" s="161"/>
      <c r="AJ189" s="162"/>
      <c r="AK189" s="162"/>
      <c r="AL189" s="164"/>
      <c r="AM189" s="163"/>
      <c r="AN189" s="155"/>
      <c r="AO189" s="161"/>
      <c r="AP189" s="161"/>
      <c r="AQ189" s="161"/>
      <c r="AR189" s="162"/>
      <c r="AS189" s="162"/>
      <c r="AT189" s="164"/>
      <c r="AU189" s="163"/>
    </row>
    <row r="190" spans="1:47" ht="15.95" customHeight="1" x14ac:dyDescent="0.2">
      <c r="A190" s="629"/>
      <c r="B190" s="629"/>
      <c r="C190" s="629"/>
      <c r="D190" s="630"/>
      <c r="E190" s="630"/>
      <c r="F190" s="631"/>
      <c r="G190" s="628" t="s">
        <v>169</v>
      </c>
      <c r="H190" s="113"/>
      <c r="I190" s="129"/>
      <c r="J190" s="129"/>
      <c r="K190" s="129"/>
      <c r="L190" s="130"/>
      <c r="M190" s="162"/>
      <c r="N190" s="162"/>
      <c r="O190" s="163"/>
      <c r="Q190" s="161"/>
      <c r="R190" s="161"/>
      <c r="S190" s="161"/>
      <c r="T190" s="162"/>
      <c r="U190" s="162"/>
      <c r="V190" s="164"/>
      <c r="W190" s="163"/>
      <c r="X190" s="155"/>
      <c r="Y190" s="161"/>
      <c r="Z190" s="161"/>
      <c r="AA190" s="161"/>
      <c r="AB190" s="162"/>
      <c r="AC190" s="162"/>
      <c r="AD190" s="164"/>
      <c r="AE190" s="163"/>
      <c r="AF190" s="155"/>
      <c r="AG190" s="161"/>
      <c r="AH190" s="161"/>
      <c r="AI190" s="161"/>
      <c r="AJ190" s="162"/>
      <c r="AK190" s="162"/>
      <c r="AL190" s="164"/>
      <c r="AM190" s="163"/>
      <c r="AN190" s="155"/>
      <c r="AO190" s="161"/>
      <c r="AP190" s="161"/>
      <c r="AQ190" s="161"/>
      <c r="AR190" s="162"/>
      <c r="AS190" s="162"/>
      <c r="AT190" s="164"/>
      <c r="AU190" s="163"/>
    </row>
    <row r="191" spans="1:47" ht="15.95" customHeight="1" x14ac:dyDescent="0.2">
      <c r="A191" s="629"/>
      <c r="B191" s="629"/>
      <c r="C191" s="629"/>
      <c r="D191" s="630"/>
      <c r="E191" s="630"/>
      <c r="F191" s="631"/>
      <c r="G191" s="628" t="s">
        <v>169</v>
      </c>
      <c r="H191" s="113"/>
      <c r="I191" s="129"/>
      <c r="J191" s="129"/>
      <c r="K191" s="129"/>
      <c r="L191" s="130"/>
      <c r="M191" s="162"/>
      <c r="N191" s="162"/>
      <c r="O191" s="163"/>
      <c r="Q191" s="161"/>
      <c r="R191" s="161"/>
      <c r="S191" s="161"/>
      <c r="T191" s="162"/>
      <c r="U191" s="162"/>
      <c r="V191" s="164"/>
      <c r="W191" s="163"/>
      <c r="X191" s="155"/>
      <c r="Y191" s="161"/>
      <c r="Z191" s="161"/>
      <c r="AA191" s="161"/>
      <c r="AB191" s="162"/>
      <c r="AC191" s="162"/>
      <c r="AD191" s="164"/>
      <c r="AE191" s="163"/>
      <c r="AF191" s="155"/>
      <c r="AG191" s="161"/>
      <c r="AH191" s="161"/>
      <c r="AI191" s="161"/>
      <c r="AJ191" s="162"/>
      <c r="AK191" s="162"/>
      <c r="AL191" s="164"/>
      <c r="AM191" s="163"/>
      <c r="AN191" s="155"/>
      <c r="AO191" s="161"/>
      <c r="AP191" s="161"/>
      <c r="AQ191" s="161"/>
      <c r="AR191" s="162"/>
      <c r="AS191" s="162"/>
      <c r="AT191" s="164"/>
      <c r="AU191" s="163"/>
    </row>
    <row r="192" spans="1:47" ht="15.95" customHeight="1" x14ac:dyDescent="0.2">
      <c r="A192" s="629"/>
      <c r="B192" s="629"/>
      <c r="C192" s="629"/>
      <c r="D192" s="630"/>
      <c r="E192" s="630"/>
      <c r="F192" s="631"/>
      <c r="G192" s="628" t="s">
        <v>169</v>
      </c>
      <c r="H192" s="113"/>
      <c r="I192" s="129"/>
      <c r="J192" s="129"/>
      <c r="K192" s="129"/>
      <c r="L192" s="130"/>
      <c r="M192" s="162"/>
      <c r="N192" s="162"/>
      <c r="O192" s="163"/>
      <c r="Q192" s="161"/>
      <c r="R192" s="161"/>
      <c r="S192" s="161"/>
      <c r="T192" s="162"/>
      <c r="U192" s="162"/>
      <c r="V192" s="164"/>
      <c r="W192" s="163"/>
      <c r="X192" s="155"/>
      <c r="Y192" s="161"/>
      <c r="Z192" s="161"/>
      <c r="AA192" s="161"/>
      <c r="AB192" s="162"/>
      <c r="AC192" s="162"/>
      <c r="AD192" s="164"/>
      <c r="AE192" s="163"/>
      <c r="AF192" s="155"/>
      <c r="AG192" s="161"/>
      <c r="AH192" s="161"/>
      <c r="AI192" s="161"/>
      <c r="AJ192" s="162"/>
      <c r="AK192" s="162"/>
      <c r="AL192" s="164"/>
      <c r="AM192" s="163"/>
      <c r="AN192" s="155"/>
      <c r="AO192" s="161"/>
      <c r="AP192" s="161"/>
      <c r="AQ192" s="161"/>
      <c r="AR192" s="162"/>
      <c r="AS192" s="162"/>
      <c r="AT192" s="164"/>
      <c r="AU192" s="163"/>
    </row>
    <row r="193" spans="1:47" ht="15.95" customHeight="1" x14ac:dyDescent="0.2">
      <c r="A193" s="629"/>
      <c r="B193" s="629"/>
      <c r="C193" s="629"/>
      <c r="D193" s="630"/>
      <c r="E193" s="630"/>
      <c r="F193" s="631"/>
      <c r="G193" s="628" t="s">
        <v>169</v>
      </c>
      <c r="H193" s="113"/>
      <c r="I193" s="129"/>
      <c r="J193" s="129"/>
      <c r="K193" s="129"/>
      <c r="L193" s="130"/>
      <c r="M193" s="162"/>
      <c r="N193" s="162"/>
      <c r="O193" s="163"/>
      <c r="Q193" s="161"/>
      <c r="R193" s="161"/>
      <c r="S193" s="161"/>
      <c r="T193" s="162"/>
      <c r="U193" s="162"/>
      <c r="V193" s="164"/>
      <c r="W193" s="163"/>
      <c r="X193" s="155"/>
      <c r="Y193" s="161"/>
      <c r="Z193" s="161"/>
      <c r="AA193" s="161"/>
      <c r="AB193" s="162"/>
      <c r="AC193" s="162"/>
      <c r="AD193" s="164"/>
      <c r="AE193" s="163"/>
      <c r="AF193" s="155"/>
      <c r="AG193" s="161"/>
      <c r="AH193" s="161"/>
      <c r="AI193" s="161"/>
      <c r="AJ193" s="162"/>
      <c r="AK193" s="162"/>
      <c r="AL193" s="164"/>
      <c r="AM193" s="163"/>
      <c r="AN193" s="155"/>
      <c r="AO193" s="161"/>
      <c r="AP193" s="161"/>
      <c r="AQ193" s="161"/>
      <c r="AR193" s="162"/>
      <c r="AS193" s="162"/>
      <c r="AT193" s="164"/>
      <c r="AU193" s="163"/>
    </row>
    <row r="194" spans="1:47" ht="15.95" customHeight="1" x14ac:dyDescent="0.2">
      <c r="A194" s="629"/>
      <c r="B194" s="629"/>
      <c r="C194" s="629"/>
      <c r="D194" s="630"/>
      <c r="E194" s="630"/>
      <c r="F194" s="631"/>
      <c r="G194" s="628" t="s">
        <v>169</v>
      </c>
      <c r="H194" s="113"/>
      <c r="I194" s="129"/>
      <c r="J194" s="129"/>
      <c r="K194" s="129"/>
      <c r="L194" s="130"/>
      <c r="M194" s="162"/>
      <c r="N194" s="162"/>
      <c r="O194" s="163"/>
      <c r="Q194" s="161"/>
      <c r="R194" s="161"/>
      <c r="S194" s="161"/>
      <c r="T194" s="162"/>
      <c r="U194" s="162"/>
      <c r="V194" s="164"/>
      <c r="W194" s="163"/>
      <c r="X194" s="155"/>
      <c r="Y194" s="161"/>
      <c r="Z194" s="161"/>
      <c r="AA194" s="161"/>
      <c r="AB194" s="162"/>
      <c r="AC194" s="162"/>
      <c r="AD194" s="164"/>
      <c r="AE194" s="163"/>
      <c r="AF194" s="155"/>
      <c r="AG194" s="161"/>
      <c r="AH194" s="161"/>
      <c r="AI194" s="161"/>
      <c r="AJ194" s="162"/>
      <c r="AK194" s="162"/>
      <c r="AL194" s="164"/>
      <c r="AM194" s="163"/>
      <c r="AN194" s="155"/>
      <c r="AO194" s="161"/>
      <c r="AP194" s="161"/>
      <c r="AQ194" s="161"/>
      <c r="AR194" s="162"/>
      <c r="AS194" s="162"/>
      <c r="AT194" s="164"/>
      <c r="AU194" s="163"/>
    </row>
    <row r="195" spans="1:47" ht="15.95" customHeight="1" x14ac:dyDescent="0.2">
      <c r="A195" s="629"/>
      <c r="B195" s="629"/>
      <c r="C195" s="629"/>
      <c r="D195" s="630"/>
      <c r="E195" s="630"/>
      <c r="F195" s="631"/>
      <c r="G195" s="628" t="s">
        <v>169</v>
      </c>
      <c r="H195" s="113"/>
      <c r="I195" s="129"/>
      <c r="J195" s="129"/>
      <c r="K195" s="129"/>
      <c r="L195" s="130"/>
      <c r="M195" s="162"/>
      <c r="N195" s="162"/>
      <c r="O195" s="163"/>
      <c r="Q195" s="161"/>
      <c r="R195" s="161"/>
      <c r="S195" s="161"/>
      <c r="T195" s="162"/>
      <c r="U195" s="162"/>
      <c r="V195" s="164"/>
      <c r="W195" s="163"/>
      <c r="X195" s="155"/>
      <c r="Y195" s="161"/>
      <c r="Z195" s="161"/>
      <c r="AA195" s="161"/>
      <c r="AB195" s="162"/>
      <c r="AC195" s="162"/>
      <c r="AD195" s="164"/>
      <c r="AE195" s="163"/>
      <c r="AF195" s="155"/>
      <c r="AG195" s="161"/>
      <c r="AH195" s="161"/>
      <c r="AI195" s="161"/>
      <c r="AJ195" s="162"/>
      <c r="AK195" s="162"/>
      <c r="AL195" s="164"/>
      <c r="AM195" s="163"/>
      <c r="AN195" s="155"/>
      <c r="AO195" s="161"/>
      <c r="AP195" s="161"/>
      <c r="AQ195" s="161"/>
      <c r="AR195" s="162"/>
      <c r="AS195" s="162"/>
      <c r="AT195" s="164"/>
      <c r="AU195" s="163"/>
    </row>
    <row r="196" spans="1:47" ht="15.95" customHeight="1" x14ac:dyDescent="0.2">
      <c r="A196" s="629"/>
      <c r="B196" s="629"/>
      <c r="C196" s="629"/>
      <c r="D196" s="630"/>
      <c r="E196" s="630"/>
      <c r="F196" s="631"/>
      <c r="G196" s="628" t="s">
        <v>169</v>
      </c>
      <c r="H196" s="113"/>
      <c r="I196" s="129"/>
      <c r="J196" s="129"/>
      <c r="K196" s="129"/>
      <c r="L196" s="130"/>
      <c r="M196" s="162"/>
      <c r="N196" s="162"/>
      <c r="O196" s="163"/>
      <c r="Q196" s="161"/>
      <c r="R196" s="161"/>
      <c r="S196" s="161"/>
      <c r="T196" s="162"/>
      <c r="U196" s="162"/>
      <c r="V196" s="164"/>
      <c r="W196" s="163"/>
      <c r="X196" s="155"/>
      <c r="Y196" s="161"/>
      <c r="Z196" s="161"/>
      <c r="AA196" s="161"/>
      <c r="AB196" s="162"/>
      <c r="AC196" s="162"/>
      <c r="AD196" s="164"/>
      <c r="AE196" s="163"/>
      <c r="AF196" s="155"/>
      <c r="AG196" s="161"/>
      <c r="AH196" s="161"/>
      <c r="AI196" s="161"/>
      <c r="AJ196" s="162"/>
      <c r="AK196" s="162"/>
      <c r="AL196" s="164"/>
      <c r="AM196" s="163"/>
      <c r="AN196" s="155"/>
      <c r="AO196" s="161"/>
      <c r="AP196" s="161"/>
      <c r="AQ196" s="161"/>
      <c r="AR196" s="162"/>
      <c r="AS196" s="162"/>
      <c r="AT196" s="164"/>
      <c r="AU196" s="163"/>
    </row>
    <row r="197" spans="1:47" ht="15.95" customHeight="1" x14ac:dyDescent="0.2">
      <c r="A197" s="629"/>
      <c r="B197" s="629"/>
      <c r="C197" s="629"/>
      <c r="D197" s="630"/>
      <c r="E197" s="630"/>
      <c r="F197" s="631"/>
      <c r="G197" s="628" t="s">
        <v>169</v>
      </c>
      <c r="H197" s="113"/>
      <c r="I197" s="129"/>
      <c r="J197" s="129"/>
      <c r="K197" s="129"/>
      <c r="L197" s="130"/>
      <c r="M197" s="162"/>
      <c r="N197" s="162"/>
      <c r="O197" s="163"/>
      <c r="Q197" s="161"/>
      <c r="R197" s="161"/>
      <c r="S197" s="161"/>
      <c r="T197" s="162"/>
      <c r="U197" s="162"/>
      <c r="V197" s="164"/>
      <c r="W197" s="163"/>
      <c r="X197" s="155"/>
      <c r="Y197" s="161"/>
      <c r="Z197" s="161"/>
      <c r="AA197" s="161"/>
      <c r="AB197" s="162"/>
      <c r="AC197" s="162"/>
      <c r="AD197" s="164"/>
      <c r="AE197" s="163"/>
      <c r="AF197" s="155"/>
      <c r="AG197" s="161"/>
      <c r="AH197" s="161"/>
      <c r="AI197" s="161"/>
      <c r="AJ197" s="162"/>
      <c r="AK197" s="162"/>
      <c r="AL197" s="164"/>
      <c r="AM197" s="163"/>
      <c r="AN197" s="155"/>
      <c r="AO197" s="161"/>
      <c r="AP197" s="161"/>
      <c r="AQ197" s="161"/>
      <c r="AR197" s="162"/>
      <c r="AS197" s="162"/>
      <c r="AT197" s="164"/>
      <c r="AU197" s="163"/>
    </row>
    <row r="198" spans="1:47" ht="15.95" customHeight="1" x14ac:dyDescent="0.2">
      <c r="A198" s="629"/>
      <c r="B198" s="629"/>
      <c r="C198" s="629"/>
      <c r="D198" s="630"/>
      <c r="E198" s="630"/>
      <c r="F198" s="631"/>
      <c r="G198" s="628" t="s">
        <v>169</v>
      </c>
      <c r="H198" s="113"/>
      <c r="I198" s="129"/>
      <c r="J198" s="129"/>
      <c r="K198" s="129"/>
      <c r="L198" s="130"/>
      <c r="M198" s="162"/>
      <c r="N198" s="162"/>
      <c r="O198" s="163"/>
      <c r="Q198" s="161"/>
      <c r="R198" s="161"/>
      <c r="S198" s="161"/>
      <c r="T198" s="162"/>
      <c r="U198" s="162"/>
      <c r="V198" s="164"/>
      <c r="W198" s="163"/>
      <c r="X198" s="155"/>
      <c r="Y198" s="161"/>
      <c r="Z198" s="161"/>
      <c r="AA198" s="161"/>
      <c r="AB198" s="162"/>
      <c r="AC198" s="162"/>
      <c r="AD198" s="164"/>
      <c r="AE198" s="163"/>
      <c r="AF198" s="155"/>
      <c r="AG198" s="161"/>
      <c r="AH198" s="161"/>
      <c r="AI198" s="161"/>
      <c r="AJ198" s="162"/>
      <c r="AK198" s="162"/>
      <c r="AL198" s="164"/>
      <c r="AM198" s="163"/>
      <c r="AN198" s="155"/>
      <c r="AO198" s="161"/>
      <c r="AP198" s="161"/>
      <c r="AQ198" s="161"/>
      <c r="AR198" s="162"/>
      <c r="AS198" s="162"/>
      <c r="AT198" s="164"/>
      <c r="AU198" s="163"/>
    </row>
    <row r="199" spans="1:47" ht="15.95" customHeight="1" x14ac:dyDescent="0.2">
      <c r="A199" s="629"/>
      <c r="B199" s="629"/>
      <c r="C199" s="629"/>
      <c r="D199" s="630"/>
      <c r="E199" s="630"/>
      <c r="F199" s="631"/>
      <c r="G199" s="628" t="s">
        <v>169</v>
      </c>
      <c r="H199" s="113"/>
      <c r="I199" s="129"/>
      <c r="J199" s="129"/>
      <c r="K199" s="129"/>
      <c r="L199" s="130"/>
      <c r="M199" s="162"/>
      <c r="N199" s="162"/>
      <c r="O199" s="163"/>
      <c r="Q199" s="161"/>
      <c r="R199" s="161"/>
      <c r="S199" s="161"/>
      <c r="T199" s="162"/>
      <c r="U199" s="162"/>
      <c r="V199" s="164"/>
      <c r="W199" s="163"/>
      <c r="X199" s="155"/>
      <c r="Y199" s="161"/>
      <c r="Z199" s="161"/>
      <c r="AA199" s="161"/>
      <c r="AB199" s="162"/>
      <c r="AC199" s="162"/>
      <c r="AD199" s="164"/>
      <c r="AE199" s="163"/>
      <c r="AF199" s="155"/>
      <c r="AG199" s="161"/>
      <c r="AH199" s="161"/>
      <c r="AI199" s="161"/>
      <c r="AJ199" s="162"/>
      <c r="AK199" s="162"/>
      <c r="AL199" s="164"/>
      <c r="AM199" s="163"/>
      <c r="AN199" s="155"/>
      <c r="AO199" s="161"/>
      <c r="AP199" s="161"/>
      <c r="AQ199" s="161"/>
      <c r="AR199" s="162"/>
      <c r="AS199" s="162"/>
      <c r="AT199" s="164"/>
      <c r="AU199" s="163"/>
    </row>
    <row r="200" spans="1:47" ht="15.95" customHeight="1" x14ac:dyDescent="0.2">
      <c r="A200" s="629"/>
      <c r="B200" s="629"/>
      <c r="C200" s="629"/>
      <c r="D200" s="630"/>
      <c r="E200" s="630"/>
      <c r="F200" s="631"/>
      <c r="G200" s="628" t="s">
        <v>169</v>
      </c>
      <c r="H200" s="113"/>
      <c r="I200" s="129"/>
      <c r="J200" s="129"/>
      <c r="K200" s="129"/>
      <c r="L200" s="130"/>
      <c r="M200" s="162"/>
      <c r="N200" s="162"/>
      <c r="O200" s="163"/>
      <c r="Q200" s="161"/>
      <c r="R200" s="161"/>
      <c r="S200" s="161"/>
      <c r="T200" s="162"/>
      <c r="U200" s="162"/>
      <c r="V200" s="164"/>
      <c r="W200" s="163"/>
      <c r="X200" s="155"/>
      <c r="Y200" s="161"/>
      <c r="Z200" s="161"/>
      <c r="AA200" s="161"/>
      <c r="AB200" s="162"/>
      <c r="AC200" s="162"/>
      <c r="AD200" s="164"/>
      <c r="AE200" s="163"/>
      <c r="AF200" s="155"/>
      <c r="AG200" s="161"/>
      <c r="AH200" s="161"/>
      <c r="AI200" s="161"/>
      <c r="AJ200" s="162"/>
      <c r="AK200" s="162"/>
      <c r="AL200" s="164"/>
      <c r="AM200" s="163"/>
      <c r="AN200" s="155"/>
      <c r="AO200" s="161"/>
      <c r="AP200" s="161"/>
      <c r="AQ200" s="161"/>
      <c r="AR200" s="162"/>
      <c r="AS200" s="162"/>
      <c r="AT200" s="164"/>
      <c r="AU200" s="163"/>
    </row>
    <row r="201" spans="1:47" ht="15.95" customHeight="1" x14ac:dyDescent="0.2">
      <c r="A201" s="629"/>
      <c r="B201" s="629"/>
      <c r="C201" s="629"/>
      <c r="D201" s="630"/>
      <c r="E201" s="630"/>
      <c r="F201" s="631"/>
      <c r="G201" s="628" t="s">
        <v>169</v>
      </c>
      <c r="H201" s="113"/>
      <c r="I201" s="129"/>
      <c r="J201" s="129"/>
      <c r="K201" s="129"/>
      <c r="L201" s="130"/>
      <c r="M201" s="162"/>
      <c r="N201" s="162"/>
      <c r="O201" s="163"/>
      <c r="Q201" s="161"/>
      <c r="R201" s="161"/>
      <c r="S201" s="161"/>
      <c r="T201" s="162"/>
      <c r="U201" s="162"/>
      <c r="V201" s="164"/>
      <c r="W201" s="163"/>
      <c r="X201" s="155"/>
      <c r="Y201" s="161"/>
      <c r="Z201" s="161"/>
      <c r="AA201" s="161"/>
      <c r="AB201" s="162"/>
      <c r="AC201" s="162"/>
      <c r="AD201" s="164"/>
      <c r="AE201" s="163"/>
      <c r="AF201" s="155"/>
      <c r="AG201" s="161"/>
      <c r="AH201" s="161"/>
      <c r="AI201" s="161"/>
      <c r="AJ201" s="162"/>
      <c r="AK201" s="162"/>
      <c r="AL201" s="164"/>
      <c r="AM201" s="163"/>
      <c r="AN201" s="155"/>
      <c r="AO201" s="161"/>
      <c r="AP201" s="161"/>
      <c r="AQ201" s="161"/>
      <c r="AR201" s="162"/>
      <c r="AS201" s="162"/>
      <c r="AT201" s="164"/>
      <c r="AU201" s="163"/>
    </row>
    <row r="202" spans="1:47" ht="15.95" customHeight="1" x14ac:dyDescent="0.2">
      <c r="A202" s="629"/>
      <c r="B202" s="629"/>
      <c r="C202" s="629"/>
      <c r="D202" s="630"/>
      <c r="E202" s="630"/>
      <c r="F202" s="631"/>
      <c r="G202" s="628" t="s">
        <v>169</v>
      </c>
      <c r="H202" s="113"/>
      <c r="I202" s="129"/>
      <c r="J202" s="129"/>
      <c r="K202" s="129"/>
      <c r="L202" s="130"/>
      <c r="M202" s="162"/>
      <c r="N202" s="162"/>
      <c r="O202" s="163"/>
      <c r="Q202" s="161"/>
      <c r="R202" s="161"/>
      <c r="S202" s="161"/>
      <c r="T202" s="162"/>
      <c r="U202" s="162"/>
      <c r="V202" s="164"/>
      <c r="W202" s="163"/>
      <c r="X202" s="155"/>
      <c r="Y202" s="161"/>
      <c r="Z202" s="161"/>
      <c r="AA202" s="161"/>
      <c r="AB202" s="162"/>
      <c r="AC202" s="162"/>
      <c r="AD202" s="164"/>
      <c r="AE202" s="163"/>
      <c r="AF202" s="155"/>
      <c r="AG202" s="161"/>
      <c r="AH202" s="161"/>
      <c r="AI202" s="161"/>
      <c r="AJ202" s="162"/>
      <c r="AK202" s="162"/>
      <c r="AL202" s="164"/>
      <c r="AM202" s="163"/>
      <c r="AN202" s="155"/>
      <c r="AO202" s="161"/>
      <c r="AP202" s="161"/>
      <c r="AQ202" s="161"/>
      <c r="AR202" s="162"/>
      <c r="AS202" s="162"/>
      <c r="AT202" s="164"/>
      <c r="AU202" s="163"/>
    </row>
    <row r="203" spans="1:47" ht="15.95" customHeight="1" x14ac:dyDescent="0.2">
      <c r="A203" s="629"/>
      <c r="B203" s="629"/>
      <c r="C203" s="629"/>
      <c r="D203" s="630"/>
      <c r="E203" s="630"/>
      <c r="F203" s="631"/>
      <c r="G203" s="628" t="s">
        <v>169</v>
      </c>
      <c r="H203" s="113"/>
      <c r="I203" s="129"/>
      <c r="J203" s="129"/>
      <c r="K203" s="129"/>
      <c r="L203" s="130"/>
      <c r="M203" s="162"/>
      <c r="N203" s="162"/>
      <c r="O203" s="163"/>
      <c r="Q203" s="161"/>
      <c r="R203" s="161"/>
      <c r="S203" s="161"/>
      <c r="T203" s="162"/>
      <c r="U203" s="162"/>
      <c r="V203" s="164"/>
      <c r="W203" s="163"/>
      <c r="X203" s="155"/>
      <c r="Y203" s="161"/>
      <c r="Z203" s="161"/>
      <c r="AA203" s="161"/>
      <c r="AB203" s="162"/>
      <c r="AC203" s="162"/>
      <c r="AD203" s="164"/>
      <c r="AE203" s="163"/>
      <c r="AF203" s="155"/>
      <c r="AG203" s="161"/>
      <c r="AH203" s="161"/>
      <c r="AI203" s="161"/>
      <c r="AJ203" s="162"/>
      <c r="AK203" s="162"/>
      <c r="AL203" s="164"/>
      <c r="AM203" s="163"/>
      <c r="AN203" s="155"/>
      <c r="AO203" s="161"/>
      <c r="AP203" s="161"/>
      <c r="AQ203" s="161"/>
      <c r="AR203" s="162"/>
      <c r="AS203" s="162"/>
      <c r="AT203" s="164"/>
      <c r="AU203" s="163"/>
    </row>
    <row r="204" spans="1:47" ht="15.95" customHeight="1" x14ac:dyDescent="0.2">
      <c r="A204" s="629"/>
      <c r="B204" s="629"/>
      <c r="C204" s="629"/>
      <c r="D204" s="630"/>
      <c r="E204" s="630"/>
      <c r="F204" s="631"/>
      <c r="G204" s="628" t="s">
        <v>169</v>
      </c>
      <c r="H204" s="113"/>
      <c r="I204" s="129"/>
      <c r="J204" s="129"/>
      <c r="K204" s="129"/>
      <c r="L204" s="130"/>
      <c r="M204" s="162"/>
      <c r="N204" s="162"/>
      <c r="O204" s="163"/>
      <c r="Q204" s="161"/>
      <c r="R204" s="161"/>
      <c r="S204" s="161"/>
      <c r="T204" s="162"/>
      <c r="U204" s="162"/>
      <c r="V204" s="164"/>
      <c r="W204" s="163"/>
      <c r="X204" s="155"/>
      <c r="Y204" s="161"/>
      <c r="Z204" s="161"/>
      <c r="AA204" s="161"/>
      <c r="AB204" s="162"/>
      <c r="AC204" s="162"/>
      <c r="AD204" s="164"/>
      <c r="AE204" s="163"/>
      <c r="AF204" s="155"/>
      <c r="AG204" s="161"/>
      <c r="AH204" s="161"/>
      <c r="AI204" s="161"/>
      <c r="AJ204" s="162"/>
      <c r="AK204" s="162"/>
      <c r="AL204" s="164"/>
      <c r="AM204" s="163"/>
      <c r="AN204" s="155"/>
      <c r="AO204" s="161"/>
      <c r="AP204" s="161"/>
      <c r="AQ204" s="161"/>
      <c r="AR204" s="162"/>
      <c r="AS204" s="162"/>
      <c r="AT204" s="164"/>
      <c r="AU204" s="163"/>
    </row>
    <row r="205" spans="1:47" ht="15.95" customHeight="1" x14ac:dyDescent="0.2">
      <c r="A205" s="629"/>
      <c r="B205" s="629"/>
      <c r="C205" s="629"/>
      <c r="D205" s="630"/>
      <c r="E205" s="630"/>
      <c r="F205" s="631"/>
      <c r="G205" s="628" t="s">
        <v>169</v>
      </c>
      <c r="H205" s="113"/>
      <c r="I205" s="129"/>
      <c r="J205" s="129"/>
      <c r="K205" s="129"/>
      <c r="L205" s="130"/>
      <c r="M205" s="162"/>
      <c r="N205" s="162"/>
      <c r="O205" s="163"/>
      <c r="Q205" s="161"/>
      <c r="R205" s="161"/>
      <c r="S205" s="161"/>
      <c r="T205" s="162"/>
      <c r="U205" s="162"/>
      <c r="V205" s="164"/>
      <c r="W205" s="163"/>
      <c r="X205" s="155"/>
      <c r="Y205" s="161"/>
      <c r="Z205" s="161"/>
      <c r="AA205" s="161"/>
      <c r="AB205" s="162"/>
      <c r="AC205" s="162"/>
      <c r="AD205" s="164"/>
      <c r="AE205" s="163"/>
      <c r="AF205" s="155"/>
      <c r="AG205" s="161"/>
      <c r="AH205" s="161"/>
      <c r="AI205" s="161"/>
      <c r="AJ205" s="162"/>
      <c r="AK205" s="162"/>
      <c r="AL205" s="164"/>
      <c r="AM205" s="163"/>
      <c r="AN205" s="155"/>
      <c r="AO205" s="161"/>
      <c r="AP205" s="161"/>
      <c r="AQ205" s="161"/>
      <c r="AR205" s="162"/>
      <c r="AS205" s="162"/>
      <c r="AT205" s="164"/>
      <c r="AU205" s="163"/>
    </row>
    <row r="206" spans="1:47" ht="15.95" customHeight="1" x14ac:dyDescent="0.2">
      <c r="A206" s="629"/>
      <c r="B206" s="629"/>
      <c r="C206" s="629"/>
      <c r="D206" s="630"/>
      <c r="E206" s="630"/>
      <c r="F206" s="631"/>
      <c r="G206" s="628" t="s">
        <v>169</v>
      </c>
      <c r="H206" s="113"/>
      <c r="I206" s="129"/>
      <c r="J206" s="129"/>
      <c r="K206" s="129"/>
      <c r="L206" s="130"/>
      <c r="M206" s="162"/>
      <c r="N206" s="162"/>
      <c r="O206" s="163"/>
      <c r="Q206" s="161"/>
      <c r="R206" s="161"/>
      <c r="S206" s="161"/>
      <c r="T206" s="162"/>
      <c r="U206" s="162"/>
      <c r="V206" s="164"/>
      <c r="W206" s="163"/>
      <c r="X206" s="155"/>
      <c r="Y206" s="161"/>
      <c r="Z206" s="161"/>
      <c r="AA206" s="161"/>
      <c r="AB206" s="162"/>
      <c r="AC206" s="162"/>
      <c r="AD206" s="164"/>
      <c r="AE206" s="163"/>
      <c r="AF206" s="155"/>
      <c r="AG206" s="161"/>
      <c r="AH206" s="161"/>
      <c r="AI206" s="161"/>
      <c r="AJ206" s="162"/>
      <c r="AK206" s="162"/>
      <c r="AL206" s="164"/>
      <c r="AM206" s="163"/>
      <c r="AN206" s="155"/>
      <c r="AO206" s="161"/>
      <c r="AP206" s="161"/>
      <c r="AQ206" s="161"/>
      <c r="AR206" s="162"/>
      <c r="AS206" s="162"/>
      <c r="AT206" s="164"/>
      <c r="AU206" s="163"/>
    </row>
    <row r="207" spans="1:47" ht="15.95" customHeight="1" x14ac:dyDescent="0.2">
      <c r="A207" s="629"/>
      <c r="B207" s="629"/>
      <c r="C207" s="629"/>
      <c r="D207" s="630"/>
      <c r="E207" s="630"/>
      <c r="F207" s="631"/>
      <c r="G207" s="628" t="s">
        <v>169</v>
      </c>
      <c r="H207" s="113"/>
      <c r="I207" s="129"/>
      <c r="J207" s="129"/>
      <c r="K207" s="129"/>
      <c r="L207" s="130"/>
      <c r="M207" s="162"/>
      <c r="N207" s="162"/>
      <c r="O207" s="163"/>
      <c r="Q207" s="161"/>
      <c r="R207" s="161"/>
      <c r="S207" s="161"/>
      <c r="T207" s="162"/>
      <c r="U207" s="162"/>
      <c r="V207" s="164"/>
      <c r="W207" s="163"/>
      <c r="X207" s="155"/>
      <c r="Y207" s="161"/>
      <c r="Z207" s="161"/>
      <c r="AA207" s="161"/>
      <c r="AB207" s="162"/>
      <c r="AC207" s="162"/>
      <c r="AD207" s="164"/>
      <c r="AE207" s="163"/>
      <c r="AF207" s="155"/>
      <c r="AG207" s="161"/>
      <c r="AH207" s="161"/>
      <c r="AI207" s="161"/>
      <c r="AJ207" s="162"/>
      <c r="AK207" s="162"/>
      <c r="AL207" s="164"/>
      <c r="AM207" s="163"/>
      <c r="AN207" s="155"/>
      <c r="AO207" s="161"/>
      <c r="AP207" s="161"/>
      <c r="AQ207" s="161"/>
      <c r="AR207" s="162"/>
      <c r="AS207" s="162"/>
      <c r="AT207" s="164"/>
      <c r="AU207" s="163"/>
    </row>
    <row r="208" spans="1:47" ht="15.95" customHeight="1" x14ac:dyDescent="0.2">
      <c r="A208" s="629"/>
      <c r="B208" s="629"/>
      <c r="C208" s="629"/>
      <c r="D208" s="630"/>
      <c r="E208" s="630"/>
      <c r="F208" s="631"/>
      <c r="G208" s="628" t="s">
        <v>169</v>
      </c>
      <c r="H208" s="113"/>
      <c r="I208" s="129"/>
      <c r="J208" s="129"/>
      <c r="K208" s="129"/>
      <c r="L208" s="130"/>
      <c r="M208" s="162"/>
      <c r="N208" s="162"/>
      <c r="O208" s="163"/>
      <c r="Q208" s="161"/>
      <c r="R208" s="161"/>
      <c r="S208" s="161"/>
      <c r="T208" s="162"/>
      <c r="U208" s="162"/>
      <c r="V208" s="164"/>
      <c r="W208" s="163"/>
      <c r="X208" s="155"/>
      <c r="Y208" s="161"/>
      <c r="Z208" s="161"/>
      <c r="AA208" s="161"/>
      <c r="AB208" s="162"/>
      <c r="AC208" s="162"/>
      <c r="AD208" s="164"/>
      <c r="AE208" s="163"/>
      <c r="AF208" s="155"/>
      <c r="AG208" s="161"/>
      <c r="AH208" s="161"/>
      <c r="AI208" s="161"/>
      <c r="AJ208" s="162"/>
      <c r="AK208" s="162"/>
      <c r="AL208" s="164"/>
      <c r="AM208" s="163"/>
      <c r="AN208" s="155"/>
      <c r="AO208" s="161"/>
      <c r="AP208" s="161"/>
      <c r="AQ208" s="161"/>
      <c r="AR208" s="162"/>
      <c r="AS208" s="162"/>
      <c r="AT208" s="164"/>
      <c r="AU208" s="163"/>
    </row>
    <row r="209" spans="1:47" ht="15.95" customHeight="1" x14ac:dyDescent="0.2">
      <c r="A209" s="629"/>
      <c r="B209" s="629"/>
      <c r="C209" s="629"/>
      <c r="D209" s="630"/>
      <c r="E209" s="630"/>
      <c r="F209" s="631"/>
      <c r="G209" s="628" t="s">
        <v>169</v>
      </c>
      <c r="H209" s="113"/>
      <c r="I209" s="129"/>
      <c r="J209" s="129"/>
      <c r="K209" s="129"/>
      <c r="L209" s="130"/>
      <c r="M209" s="162"/>
      <c r="N209" s="162"/>
      <c r="O209" s="163"/>
      <c r="Q209" s="161"/>
      <c r="R209" s="161"/>
      <c r="S209" s="161"/>
      <c r="T209" s="162"/>
      <c r="U209" s="162"/>
      <c r="V209" s="164"/>
      <c r="W209" s="163"/>
      <c r="X209" s="155"/>
      <c r="Y209" s="161"/>
      <c r="Z209" s="161"/>
      <c r="AA209" s="161"/>
      <c r="AB209" s="162"/>
      <c r="AC209" s="162"/>
      <c r="AD209" s="164"/>
      <c r="AE209" s="163"/>
      <c r="AF209" s="155"/>
      <c r="AG209" s="161"/>
      <c r="AH209" s="161"/>
      <c r="AI209" s="161"/>
      <c r="AJ209" s="162"/>
      <c r="AK209" s="162"/>
      <c r="AL209" s="164"/>
      <c r="AM209" s="163"/>
      <c r="AN209" s="155"/>
      <c r="AO209" s="161"/>
      <c r="AP209" s="161"/>
      <c r="AQ209" s="161"/>
      <c r="AR209" s="162"/>
      <c r="AS209" s="162"/>
      <c r="AT209" s="164"/>
      <c r="AU209" s="163"/>
    </row>
    <row r="210" spans="1:47" ht="15.95" customHeight="1" x14ac:dyDescent="0.2">
      <c r="A210" s="629"/>
      <c r="B210" s="629"/>
      <c r="C210" s="629"/>
      <c r="D210" s="630"/>
      <c r="E210" s="630"/>
      <c r="F210" s="631"/>
      <c r="G210" s="628" t="s">
        <v>169</v>
      </c>
      <c r="H210" s="113"/>
      <c r="I210" s="129"/>
      <c r="J210" s="129"/>
      <c r="K210" s="129"/>
      <c r="L210" s="130"/>
      <c r="M210" s="162"/>
      <c r="N210" s="162"/>
      <c r="O210" s="163"/>
      <c r="Q210" s="161"/>
      <c r="R210" s="161"/>
      <c r="S210" s="161"/>
      <c r="T210" s="162"/>
      <c r="U210" s="162"/>
      <c r="V210" s="164"/>
      <c r="W210" s="163"/>
      <c r="X210" s="155"/>
      <c r="Y210" s="161"/>
      <c r="Z210" s="161"/>
      <c r="AA210" s="161"/>
      <c r="AB210" s="162"/>
      <c r="AC210" s="162"/>
      <c r="AD210" s="164"/>
      <c r="AE210" s="163"/>
      <c r="AF210" s="155"/>
      <c r="AG210" s="161"/>
      <c r="AH210" s="161"/>
      <c r="AI210" s="161"/>
      <c r="AJ210" s="162"/>
      <c r="AK210" s="162"/>
      <c r="AL210" s="164"/>
      <c r="AM210" s="163"/>
      <c r="AN210" s="155"/>
      <c r="AO210" s="161"/>
      <c r="AP210" s="161"/>
      <c r="AQ210" s="161"/>
      <c r="AR210" s="162"/>
      <c r="AS210" s="162"/>
      <c r="AT210" s="164"/>
      <c r="AU210" s="163"/>
    </row>
    <row r="211" spans="1:47" ht="15.95" customHeight="1" x14ac:dyDescent="0.2">
      <c r="A211" s="629"/>
      <c r="B211" s="629"/>
      <c r="C211" s="629"/>
      <c r="D211" s="630"/>
      <c r="E211" s="630"/>
      <c r="F211" s="631"/>
      <c r="G211" s="628" t="s">
        <v>169</v>
      </c>
      <c r="H211" s="113"/>
      <c r="I211" s="129"/>
      <c r="J211" s="129"/>
      <c r="K211" s="129"/>
      <c r="L211" s="130"/>
      <c r="M211" s="162"/>
      <c r="N211" s="162"/>
      <c r="O211" s="163"/>
      <c r="Q211" s="161"/>
      <c r="R211" s="161"/>
      <c r="S211" s="161"/>
      <c r="T211" s="162"/>
      <c r="U211" s="162"/>
      <c r="V211" s="164"/>
      <c r="W211" s="163"/>
      <c r="X211" s="155"/>
      <c r="Y211" s="161"/>
      <c r="Z211" s="161"/>
      <c r="AA211" s="161"/>
      <c r="AB211" s="162"/>
      <c r="AC211" s="162"/>
      <c r="AD211" s="164"/>
      <c r="AE211" s="163"/>
      <c r="AF211" s="155"/>
      <c r="AG211" s="161"/>
      <c r="AH211" s="161"/>
      <c r="AI211" s="161"/>
      <c r="AJ211" s="162"/>
      <c r="AK211" s="162"/>
      <c r="AL211" s="164"/>
      <c r="AM211" s="163"/>
      <c r="AN211" s="155"/>
      <c r="AO211" s="161"/>
      <c r="AP211" s="161"/>
      <c r="AQ211" s="161"/>
      <c r="AR211" s="162"/>
      <c r="AS211" s="162"/>
      <c r="AT211" s="164"/>
      <c r="AU211" s="163"/>
    </row>
    <row r="212" spans="1:47" ht="15.95" customHeight="1" x14ac:dyDescent="0.2">
      <c r="A212" s="629"/>
      <c r="B212" s="629"/>
      <c r="C212" s="629"/>
      <c r="D212" s="630"/>
      <c r="E212" s="630"/>
      <c r="F212" s="631"/>
      <c r="G212" s="628" t="s">
        <v>169</v>
      </c>
      <c r="H212" s="113"/>
      <c r="I212" s="129"/>
      <c r="J212" s="129"/>
      <c r="K212" s="129"/>
      <c r="L212" s="130"/>
      <c r="M212" s="162"/>
      <c r="N212" s="162"/>
      <c r="O212" s="163"/>
      <c r="Q212" s="161"/>
      <c r="R212" s="161"/>
      <c r="S212" s="161"/>
      <c r="T212" s="162"/>
      <c r="U212" s="162"/>
      <c r="V212" s="164"/>
      <c r="W212" s="163"/>
      <c r="X212" s="155"/>
      <c r="Y212" s="161"/>
      <c r="Z212" s="161"/>
      <c r="AA212" s="161"/>
      <c r="AB212" s="162"/>
      <c r="AC212" s="162"/>
      <c r="AD212" s="164"/>
      <c r="AE212" s="163"/>
      <c r="AF212" s="155"/>
      <c r="AG212" s="161"/>
      <c r="AH212" s="161"/>
      <c r="AI212" s="161"/>
      <c r="AJ212" s="162"/>
      <c r="AK212" s="162"/>
      <c r="AL212" s="164"/>
      <c r="AM212" s="163"/>
      <c r="AN212" s="155"/>
      <c r="AO212" s="161"/>
      <c r="AP212" s="161"/>
      <c r="AQ212" s="161"/>
      <c r="AR212" s="162"/>
      <c r="AS212" s="162"/>
      <c r="AT212" s="164"/>
      <c r="AU212" s="163"/>
    </row>
    <row r="213" spans="1:47" ht="15.95" customHeight="1" x14ac:dyDescent="0.2">
      <c r="A213" s="629"/>
      <c r="B213" s="629"/>
      <c r="C213" s="629"/>
      <c r="D213" s="630"/>
      <c r="E213" s="630"/>
      <c r="F213" s="631"/>
      <c r="G213" s="628" t="s">
        <v>169</v>
      </c>
      <c r="H213" s="113"/>
      <c r="I213" s="129"/>
      <c r="J213" s="129"/>
      <c r="K213" s="129"/>
      <c r="L213" s="130"/>
      <c r="M213" s="162"/>
      <c r="N213" s="162"/>
      <c r="O213" s="163"/>
      <c r="Q213" s="161"/>
      <c r="R213" s="161"/>
      <c r="S213" s="161"/>
      <c r="T213" s="162"/>
      <c r="U213" s="162"/>
      <c r="V213" s="164"/>
      <c r="W213" s="163"/>
      <c r="X213" s="155"/>
      <c r="Y213" s="161"/>
      <c r="Z213" s="161"/>
      <c r="AA213" s="161"/>
      <c r="AB213" s="162"/>
      <c r="AC213" s="162"/>
      <c r="AD213" s="164"/>
      <c r="AE213" s="163"/>
      <c r="AF213" s="155"/>
      <c r="AG213" s="161"/>
      <c r="AH213" s="161"/>
      <c r="AI213" s="161"/>
      <c r="AJ213" s="162"/>
      <c r="AK213" s="162"/>
      <c r="AL213" s="164"/>
      <c r="AM213" s="163"/>
      <c r="AN213" s="155"/>
      <c r="AO213" s="161"/>
      <c r="AP213" s="161"/>
      <c r="AQ213" s="161"/>
      <c r="AR213" s="162"/>
      <c r="AS213" s="162"/>
      <c r="AT213" s="164"/>
      <c r="AU213" s="163"/>
    </row>
    <row r="214" spans="1:47" ht="15.95" customHeight="1" x14ac:dyDescent="0.2">
      <c r="A214" s="629"/>
      <c r="B214" s="629"/>
      <c r="C214" s="629"/>
      <c r="D214" s="630"/>
      <c r="E214" s="630"/>
      <c r="F214" s="631"/>
      <c r="G214" s="628" t="s">
        <v>169</v>
      </c>
      <c r="H214" s="113"/>
      <c r="I214" s="129"/>
      <c r="J214" s="129"/>
      <c r="K214" s="129"/>
      <c r="L214" s="130"/>
      <c r="M214" s="162"/>
      <c r="N214" s="162"/>
      <c r="O214" s="163"/>
      <c r="Q214" s="161"/>
      <c r="R214" s="161"/>
      <c r="S214" s="161"/>
      <c r="T214" s="162"/>
      <c r="U214" s="162"/>
      <c r="V214" s="164"/>
      <c r="W214" s="163"/>
      <c r="X214" s="155"/>
      <c r="Y214" s="161"/>
      <c r="Z214" s="161"/>
      <c r="AA214" s="161"/>
      <c r="AB214" s="162"/>
      <c r="AC214" s="162"/>
      <c r="AD214" s="164"/>
      <c r="AE214" s="163"/>
      <c r="AF214" s="155"/>
      <c r="AG214" s="161"/>
      <c r="AH214" s="161"/>
      <c r="AI214" s="161"/>
      <c r="AJ214" s="162"/>
      <c r="AK214" s="162"/>
      <c r="AL214" s="164"/>
      <c r="AM214" s="163"/>
      <c r="AN214" s="155"/>
      <c r="AO214" s="161"/>
      <c r="AP214" s="161"/>
      <c r="AQ214" s="161"/>
      <c r="AR214" s="162"/>
      <c r="AS214" s="162"/>
      <c r="AT214" s="164"/>
      <c r="AU214" s="163"/>
    </row>
    <row r="215" spans="1:47" ht="15.95" customHeight="1" x14ac:dyDescent="0.2">
      <c r="A215" s="629"/>
      <c r="B215" s="629"/>
      <c r="C215" s="629"/>
      <c r="D215" s="630"/>
      <c r="E215" s="630"/>
      <c r="F215" s="631"/>
      <c r="G215" s="628" t="s">
        <v>169</v>
      </c>
      <c r="H215" s="113"/>
      <c r="I215" s="129"/>
      <c r="J215" s="129"/>
      <c r="K215" s="129"/>
      <c r="L215" s="130"/>
      <c r="M215" s="162"/>
      <c r="N215" s="162"/>
      <c r="O215" s="163"/>
      <c r="Q215" s="161"/>
      <c r="R215" s="161"/>
      <c r="S215" s="161"/>
      <c r="T215" s="162"/>
      <c r="U215" s="162"/>
      <c r="V215" s="164"/>
      <c r="W215" s="163"/>
      <c r="X215" s="155"/>
      <c r="Y215" s="161"/>
      <c r="Z215" s="161"/>
      <c r="AA215" s="161"/>
      <c r="AB215" s="162"/>
      <c r="AC215" s="162"/>
      <c r="AD215" s="164"/>
      <c r="AE215" s="163"/>
      <c r="AF215" s="155"/>
      <c r="AG215" s="161"/>
      <c r="AH215" s="161"/>
      <c r="AI215" s="161"/>
      <c r="AJ215" s="162"/>
      <c r="AK215" s="162"/>
      <c r="AL215" s="164"/>
      <c r="AM215" s="163"/>
      <c r="AN215" s="155"/>
      <c r="AO215" s="161"/>
      <c r="AP215" s="161"/>
      <c r="AQ215" s="161"/>
      <c r="AR215" s="162"/>
      <c r="AS215" s="162"/>
      <c r="AT215" s="164"/>
      <c r="AU215" s="163"/>
    </row>
    <row r="216" spans="1:47" ht="15.95" customHeight="1" x14ac:dyDescent="0.2">
      <c r="A216" s="629"/>
      <c r="B216" s="629"/>
      <c r="C216" s="629"/>
      <c r="D216" s="630"/>
      <c r="E216" s="630"/>
      <c r="F216" s="631"/>
      <c r="G216" s="628" t="s">
        <v>169</v>
      </c>
      <c r="H216" s="113"/>
      <c r="I216" s="129"/>
      <c r="J216" s="129"/>
      <c r="K216" s="129"/>
      <c r="L216" s="130"/>
      <c r="M216" s="162"/>
      <c r="N216" s="162"/>
      <c r="O216" s="163"/>
      <c r="Q216" s="161"/>
      <c r="R216" s="161"/>
      <c r="S216" s="161"/>
      <c r="T216" s="162"/>
      <c r="U216" s="162"/>
      <c r="V216" s="164"/>
      <c r="W216" s="163"/>
      <c r="X216" s="155"/>
      <c r="Y216" s="161"/>
      <c r="Z216" s="161"/>
      <c r="AA216" s="161"/>
      <c r="AB216" s="162"/>
      <c r="AC216" s="162"/>
      <c r="AD216" s="164"/>
      <c r="AE216" s="163"/>
      <c r="AF216" s="155"/>
      <c r="AG216" s="161"/>
      <c r="AH216" s="161"/>
      <c r="AI216" s="161"/>
      <c r="AJ216" s="162"/>
      <c r="AK216" s="162"/>
      <c r="AL216" s="164"/>
      <c r="AM216" s="163"/>
      <c r="AN216" s="155"/>
      <c r="AO216" s="161"/>
      <c r="AP216" s="161"/>
      <c r="AQ216" s="161"/>
      <c r="AR216" s="162"/>
      <c r="AS216" s="162"/>
      <c r="AT216" s="164"/>
      <c r="AU216" s="163"/>
    </row>
    <row r="217" spans="1:47" ht="15.95" customHeight="1" x14ac:dyDescent="0.2">
      <c r="A217" s="629"/>
      <c r="B217" s="629"/>
      <c r="C217" s="629"/>
      <c r="D217" s="630"/>
      <c r="E217" s="630"/>
      <c r="F217" s="631"/>
      <c r="G217" s="628" t="s">
        <v>169</v>
      </c>
      <c r="H217" s="113"/>
      <c r="I217" s="129"/>
      <c r="J217" s="129"/>
      <c r="K217" s="129"/>
      <c r="L217" s="130"/>
      <c r="M217" s="162"/>
      <c r="N217" s="162"/>
      <c r="O217" s="163"/>
      <c r="Q217" s="161"/>
      <c r="R217" s="161"/>
      <c r="S217" s="161"/>
      <c r="T217" s="162"/>
      <c r="U217" s="162"/>
      <c r="V217" s="164"/>
      <c r="W217" s="163"/>
      <c r="X217" s="155"/>
      <c r="Y217" s="161"/>
      <c r="Z217" s="161"/>
      <c r="AA217" s="161"/>
      <c r="AB217" s="162"/>
      <c r="AC217" s="162"/>
      <c r="AD217" s="164"/>
      <c r="AE217" s="163"/>
      <c r="AF217" s="155"/>
      <c r="AG217" s="161"/>
      <c r="AH217" s="161"/>
      <c r="AI217" s="161"/>
      <c r="AJ217" s="162"/>
      <c r="AK217" s="162"/>
      <c r="AL217" s="164"/>
      <c r="AM217" s="163"/>
      <c r="AN217" s="155"/>
      <c r="AO217" s="161"/>
      <c r="AP217" s="161"/>
      <c r="AQ217" s="161"/>
      <c r="AR217" s="162"/>
      <c r="AS217" s="162"/>
      <c r="AT217" s="164"/>
      <c r="AU217" s="163"/>
    </row>
    <row r="218" spans="1:47" ht="15.95" customHeight="1" x14ac:dyDescent="0.2">
      <c r="A218" s="629"/>
      <c r="B218" s="629"/>
      <c r="C218" s="629"/>
      <c r="D218" s="630"/>
      <c r="E218" s="630"/>
      <c r="F218" s="631"/>
      <c r="G218" s="628" t="s">
        <v>169</v>
      </c>
      <c r="H218" s="113"/>
      <c r="I218" s="129"/>
      <c r="J218" s="129"/>
      <c r="K218" s="129"/>
      <c r="L218" s="130"/>
      <c r="M218" s="162"/>
      <c r="N218" s="162"/>
      <c r="O218" s="163"/>
      <c r="Q218" s="161"/>
      <c r="R218" s="161"/>
      <c r="S218" s="161"/>
      <c r="T218" s="162"/>
      <c r="U218" s="162"/>
      <c r="V218" s="164"/>
      <c r="W218" s="163"/>
      <c r="X218" s="155"/>
      <c r="Y218" s="161"/>
      <c r="Z218" s="161"/>
      <c r="AA218" s="161"/>
      <c r="AB218" s="162"/>
      <c r="AC218" s="162"/>
      <c r="AD218" s="164"/>
      <c r="AE218" s="163"/>
      <c r="AF218" s="155"/>
      <c r="AG218" s="161"/>
      <c r="AH218" s="161"/>
      <c r="AI218" s="161"/>
      <c r="AJ218" s="162"/>
      <c r="AK218" s="162"/>
      <c r="AL218" s="164"/>
      <c r="AM218" s="163"/>
      <c r="AN218" s="155"/>
      <c r="AO218" s="161"/>
      <c r="AP218" s="161"/>
      <c r="AQ218" s="161"/>
      <c r="AR218" s="162"/>
      <c r="AS218" s="162"/>
      <c r="AT218" s="164"/>
      <c r="AU218" s="163"/>
    </row>
    <row r="219" spans="1:47" ht="15.95" customHeight="1" x14ac:dyDescent="0.2">
      <c r="A219" s="629"/>
      <c r="B219" s="629"/>
      <c r="C219" s="629"/>
      <c r="D219" s="630"/>
      <c r="E219" s="630"/>
      <c r="F219" s="631"/>
      <c r="G219" s="628" t="s">
        <v>169</v>
      </c>
      <c r="H219" s="113"/>
      <c r="I219" s="129"/>
      <c r="J219" s="129"/>
      <c r="K219" s="129"/>
      <c r="L219" s="130"/>
      <c r="M219" s="162"/>
      <c r="N219" s="162"/>
      <c r="O219" s="163"/>
      <c r="Q219" s="161"/>
      <c r="R219" s="161"/>
      <c r="S219" s="161"/>
      <c r="T219" s="162"/>
      <c r="U219" s="162"/>
      <c r="V219" s="164"/>
      <c r="W219" s="163"/>
      <c r="X219" s="155"/>
      <c r="Y219" s="161"/>
      <c r="Z219" s="161"/>
      <c r="AA219" s="161"/>
      <c r="AB219" s="162"/>
      <c r="AC219" s="162"/>
      <c r="AD219" s="164"/>
      <c r="AE219" s="163"/>
      <c r="AF219" s="155"/>
      <c r="AG219" s="161"/>
      <c r="AH219" s="161"/>
      <c r="AI219" s="161"/>
      <c r="AJ219" s="162"/>
      <c r="AK219" s="162"/>
      <c r="AL219" s="164"/>
      <c r="AM219" s="163"/>
      <c r="AN219" s="155"/>
      <c r="AO219" s="161"/>
      <c r="AP219" s="161"/>
      <c r="AQ219" s="161"/>
      <c r="AR219" s="162"/>
      <c r="AS219" s="162"/>
      <c r="AT219" s="164"/>
      <c r="AU219" s="163"/>
    </row>
    <row r="220" spans="1:47" ht="15.95" customHeight="1" x14ac:dyDescent="0.2">
      <c r="A220" s="629"/>
      <c r="B220" s="629"/>
      <c r="C220" s="629"/>
      <c r="D220" s="630"/>
      <c r="E220" s="630"/>
      <c r="F220" s="631"/>
      <c r="G220" s="628" t="s">
        <v>169</v>
      </c>
      <c r="H220" s="113"/>
      <c r="I220" s="129"/>
      <c r="J220" s="129"/>
      <c r="K220" s="129"/>
      <c r="L220" s="130"/>
      <c r="M220" s="162"/>
      <c r="N220" s="162"/>
      <c r="O220" s="163"/>
      <c r="Q220" s="161"/>
      <c r="R220" s="161"/>
      <c r="S220" s="161"/>
      <c r="T220" s="162"/>
      <c r="U220" s="162"/>
      <c r="V220" s="164"/>
      <c r="W220" s="163"/>
      <c r="X220" s="155"/>
      <c r="Y220" s="161"/>
      <c r="Z220" s="161"/>
      <c r="AA220" s="161"/>
      <c r="AB220" s="162"/>
      <c r="AC220" s="162"/>
      <c r="AD220" s="164"/>
      <c r="AE220" s="163"/>
      <c r="AF220" s="155"/>
      <c r="AG220" s="161"/>
      <c r="AH220" s="161"/>
      <c r="AI220" s="161"/>
      <c r="AJ220" s="162"/>
      <c r="AK220" s="162"/>
      <c r="AL220" s="164"/>
      <c r="AM220" s="163"/>
      <c r="AN220" s="155"/>
      <c r="AO220" s="161"/>
      <c r="AP220" s="161"/>
      <c r="AQ220" s="161"/>
      <c r="AR220" s="162"/>
      <c r="AS220" s="162"/>
      <c r="AT220" s="164"/>
      <c r="AU220" s="163"/>
    </row>
    <row r="221" spans="1:47" ht="15.95" customHeight="1" x14ac:dyDescent="0.2">
      <c r="A221" s="629"/>
      <c r="B221" s="629"/>
      <c r="C221" s="629"/>
      <c r="D221" s="630"/>
      <c r="E221" s="630"/>
      <c r="F221" s="631"/>
      <c r="G221" s="628" t="s">
        <v>169</v>
      </c>
      <c r="H221" s="113"/>
      <c r="I221" s="129"/>
      <c r="J221" s="129"/>
      <c r="K221" s="129"/>
      <c r="L221" s="130"/>
      <c r="M221" s="162"/>
      <c r="N221" s="162"/>
      <c r="O221" s="163"/>
      <c r="Q221" s="161"/>
      <c r="R221" s="161"/>
      <c r="S221" s="161"/>
      <c r="T221" s="162"/>
      <c r="U221" s="162"/>
      <c r="V221" s="164"/>
      <c r="W221" s="163"/>
      <c r="X221" s="155"/>
      <c r="Y221" s="161"/>
      <c r="Z221" s="161"/>
      <c r="AA221" s="161"/>
      <c r="AB221" s="162"/>
      <c r="AC221" s="162"/>
      <c r="AD221" s="164"/>
      <c r="AE221" s="163"/>
      <c r="AF221" s="155"/>
      <c r="AG221" s="161"/>
      <c r="AH221" s="161"/>
      <c r="AI221" s="161"/>
      <c r="AJ221" s="162"/>
      <c r="AK221" s="162"/>
      <c r="AL221" s="164"/>
      <c r="AM221" s="163"/>
      <c r="AN221" s="155"/>
      <c r="AO221" s="161"/>
      <c r="AP221" s="161"/>
      <c r="AQ221" s="161"/>
      <c r="AR221" s="162"/>
      <c r="AS221" s="162"/>
      <c r="AT221" s="164"/>
      <c r="AU221" s="163"/>
    </row>
    <row r="222" spans="1:47" ht="15.95" customHeight="1" x14ac:dyDescent="0.2">
      <c r="A222" s="629"/>
      <c r="B222" s="629"/>
      <c r="C222" s="629"/>
      <c r="D222" s="630"/>
      <c r="E222" s="630"/>
      <c r="F222" s="631"/>
      <c r="G222" s="628" t="s">
        <v>169</v>
      </c>
      <c r="H222" s="113"/>
      <c r="I222" s="129"/>
      <c r="J222" s="129"/>
      <c r="K222" s="129"/>
      <c r="L222" s="130"/>
      <c r="M222" s="162"/>
      <c r="N222" s="162"/>
      <c r="O222" s="163"/>
      <c r="Q222" s="161"/>
      <c r="R222" s="161"/>
      <c r="S222" s="161"/>
      <c r="T222" s="162"/>
      <c r="U222" s="162"/>
      <c r="V222" s="164"/>
      <c r="W222" s="163"/>
      <c r="X222" s="155"/>
      <c r="Y222" s="161"/>
      <c r="Z222" s="161"/>
      <c r="AA222" s="161"/>
      <c r="AB222" s="162"/>
      <c r="AC222" s="162"/>
      <c r="AD222" s="164"/>
      <c r="AE222" s="163"/>
      <c r="AF222" s="155"/>
      <c r="AG222" s="161"/>
      <c r="AH222" s="161"/>
      <c r="AI222" s="161"/>
      <c r="AJ222" s="162"/>
      <c r="AK222" s="162"/>
      <c r="AL222" s="164"/>
      <c r="AM222" s="163"/>
      <c r="AN222" s="155"/>
      <c r="AO222" s="161"/>
      <c r="AP222" s="161"/>
      <c r="AQ222" s="161"/>
      <c r="AR222" s="162"/>
      <c r="AS222" s="162"/>
      <c r="AT222" s="164"/>
      <c r="AU222" s="163"/>
    </row>
    <row r="223" spans="1:47" ht="15.95" customHeight="1" x14ac:dyDescent="0.2">
      <c r="A223" s="629"/>
      <c r="B223" s="629"/>
      <c r="C223" s="629"/>
      <c r="D223" s="630"/>
      <c r="E223" s="630"/>
      <c r="F223" s="631"/>
      <c r="G223" s="628" t="s">
        <v>169</v>
      </c>
      <c r="H223" s="113"/>
      <c r="I223" s="129"/>
      <c r="J223" s="129"/>
      <c r="K223" s="129"/>
      <c r="L223" s="130"/>
      <c r="M223" s="162"/>
      <c r="N223" s="162"/>
      <c r="O223" s="163"/>
      <c r="Q223" s="161"/>
      <c r="R223" s="161"/>
      <c r="S223" s="161"/>
      <c r="T223" s="162"/>
      <c r="U223" s="162"/>
      <c r="V223" s="164"/>
      <c r="W223" s="163"/>
      <c r="X223" s="155"/>
      <c r="Y223" s="161"/>
      <c r="Z223" s="161"/>
      <c r="AA223" s="161"/>
      <c r="AB223" s="162"/>
      <c r="AC223" s="162"/>
      <c r="AD223" s="164"/>
      <c r="AE223" s="163"/>
      <c r="AF223" s="155"/>
      <c r="AG223" s="161"/>
      <c r="AH223" s="161"/>
      <c r="AI223" s="161"/>
      <c r="AJ223" s="162"/>
      <c r="AK223" s="162"/>
      <c r="AL223" s="164"/>
      <c r="AM223" s="163"/>
      <c r="AN223" s="155"/>
      <c r="AO223" s="161"/>
      <c r="AP223" s="161"/>
      <c r="AQ223" s="161"/>
      <c r="AR223" s="162"/>
      <c r="AS223" s="162"/>
      <c r="AT223" s="164"/>
      <c r="AU223" s="163"/>
    </row>
    <row r="224" spans="1:47" ht="15.95" customHeight="1" x14ac:dyDescent="0.2">
      <c r="A224" s="629"/>
      <c r="B224" s="629"/>
      <c r="C224" s="629"/>
      <c r="D224" s="630"/>
      <c r="E224" s="630"/>
      <c r="F224" s="631"/>
      <c r="G224" s="628" t="s">
        <v>169</v>
      </c>
      <c r="H224" s="113"/>
      <c r="I224" s="129"/>
      <c r="J224" s="129"/>
      <c r="K224" s="129"/>
      <c r="L224" s="130"/>
      <c r="M224" s="162"/>
      <c r="N224" s="162"/>
      <c r="O224" s="163"/>
      <c r="Q224" s="161"/>
      <c r="R224" s="161"/>
      <c r="S224" s="161"/>
      <c r="T224" s="162"/>
      <c r="U224" s="162"/>
      <c r="V224" s="164"/>
      <c r="W224" s="163"/>
      <c r="X224" s="155"/>
      <c r="Y224" s="161"/>
      <c r="Z224" s="161"/>
      <c r="AA224" s="161"/>
      <c r="AB224" s="162"/>
      <c r="AC224" s="162"/>
      <c r="AD224" s="164"/>
      <c r="AE224" s="163"/>
      <c r="AF224" s="155"/>
      <c r="AG224" s="161"/>
      <c r="AH224" s="161"/>
      <c r="AI224" s="161"/>
      <c r="AJ224" s="162"/>
      <c r="AK224" s="162"/>
      <c r="AL224" s="164"/>
      <c r="AM224" s="163"/>
      <c r="AN224" s="155"/>
      <c r="AO224" s="161"/>
      <c r="AP224" s="161"/>
      <c r="AQ224" s="161"/>
      <c r="AR224" s="162"/>
      <c r="AS224" s="162"/>
      <c r="AT224" s="164"/>
      <c r="AU224" s="163"/>
    </row>
    <row r="225" spans="1:47" ht="15.95" customHeight="1" x14ac:dyDescent="0.2">
      <c r="A225" s="629"/>
      <c r="B225" s="629"/>
      <c r="C225" s="629"/>
      <c r="D225" s="630"/>
      <c r="E225" s="630"/>
      <c r="F225" s="631"/>
      <c r="G225" s="628" t="s">
        <v>169</v>
      </c>
      <c r="H225" s="113"/>
      <c r="I225" s="129"/>
      <c r="J225" s="129"/>
      <c r="K225" s="129"/>
      <c r="L225" s="130"/>
      <c r="M225" s="162"/>
      <c r="N225" s="162"/>
      <c r="O225" s="163"/>
      <c r="Q225" s="161"/>
      <c r="R225" s="161"/>
      <c r="S225" s="161"/>
      <c r="T225" s="162"/>
      <c r="U225" s="162"/>
      <c r="V225" s="164"/>
      <c r="W225" s="163"/>
      <c r="X225" s="155"/>
      <c r="Y225" s="161"/>
      <c r="Z225" s="161"/>
      <c r="AA225" s="161"/>
      <c r="AB225" s="162"/>
      <c r="AC225" s="162"/>
      <c r="AD225" s="164"/>
      <c r="AE225" s="163"/>
      <c r="AF225" s="155"/>
      <c r="AG225" s="161"/>
      <c r="AH225" s="161"/>
      <c r="AI225" s="161"/>
      <c r="AJ225" s="162"/>
      <c r="AK225" s="162"/>
      <c r="AL225" s="164"/>
      <c r="AM225" s="163"/>
      <c r="AN225" s="155"/>
      <c r="AO225" s="161"/>
      <c r="AP225" s="161"/>
      <c r="AQ225" s="161"/>
      <c r="AR225" s="162"/>
      <c r="AS225" s="162"/>
      <c r="AT225" s="164"/>
      <c r="AU225" s="163"/>
    </row>
    <row r="226" spans="1:47" ht="15.95" customHeight="1" x14ac:dyDescent="0.2">
      <c r="A226" s="629"/>
      <c r="B226" s="629"/>
      <c r="C226" s="629"/>
      <c r="D226" s="630"/>
      <c r="E226" s="630"/>
      <c r="F226" s="631"/>
      <c r="G226" s="628" t="s">
        <v>169</v>
      </c>
      <c r="H226" s="113"/>
      <c r="I226" s="129"/>
      <c r="J226" s="129"/>
      <c r="K226" s="129"/>
      <c r="L226" s="130"/>
      <c r="M226" s="162"/>
      <c r="N226" s="162"/>
      <c r="O226" s="163"/>
      <c r="Q226" s="161"/>
      <c r="R226" s="161"/>
      <c r="S226" s="161"/>
      <c r="T226" s="162"/>
      <c r="U226" s="162"/>
      <c r="V226" s="164"/>
      <c r="W226" s="163"/>
      <c r="X226" s="155"/>
      <c r="Y226" s="161"/>
      <c r="Z226" s="161"/>
      <c r="AA226" s="161"/>
      <c r="AB226" s="162"/>
      <c r="AC226" s="162"/>
      <c r="AD226" s="164"/>
      <c r="AE226" s="163"/>
      <c r="AF226" s="155"/>
      <c r="AG226" s="161"/>
      <c r="AH226" s="161"/>
      <c r="AI226" s="161"/>
      <c r="AJ226" s="162"/>
      <c r="AK226" s="162"/>
      <c r="AL226" s="164"/>
      <c r="AM226" s="163"/>
      <c r="AN226" s="155"/>
      <c r="AO226" s="161"/>
      <c r="AP226" s="161"/>
      <c r="AQ226" s="161"/>
      <c r="AR226" s="162"/>
      <c r="AS226" s="162"/>
      <c r="AT226" s="164"/>
      <c r="AU226" s="163"/>
    </row>
    <row r="227" spans="1:47" ht="15.95" customHeight="1" x14ac:dyDescent="0.2">
      <c r="A227" s="629"/>
      <c r="B227" s="629"/>
      <c r="C227" s="629"/>
      <c r="D227" s="630"/>
      <c r="E227" s="630"/>
      <c r="F227" s="631"/>
      <c r="G227" s="628" t="s">
        <v>169</v>
      </c>
      <c r="H227" s="113"/>
      <c r="I227" s="129"/>
      <c r="J227" s="129"/>
      <c r="K227" s="129"/>
      <c r="L227" s="130"/>
      <c r="M227" s="162"/>
      <c r="N227" s="162"/>
      <c r="O227" s="163"/>
      <c r="Q227" s="161"/>
      <c r="R227" s="161"/>
      <c r="S227" s="161"/>
      <c r="T227" s="162"/>
      <c r="U227" s="162"/>
      <c r="V227" s="164"/>
      <c r="W227" s="163"/>
      <c r="X227" s="155"/>
      <c r="Y227" s="161"/>
      <c r="Z227" s="161"/>
      <c r="AA227" s="161"/>
      <c r="AB227" s="162"/>
      <c r="AC227" s="162"/>
      <c r="AD227" s="164"/>
      <c r="AE227" s="163"/>
      <c r="AF227" s="155"/>
      <c r="AG227" s="161"/>
      <c r="AH227" s="161"/>
      <c r="AI227" s="161"/>
      <c r="AJ227" s="162"/>
      <c r="AK227" s="162"/>
      <c r="AL227" s="164"/>
      <c r="AM227" s="163"/>
      <c r="AN227" s="155"/>
      <c r="AO227" s="161"/>
      <c r="AP227" s="161"/>
      <c r="AQ227" s="161"/>
      <c r="AR227" s="162"/>
      <c r="AS227" s="162"/>
      <c r="AT227" s="164"/>
      <c r="AU227" s="163"/>
    </row>
    <row r="228" spans="1:47" ht="15.95" customHeight="1" x14ac:dyDescent="0.2">
      <c r="A228" s="629"/>
      <c r="B228" s="629"/>
      <c r="C228" s="629"/>
      <c r="D228" s="630"/>
      <c r="E228" s="630"/>
      <c r="F228" s="631"/>
      <c r="G228" s="628" t="s">
        <v>169</v>
      </c>
      <c r="H228" s="113"/>
      <c r="I228" s="129"/>
      <c r="J228" s="129"/>
      <c r="K228" s="129"/>
      <c r="L228" s="130"/>
      <c r="M228" s="162"/>
      <c r="N228" s="162"/>
      <c r="O228" s="163"/>
      <c r="Q228" s="161"/>
      <c r="R228" s="161"/>
      <c r="S228" s="161"/>
      <c r="T228" s="162"/>
      <c r="U228" s="162"/>
      <c r="V228" s="164"/>
      <c r="W228" s="163"/>
      <c r="X228" s="155"/>
      <c r="Y228" s="161"/>
      <c r="Z228" s="161"/>
      <c r="AA228" s="161"/>
      <c r="AB228" s="162"/>
      <c r="AC228" s="162"/>
      <c r="AD228" s="164"/>
      <c r="AE228" s="163"/>
      <c r="AF228" s="155"/>
      <c r="AG228" s="161"/>
      <c r="AH228" s="161"/>
      <c r="AI228" s="161"/>
      <c r="AJ228" s="162"/>
      <c r="AK228" s="162"/>
      <c r="AL228" s="164"/>
      <c r="AM228" s="163"/>
      <c r="AN228" s="155"/>
      <c r="AO228" s="161"/>
      <c r="AP228" s="161"/>
      <c r="AQ228" s="161"/>
      <c r="AR228" s="162"/>
      <c r="AS228" s="162"/>
      <c r="AT228" s="164"/>
      <c r="AU228" s="163"/>
    </row>
    <row r="229" spans="1:47" ht="15.95" customHeight="1" x14ac:dyDescent="0.2">
      <c r="A229" s="629"/>
      <c r="B229" s="629"/>
      <c r="C229" s="629"/>
      <c r="D229" s="630"/>
      <c r="E229" s="630"/>
      <c r="F229" s="631"/>
      <c r="G229" s="628" t="s">
        <v>169</v>
      </c>
      <c r="H229" s="113"/>
      <c r="I229" s="129"/>
      <c r="J229" s="129"/>
      <c r="K229" s="129"/>
      <c r="L229" s="130"/>
      <c r="M229" s="162"/>
      <c r="N229" s="162"/>
      <c r="O229" s="163"/>
      <c r="Q229" s="161"/>
      <c r="R229" s="161"/>
      <c r="S229" s="161"/>
      <c r="T229" s="162"/>
      <c r="U229" s="162"/>
      <c r="V229" s="164"/>
      <c r="W229" s="163"/>
      <c r="X229" s="155"/>
      <c r="Y229" s="161"/>
      <c r="Z229" s="161"/>
      <c r="AA229" s="161"/>
      <c r="AB229" s="162"/>
      <c r="AC229" s="162"/>
      <c r="AD229" s="164"/>
      <c r="AE229" s="163"/>
      <c r="AF229" s="155"/>
      <c r="AG229" s="161"/>
      <c r="AH229" s="161"/>
      <c r="AI229" s="161"/>
      <c r="AJ229" s="162"/>
      <c r="AK229" s="162"/>
      <c r="AL229" s="164"/>
      <c r="AM229" s="163"/>
      <c r="AN229" s="155"/>
      <c r="AO229" s="161"/>
      <c r="AP229" s="161"/>
      <c r="AQ229" s="161"/>
      <c r="AR229" s="162"/>
      <c r="AS229" s="162"/>
      <c r="AT229" s="164"/>
      <c r="AU229" s="163"/>
    </row>
    <row r="230" spans="1:47" ht="15.95" customHeight="1" x14ac:dyDescent="0.2">
      <c r="A230" s="629"/>
      <c r="B230" s="629"/>
      <c r="C230" s="629"/>
      <c r="D230" s="630"/>
      <c r="E230" s="630"/>
      <c r="F230" s="631"/>
      <c r="G230" s="628" t="s">
        <v>169</v>
      </c>
      <c r="H230" s="113"/>
      <c r="I230" s="129"/>
      <c r="J230" s="129"/>
      <c r="K230" s="129"/>
      <c r="L230" s="130"/>
      <c r="M230" s="162"/>
      <c r="N230" s="162"/>
      <c r="O230" s="163"/>
      <c r="Q230" s="161"/>
      <c r="R230" s="161"/>
      <c r="S230" s="161"/>
      <c r="T230" s="162"/>
      <c r="U230" s="162"/>
      <c r="V230" s="164"/>
      <c r="W230" s="163"/>
      <c r="X230" s="155"/>
      <c r="Y230" s="161"/>
      <c r="Z230" s="161"/>
      <c r="AA230" s="161"/>
      <c r="AB230" s="162"/>
      <c r="AC230" s="162"/>
      <c r="AD230" s="164"/>
      <c r="AE230" s="163"/>
      <c r="AF230" s="155"/>
      <c r="AG230" s="161"/>
      <c r="AH230" s="161"/>
      <c r="AI230" s="161"/>
      <c r="AJ230" s="162"/>
      <c r="AK230" s="162"/>
      <c r="AL230" s="164"/>
      <c r="AM230" s="163"/>
      <c r="AN230" s="155"/>
      <c r="AO230" s="161"/>
      <c r="AP230" s="161"/>
      <c r="AQ230" s="161"/>
      <c r="AR230" s="162"/>
      <c r="AS230" s="162"/>
      <c r="AT230" s="164"/>
      <c r="AU230" s="163"/>
    </row>
    <row r="231" spans="1:47" ht="15.95" customHeight="1" x14ac:dyDescent="0.2">
      <c r="A231" s="629"/>
      <c r="B231" s="629"/>
      <c r="C231" s="629"/>
      <c r="D231" s="630"/>
      <c r="E231" s="630"/>
      <c r="F231" s="631"/>
      <c r="G231" s="628" t="s">
        <v>169</v>
      </c>
      <c r="H231" s="113"/>
      <c r="I231" s="129"/>
      <c r="J231" s="129"/>
      <c r="K231" s="129"/>
      <c r="L231" s="130"/>
      <c r="M231" s="162"/>
      <c r="N231" s="162"/>
      <c r="O231" s="163"/>
      <c r="Q231" s="161"/>
      <c r="R231" s="161"/>
      <c r="S231" s="161"/>
      <c r="T231" s="162"/>
      <c r="U231" s="162"/>
      <c r="V231" s="164"/>
      <c r="W231" s="163"/>
      <c r="X231" s="155"/>
      <c r="Y231" s="161"/>
      <c r="Z231" s="161"/>
      <c r="AA231" s="161"/>
      <c r="AB231" s="162"/>
      <c r="AC231" s="162"/>
      <c r="AD231" s="164"/>
      <c r="AE231" s="163"/>
      <c r="AF231" s="155"/>
      <c r="AG231" s="161"/>
      <c r="AH231" s="161"/>
      <c r="AI231" s="161"/>
      <c r="AJ231" s="162"/>
      <c r="AK231" s="162"/>
      <c r="AL231" s="164"/>
      <c r="AM231" s="163"/>
      <c r="AN231" s="155"/>
      <c r="AO231" s="161"/>
      <c r="AP231" s="161"/>
      <c r="AQ231" s="161"/>
      <c r="AR231" s="162"/>
      <c r="AS231" s="162"/>
      <c r="AT231" s="164"/>
      <c r="AU231" s="163"/>
    </row>
    <row r="232" spans="1:47" ht="15.95" customHeight="1" x14ac:dyDescent="0.2">
      <c r="A232" s="629"/>
      <c r="B232" s="629"/>
      <c r="C232" s="629"/>
      <c r="D232" s="630"/>
      <c r="E232" s="630"/>
      <c r="F232" s="631"/>
      <c r="G232" s="628" t="s">
        <v>169</v>
      </c>
      <c r="H232" s="113"/>
      <c r="I232" s="129"/>
      <c r="J232" s="129"/>
      <c r="K232" s="129"/>
      <c r="L232" s="130"/>
      <c r="M232" s="162"/>
      <c r="N232" s="162"/>
      <c r="O232" s="163"/>
      <c r="Q232" s="161"/>
      <c r="R232" s="161"/>
      <c r="S232" s="161"/>
      <c r="T232" s="162"/>
      <c r="U232" s="162"/>
      <c r="V232" s="164"/>
      <c r="W232" s="163"/>
      <c r="X232" s="155"/>
      <c r="Y232" s="161"/>
      <c r="Z232" s="161"/>
      <c r="AA232" s="161"/>
      <c r="AB232" s="162"/>
      <c r="AC232" s="162"/>
      <c r="AD232" s="164"/>
      <c r="AE232" s="163"/>
      <c r="AF232" s="155"/>
      <c r="AG232" s="161"/>
      <c r="AH232" s="161"/>
      <c r="AI232" s="161"/>
      <c r="AJ232" s="162"/>
      <c r="AK232" s="162"/>
      <c r="AL232" s="164"/>
      <c r="AM232" s="163"/>
      <c r="AN232" s="155"/>
      <c r="AO232" s="161"/>
      <c r="AP232" s="161"/>
      <c r="AQ232" s="161"/>
      <c r="AR232" s="162"/>
      <c r="AS232" s="162"/>
      <c r="AT232" s="164"/>
      <c r="AU232" s="163"/>
    </row>
    <row r="233" spans="1:47" ht="15.95" customHeight="1" x14ac:dyDescent="0.2">
      <c r="A233" s="629"/>
      <c r="B233" s="629"/>
      <c r="C233" s="629"/>
      <c r="D233" s="630"/>
      <c r="E233" s="630"/>
      <c r="F233" s="631"/>
      <c r="G233" s="628" t="s">
        <v>169</v>
      </c>
      <c r="H233" s="113"/>
      <c r="I233" s="129"/>
      <c r="J233" s="129"/>
      <c r="K233" s="129"/>
      <c r="L233" s="130"/>
      <c r="M233" s="162"/>
      <c r="N233" s="162"/>
      <c r="O233" s="163"/>
      <c r="Q233" s="161"/>
      <c r="R233" s="161"/>
      <c r="S233" s="161"/>
      <c r="T233" s="162"/>
      <c r="U233" s="162"/>
      <c r="V233" s="164"/>
      <c r="W233" s="163"/>
      <c r="X233" s="155"/>
      <c r="Y233" s="161"/>
      <c r="Z233" s="161"/>
      <c r="AA233" s="161"/>
      <c r="AB233" s="162"/>
      <c r="AC233" s="162"/>
      <c r="AD233" s="164"/>
      <c r="AE233" s="163"/>
      <c r="AF233" s="155"/>
      <c r="AG233" s="161"/>
      <c r="AH233" s="161"/>
      <c r="AI233" s="161"/>
      <c r="AJ233" s="162"/>
      <c r="AK233" s="162"/>
      <c r="AL233" s="164"/>
      <c r="AM233" s="163"/>
      <c r="AN233" s="155"/>
      <c r="AO233" s="161"/>
      <c r="AP233" s="161"/>
      <c r="AQ233" s="161"/>
      <c r="AR233" s="162"/>
      <c r="AS233" s="162"/>
      <c r="AT233" s="164"/>
      <c r="AU233" s="163"/>
    </row>
    <row r="234" spans="1:47" ht="15.95" customHeight="1" x14ac:dyDescent="0.2">
      <c r="A234" s="629"/>
      <c r="B234" s="629"/>
      <c r="C234" s="629"/>
      <c r="D234" s="630"/>
      <c r="E234" s="630"/>
      <c r="F234" s="631"/>
      <c r="G234" s="628" t="s">
        <v>169</v>
      </c>
      <c r="H234" s="113"/>
      <c r="I234" s="129"/>
      <c r="J234" s="129"/>
      <c r="K234" s="129"/>
      <c r="L234" s="130"/>
      <c r="M234" s="162"/>
      <c r="N234" s="162"/>
      <c r="O234" s="163"/>
      <c r="Q234" s="161"/>
      <c r="R234" s="161"/>
      <c r="S234" s="161"/>
      <c r="T234" s="162"/>
      <c r="U234" s="162"/>
      <c r="V234" s="164"/>
      <c r="W234" s="163"/>
      <c r="X234" s="155"/>
      <c r="Y234" s="161"/>
      <c r="Z234" s="161"/>
      <c r="AA234" s="161"/>
      <c r="AB234" s="162"/>
      <c r="AC234" s="162"/>
      <c r="AD234" s="164"/>
      <c r="AE234" s="163"/>
      <c r="AF234" s="155"/>
      <c r="AG234" s="161"/>
      <c r="AH234" s="161"/>
      <c r="AI234" s="161"/>
      <c r="AJ234" s="162"/>
      <c r="AK234" s="162"/>
      <c r="AL234" s="164"/>
      <c r="AM234" s="163"/>
      <c r="AN234" s="155"/>
      <c r="AO234" s="161"/>
      <c r="AP234" s="161"/>
      <c r="AQ234" s="161"/>
      <c r="AR234" s="162"/>
      <c r="AS234" s="162"/>
      <c r="AT234" s="164"/>
      <c r="AU234" s="163"/>
    </row>
    <row r="235" spans="1:47" ht="15.95" customHeight="1" x14ac:dyDescent="0.2">
      <c r="A235" s="629"/>
      <c r="B235" s="629"/>
      <c r="C235" s="629"/>
      <c r="D235" s="630"/>
      <c r="E235" s="630"/>
      <c r="F235" s="631"/>
      <c r="G235" s="628" t="s">
        <v>169</v>
      </c>
      <c r="H235" s="113"/>
      <c r="I235" s="129"/>
      <c r="J235" s="129"/>
      <c r="K235" s="129"/>
      <c r="L235" s="130"/>
      <c r="M235" s="162"/>
      <c r="N235" s="162"/>
      <c r="O235" s="163"/>
      <c r="Q235" s="161"/>
      <c r="R235" s="161"/>
      <c r="S235" s="161"/>
      <c r="T235" s="162"/>
      <c r="U235" s="162"/>
      <c r="V235" s="164"/>
      <c r="W235" s="163"/>
      <c r="X235" s="155"/>
      <c r="Y235" s="161"/>
      <c r="Z235" s="161"/>
      <c r="AA235" s="161"/>
      <c r="AB235" s="162"/>
      <c r="AC235" s="162"/>
      <c r="AD235" s="164"/>
      <c r="AE235" s="163"/>
      <c r="AF235" s="155"/>
      <c r="AG235" s="161"/>
      <c r="AH235" s="161"/>
      <c r="AI235" s="161"/>
      <c r="AJ235" s="162"/>
      <c r="AK235" s="162"/>
      <c r="AL235" s="164"/>
      <c r="AM235" s="163"/>
      <c r="AN235" s="155"/>
      <c r="AO235" s="161"/>
      <c r="AP235" s="161"/>
      <c r="AQ235" s="161"/>
      <c r="AR235" s="162"/>
      <c r="AS235" s="162"/>
      <c r="AT235" s="164"/>
      <c r="AU235" s="163"/>
    </row>
    <row r="236" spans="1:47" ht="15.95" customHeight="1" x14ac:dyDescent="0.2">
      <c r="A236" s="629"/>
      <c r="B236" s="629"/>
      <c r="C236" s="629"/>
      <c r="D236" s="630"/>
      <c r="E236" s="630"/>
      <c r="F236" s="631"/>
      <c r="G236" s="628" t="s">
        <v>169</v>
      </c>
      <c r="H236" s="113"/>
      <c r="I236" s="129"/>
      <c r="J236" s="129"/>
      <c r="K236" s="129"/>
      <c r="L236" s="130"/>
      <c r="M236" s="162"/>
      <c r="N236" s="162"/>
      <c r="O236" s="163"/>
      <c r="Q236" s="161"/>
      <c r="R236" s="161"/>
      <c r="S236" s="161"/>
      <c r="T236" s="162"/>
      <c r="U236" s="162"/>
      <c r="V236" s="164"/>
      <c r="W236" s="163"/>
      <c r="X236" s="155"/>
      <c r="Y236" s="161"/>
      <c r="Z236" s="161"/>
      <c r="AA236" s="161"/>
      <c r="AB236" s="162"/>
      <c r="AC236" s="162"/>
      <c r="AD236" s="164"/>
      <c r="AE236" s="163"/>
      <c r="AF236" s="155"/>
      <c r="AG236" s="161"/>
      <c r="AH236" s="161"/>
      <c r="AI236" s="161"/>
      <c r="AJ236" s="162"/>
      <c r="AK236" s="162"/>
      <c r="AL236" s="164"/>
      <c r="AM236" s="163"/>
      <c r="AN236" s="155"/>
      <c r="AO236" s="161"/>
      <c r="AP236" s="161"/>
      <c r="AQ236" s="161"/>
      <c r="AR236" s="162"/>
      <c r="AS236" s="162"/>
      <c r="AT236" s="164"/>
      <c r="AU236" s="163"/>
    </row>
    <row r="237" spans="1:47" ht="15.95" customHeight="1" x14ac:dyDescent="0.2">
      <c r="A237" s="629"/>
      <c r="B237" s="629"/>
      <c r="C237" s="629"/>
      <c r="D237" s="630"/>
      <c r="E237" s="630"/>
      <c r="F237" s="631"/>
      <c r="G237" s="628" t="s">
        <v>169</v>
      </c>
      <c r="H237" s="113"/>
      <c r="I237" s="129"/>
      <c r="J237" s="129"/>
      <c r="K237" s="129"/>
      <c r="L237" s="130"/>
      <c r="M237" s="162"/>
      <c r="N237" s="162"/>
      <c r="O237" s="163"/>
      <c r="Q237" s="161"/>
      <c r="R237" s="161"/>
      <c r="S237" s="161"/>
      <c r="T237" s="162"/>
      <c r="U237" s="162"/>
      <c r="V237" s="164"/>
      <c r="W237" s="163"/>
      <c r="X237" s="155"/>
      <c r="Y237" s="161"/>
      <c r="Z237" s="161"/>
      <c r="AA237" s="161"/>
      <c r="AB237" s="162"/>
      <c r="AC237" s="162"/>
      <c r="AD237" s="164"/>
      <c r="AE237" s="163"/>
      <c r="AF237" s="155"/>
      <c r="AG237" s="161"/>
      <c r="AH237" s="161"/>
      <c r="AI237" s="161"/>
      <c r="AJ237" s="162"/>
      <c r="AK237" s="162"/>
      <c r="AL237" s="164"/>
      <c r="AM237" s="163"/>
      <c r="AN237" s="155"/>
      <c r="AO237" s="161"/>
      <c r="AP237" s="161"/>
      <c r="AQ237" s="161"/>
      <c r="AR237" s="162"/>
      <c r="AS237" s="162"/>
      <c r="AT237" s="164"/>
      <c r="AU237" s="163"/>
    </row>
    <row r="238" spans="1:47" ht="15.95" customHeight="1" x14ac:dyDescent="0.2">
      <c r="A238" s="629"/>
      <c r="B238" s="629"/>
      <c r="C238" s="629"/>
      <c r="D238" s="630"/>
      <c r="E238" s="630"/>
      <c r="F238" s="631"/>
      <c r="G238" s="628" t="s">
        <v>169</v>
      </c>
      <c r="H238" s="113"/>
      <c r="I238" s="129"/>
      <c r="J238" s="129"/>
      <c r="K238" s="129"/>
      <c r="L238" s="130"/>
      <c r="M238" s="162"/>
      <c r="N238" s="162"/>
      <c r="O238" s="163"/>
      <c r="Q238" s="161"/>
      <c r="R238" s="161"/>
      <c r="S238" s="161"/>
      <c r="T238" s="162"/>
      <c r="U238" s="162"/>
      <c r="V238" s="164"/>
      <c r="W238" s="163"/>
      <c r="X238" s="155"/>
      <c r="Y238" s="161"/>
      <c r="Z238" s="161"/>
      <c r="AA238" s="161"/>
      <c r="AB238" s="162"/>
      <c r="AC238" s="162"/>
      <c r="AD238" s="164"/>
      <c r="AE238" s="163"/>
      <c r="AF238" s="155"/>
      <c r="AG238" s="161"/>
      <c r="AH238" s="161"/>
      <c r="AI238" s="161"/>
      <c r="AJ238" s="162"/>
      <c r="AK238" s="162"/>
      <c r="AL238" s="164"/>
      <c r="AM238" s="163"/>
      <c r="AN238" s="155"/>
      <c r="AO238" s="161"/>
      <c r="AP238" s="161"/>
      <c r="AQ238" s="161"/>
      <c r="AR238" s="162"/>
      <c r="AS238" s="162"/>
      <c r="AT238" s="164"/>
      <c r="AU238" s="163"/>
    </row>
    <row r="239" spans="1:47" ht="15.95" customHeight="1" x14ac:dyDescent="0.2">
      <c r="A239" s="629"/>
      <c r="B239" s="629"/>
      <c r="C239" s="629"/>
      <c r="D239" s="630"/>
      <c r="E239" s="630"/>
      <c r="F239" s="631"/>
      <c r="G239" s="628" t="s">
        <v>169</v>
      </c>
      <c r="H239" s="113"/>
      <c r="I239" s="129"/>
      <c r="J239" s="129"/>
      <c r="K239" s="129"/>
      <c r="L239" s="130"/>
      <c r="M239" s="162"/>
      <c r="N239" s="162"/>
      <c r="O239" s="163"/>
      <c r="Q239" s="161"/>
      <c r="R239" s="161"/>
      <c r="S239" s="161"/>
      <c r="T239" s="162"/>
      <c r="U239" s="162"/>
      <c r="V239" s="164"/>
      <c r="W239" s="163"/>
      <c r="X239" s="155"/>
      <c r="Y239" s="161"/>
      <c r="Z239" s="161"/>
      <c r="AA239" s="161"/>
      <c r="AB239" s="162"/>
      <c r="AC239" s="162"/>
      <c r="AD239" s="164"/>
      <c r="AE239" s="163"/>
      <c r="AF239" s="155"/>
      <c r="AG239" s="161"/>
      <c r="AH239" s="161"/>
      <c r="AI239" s="161"/>
      <c r="AJ239" s="162"/>
      <c r="AK239" s="162"/>
      <c r="AL239" s="164"/>
      <c r="AM239" s="163"/>
      <c r="AN239" s="155"/>
      <c r="AO239" s="161"/>
      <c r="AP239" s="161"/>
      <c r="AQ239" s="161"/>
      <c r="AR239" s="162"/>
      <c r="AS239" s="162"/>
      <c r="AT239" s="164"/>
      <c r="AU239" s="163"/>
    </row>
    <row r="240" spans="1:47" ht="15.95" customHeight="1" x14ac:dyDescent="0.2">
      <c r="A240" s="629"/>
      <c r="B240" s="629"/>
      <c r="C240" s="629"/>
      <c r="D240" s="630"/>
      <c r="E240" s="630"/>
      <c r="F240" s="631"/>
      <c r="G240" s="628" t="s">
        <v>169</v>
      </c>
      <c r="H240" s="113"/>
      <c r="I240" s="129"/>
      <c r="J240" s="129"/>
      <c r="K240" s="129"/>
      <c r="L240" s="130"/>
      <c r="M240" s="162"/>
      <c r="N240" s="162"/>
      <c r="O240" s="163"/>
      <c r="Q240" s="161"/>
      <c r="R240" s="161"/>
      <c r="S240" s="161"/>
      <c r="T240" s="162"/>
      <c r="U240" s="162"/>
      <c r="V240" s="164"/>
      <c r="W240" s="163"/>
      <c r="X240" s="155"/>
      <c r="Y240" s="161"/>
      <c r="Z240" s="161"/>
      <c r="AA240" s="161"/>
      <c r="AB240" s="162"/>
      <c r="AC240" s="162"/>
      <c r="AD240" s="164"/>
      <c r="AE240" s="163"/>
      <c r="AF240" s="155"/>
      <c r="AG240" s="161"/>
      <c r="AH240" s="161"/>
      <c r="AI240" s="161"/>
      <c r="AJ240" s="162"/>
      <c r="AK240" s="162"/>
      <c r="AL240" s="164"/>
      <c r="AM240" s="163"/>
      <c r="AN240" s="155"/>
      <c r="AO240" s="161"/>
      <c r="AP240" s="161"/>
      <c r="AQ240" s="161"/>
      <c r="AR240" s="162"/>
      <c r="AS240" s="162"/>
      <c r="AT240" s="164"/>
      <c r="AU240" s="163"/>
    </row>
    <row r="241" spans="1:47" ht="15.95" customHeight="1" x14ac:dyDescent="0.2">
      <c r="A241" s="629"/>
      <c r="B241" s="629"/>
      <c r="C241" s="629"/>
      <c r="D241" s="630"/>
      <c r="E241" s="630"/>
      <c r="F241" s="631"/>
      <c r="G241" s="628" t="s">
        <v>169</v>
      </c>
      <c r="H241" s="113"/>
      <c r="I241" s="129"/>
      <c r="J241" s="129"/>
      <c r="K241" s="129"/>
      <c r="L241" s="130"/>
      <c r="M241" s="162"/>
      <c r="N241" s="162"/>
      <c r="O241" s="163"/>
      <c r="Q241" s="161"/>
      <c r="R241" s="161"/>
      <c r="S241" s="161"/>
      <c r="T241" s="162"/>
      <c r="U241" s="162"/>
      <c r="V241" s="164"/>
      <c r="W241" s="163"/>
      <c r="X241" s="155"/>
      <c r="Y241" s="161"/>
      <c r="Z241" s="161"/>
      <c r="AA241" s="161"/>
      <c r="AB241" s="162"/>
      <c r="AC241" s="162"/>
      <c r="AD241" s="164"/>
      <c r="AE241" s="163"/>
      <c r="AF241" s="155"/>
      <c r="AG241" s="161"/>
      <c r="AH241" s="161"/>
      <c r="AI241" s="161"/>
      <c r="AJ241" s="162"/>
      <c r="AK241" s="162"/>
      <c r="AL241" s="164"/>
      <c r="AM241" s="163"/>
      <c r="AN241" s="155"/>
      <c r="AO241" s="161"/>
      <c r="AP241" s="161"/>
      <c r="AQ241" s="161"/>
      <c r="AR241" s="162"/>
      <c r="AS241" s="162"/>
      <c r="AT241" s="164"/>
      <c r="AU241" s="163"/>
    </row>
    <row r="242" spans="1:47" ht="15.95" customHeight="1" x14ac:dyDescent="0.2">
      <c r="A242" s="629"/>
      <c r="B242" s="629"/>
      <c r="C242" s="629"/>
      <c r="D242" s="630"/>
      <c r="E242" s="630"/>
      <c r="F242" s="631"/>
      <c r="G242" s="628" t="s">
        <v>169</v>
      </c>
      <c r="H242" s="113"/>
      <c r="I242" s="129"/>
      <c r="J242" s="129"/>
      <c r="K242" s="129"/>
      <c r="L242" s="130"/>
      <c r="M242" s="162"/>
      <c r="N242" s="162"/>
      <c r="O242" s="163"/>
      <c r="Q242" s="161"/>
      <c r="R242" s="161"/>
      <c r="S242" s="161"/>
      <c r="T242" s="162"/>
      <c r="U242" s="162"/>
      <c r="V242" s="164"/>
      <c r="W242" s="163"/>
      <c r="X242" s="155"/>
      <c r="Y242" s="161"/>
      <c r="Z242" s="161"/>
      <c r="AA242" s="161"/>
      <c r="AB242" s="162"/>
      <c r="AC242" s="162"/>
      <c r="AD242" s="164"/>
      <c r="AE242" s="163"/>
      <c r="AF242" s="155"/>
      <c r="AG242" s="161"/>
      <c r="AH242" s="161"/>
      <c r="AI242" s="161"/>
      <c r="AJ242" s="162"/>
      <c r="AK242" s="162"/>
      <c r="AL242" s="164"/>
      <c r="AM242" s="163"/>
      <c r="AN242" s="155"/>
      <c r="AO242" s="161"/>
      <c r="AP242" s="161"/>
      <c r="AQ242" s="161"/>
      <c r="AR242" s="162"/>
      <c r="AS242" s="162"/>
      <c r="AT242" s="164"/>
      <c r="AU242" s="163"/>
    </row>
    <row r="243" spans="1:47" ht="15.95" customHeight="1" x14ac:dyDescent="0.2">
      <c r="A243" s="629"/>
      <c r="B243" s="629"/>
      <c r="C243" s="629"/>
      <c r="D243" s="630"/>
      <c r="E243" s="630"/>
      <c r="F243" s="631"/>
      <c r="G243" s="628" t="s">
        <v>169</v>
      </c>
      <c r="H243" s="113"/>
      <c r="I243" s="129"/>
      <c r="J243" s="129"/>
      <c r="K243" s="129"/>
      <c r="L243" s="130"/>
      <c r="M243" s="162"/>
      <c r="N243" s="162"/>
      <c r="O243" s="163"/>
      <c r="Q243" s="161"/>
      <c r="R243" s="161"/>
      <c r="S243" s="161"/>
      <c r="T243" s="162"/>
      <c r="U243" s="162"/>
      <c r="V243" s="164"/>
      <c r="W243" s="163"/>
      <c r="X243" s="155"/>
      <c r="Y243" s="161"/>
      <c r="Z243" s="161"/>
      <c r="AA243" s="161"/>
      <c r="AB243" s="162"/>
      <c r="AC243" s="162"/>
      <c r="AD243" s="164"/>
      <c r="AE243" s="163"/>
      <c r="AF243" s="155"/>
      <c r="AG243" s="161"/>
      <c r="AH243" s="161"/>
      <c r="AI243" s="161"/>
      <c r="AJ243" s="162"/>
      <c r="AK243" s="162"/>
      <c r="AL243" s="164"/>
      <c r="AM243" s="163"/>
      <c r="AN243" s="155"/>
      <c r="AO243" s="161"/>
      <c r="AP243" s="161"/>
      <c r="AQ243" s="161"/>
      <c r="AR243" s="162"/>
      <c r="AS243" s="162"/>
      <c r="AT243" s="164"/>
      <c r="AU243" s="163"/>
    </row>
    <row r="244" spans="1:47" ht="15.95" customHeight="1" x14ac:dyDescent="0.2">
      <c r="A244" s="629"/>
      <c r="B244" s="629"/>
      <c r="C244" s="629"/>
      <c r="D244" s="630"/>
      <c r="E244" s="630"/>
      <c r="F244" s="631"/>
      <c r="G244" s="628" t="s">
        <v>169</v>
      </c>
      <c r="H244" s="113"/>
      <c r="I244" s="129"/>
      <c r="J244" s="129"/>
      <c r="K244" s="129"/>
      <c r="L244" s="130"/>
      <c r="M244" s="162"/>
      <c r="N244" s="162"/>
      <c r="O244" s="163"/>
      <c r="Q244" s="161"/>
      <c r="R244" s="161"/>
      <c r="S244" s="161"/>
      <c r="T244" s="162"/>
      <c r="U244" s="162"/>
      <c r="V244" s="164"/>
      <c r="W244" s="163"/>
      <c r="X244" s="155"/>
      <c r="Y244" s="161"/>
      <c r="Z244" s="161"/>
      <c r="AA244" s="161"/>
      <c r="AB244" s="162"/>
      <c r="AC244" s="162"/>
      <c r="AD244" s="164"/>
      <c r="AE244" s="163"/>
      <c r="AF244" s="155"/>
      <c r="AG244" s="161"/>
      <c r="AH244" s="161"/>
      <c r="AI244" s="161"/>
      <c r="AJ244" s="162"/>
      <c r="AK244" s="162"/>
      <c r="AL244" s="164"/>
      <c r="AM244" s="163"/>
      <c r="AN244" s="155"/>
      <c r="AO244" s="161"/>
      <c r="AP244" s="161"/>
      <c r="AQ244" s="161"/>
      <c r="AR244" s="162"/>
      <c r="AS244" s="162"/>
      <c r="AT244" s="164"/>
      <c r="AU244" s="163"/>
    </row>
    <row r="245" spans="1:47" ht="15.95" customHeight="1" x14ac:dyDescent="0.2">
      <c r="A245" s="629"/>
      <c r="B245" s="629"/>
      <c r="C245" s="629"/>
      <c r="D245" s="630"/>
      <c r="E245" s="630"/>
      <c r="F245" s="631"/>
      <c r="G245" s="628" t="s">
        <v>169</v>
      </c>
      <c r="H245" s="113"/>
      <c r="I245" s="129"/>
      <c r="J245" s="129"/>
      <c r="K245" s="129"/>
      <c r="L245" s="130"/>
      <c r="M245" s="162"/>
      <c r="N245" s="162"/>
      <c r="O245" s="163"/>
      <c r="Q245" s="161"/>
      <c r="R245" s="161"/>
      <c r="S245" s="161"/>
      <c r="T245" s="162"/>
      <c r="U245" s="162"/>
      <c r="V245" s="164"/>
      <c r="W245" s="163"/>
      <c r="X245" s="155"/>
      <c r="Y245" s="161"/>
      <c r="Z245" s="161"/>
      <c r="AA245" s="161"/>
      <c r="AB245" s="162"/>
      <c r="AC245" s="162"/>
      <c r="AD245" s="164"/>
      <c r="AE245" s="163"/>
      <c r="AF245" s="155"/>
      <c r="AG245" s="161"/>
      <c r="AH245" s="161"/>
      <c r="AI245" s="161"/>
      <c r="AJ245" s="162"/>
      <c r="AK245" s="162"/>
      <c r="AL245" s="164"/>
      <c r="AM245" s="163"/>
      <c r="AN245" s="155"/>
      <c r="AO245" s="161"/>
      <c r="AP245" s="161"/>
      <c r="AQ245" s="161"/>
      <c r="AR245" s="162"/>
      <c r="AS245" s="162"/>
      <c r="AT245" s="164"/>
      <c r="AU245" s="163"/>
    </row>
    <row r="246" spans="1:47" ht="15.95" customHeight="1" x14ac:dyDescent="0.2">
      <c r="A246" s="629"/>
      <c r="B246" s="629"/>
      <c r="C246" s="629"/>
      <c r="D246" s="630"/>
      <c r="E246" s="630"/>
      <c r="F246" s="631"/>
      <c r="G246" s="628" t="s">
        <v>169</v>
      </c>
      <c r="H246" s="113"/>
      <c r="I246" s="129"/>
      <c r="J246" s="129"/>
      <c r="K246" s="129"/>
      <c r="L246" s="130"/>
      <c r="M246" s="162"/>
      <c r="N246" s="162"/>
      <c r="O246" s="163"/>
      <c r="Q246" s="161"/>
      <c r="R246" s="161"/>
      <c r="S246" s="161"/>
      <c r="T246" s="162"/>
      <c r="U246" s="162"/>
      <c r="V246" s="164"/>
      <c r="W246" s="163"/>
      <c r="X246" s="155"/>
      <c r="Y246" s="161"/>
      <c r="Z246" s="161"/>
      <c r="AA246" s="161"/>
      <c r="AB246" s="162"/>
      <c r="AC246" s="162"/>
      <c r="AD246" s="164"/>
      <c r="AE246" s="163"/>
      <c r="AF246" s="155"/>
      <c r="AG246" s="161"/>
      <c r="AH246" s="161"/>
      <c r="AI246" s="161"/>
      <c r="AJ246" s="162"/>
      <c r="AK246" s="162"/>
      <c r="AL246" s="164"/>
      <c r="AM246" s="163"/>
      <c r="AN246" s="155"/>
      <c r="AO246" s="161"/>
      <c r="AP246" s="161"/>
      <c r="AQ246" s="161"/>
      <c r="AR246" s="162"/>
      <c r="AS246" s="162"/>
      <c r="AT246" s="164"/>
      <c r="AU246" s="163"/>
    </row>
    <row r="247" spans="1:47" ht="15.95" customHeight="1" x14ac:dyDescent="0.2">
      <c r="A247" s="629"/>
      <c r="B247" s="629"/>
      <c r="C247" s="629"/>
      <c r="D247" s="630"/>
      <c r="E247" s="630"/>
      <c r="F247" s="631"/>
      <c r="G247" s="628" t="s">
        <v>169</v>
      </c>
      <c r="H247" s="113"/>
      <c r="I247" s="129"/>
      <c r="J247" s="129"/>
      <c r="K247" s="129"/>
      <c r="L247" s="130"/>
      <c r="M247" s="162"/>
      <c r="N247" s="162"/>
      <c r="O247" s="163"/>
      <c r="Q247" s="161"/>
      <c r="R247" s="161"/>
      <c r="S247" s="161"/>
      <c r="T247" s="162"/>
      <c r="U247" s="162"/>
      <c r="V247" s="164"/>
      <c r="W247" s="163"/>
      <c r="X247" s="155"/>
      <c r="Y247" s="161"/>
      <c r="Z247" s="161"/>
      <c r="AA247" s="161"/>
      <c r="AB247" s="162"/>
      <c r="AC247" s="162"/>
      <c r="AD247" s="164"/>
      <c r="AE247" s="163"/>
      <c r="AF247" s="155"/>
      <c r="AG247" s="161"/>
      <c r="AH247" s="161"/>
      <c r="AI247" s="161"/>
      <c r="AJ247" s="162"/>
      <c r="AK247" s="162"/>
      <c r="AL247" s="164"/>
      <c r="AM247" s="163"/>
      <c r="AN247" s="155"/>
      <c r="AO247" s="161"/>
      <c r="AP247" s="161"/>
      <c r="AQ247" s="161"/>
      <c r="AR247" s="162"/>
      <c r="AS247" s="162"/>
      <c r="AT247" s="164"/>
      <c r="AU247" s="163"/>
    </row>
    <row r="248" spans="1:47" ht="15.95" customHeight="1" x14ac:dyDescent="0.2">
      <c r="A248" s="629"/>
      <c r="B248" s="629"/>
      <c r="C248" s="629"/>
      <c r="D248" s="630"/>
      <c r="E248" s="630"/>
      <c r="F248" s="631"/>
      <c r="G248" s="628" t="s">
        <v>169</v>
      </c>
      <c r="H248" s="113"/>
      <c r="I248" s="129"/>
      <c r="J248" s="129"/>
      <c r="K248" s="129"/>
      <c r="L248" s="130"/>
      <c r="M248" s="162"/>
      <c r="N248" s="162"/>
      <c r="O248" s="163"/>
      <c r="Q248" s="161"/>
      <c r="R248" s="161"/>
      <c r="S248" s="161"/>
      <c r="T248" s="162"/>
      <c r="U248" s="162"/>
      <c r="V248" s="164"/>
      <c r="W248" s="163"/>
      <c r="X248" s="155"/>
      <c r="Y248" s="161"/>
      <c r="Z248" s="161"/>
      <c r="AA248" s="161"/>
      <c r="AB248" s="162"/>
      <c r="AC248" s="162"/>
      <c r="AD248" s="164"/>
      <c r="AE248" s="163"/>
      <c r="AF248" s="155"/>
      <c r="AG248" s="161"/>
      <c r="AH248" s="161"/>
      <c r="AI248" s="161"/>
      <c r="AJ248" s="162"/>
      <c r="AK248" s="162"/>
      <c r="AL248" s="164"/>
      <c r="AM248" s="163"/>
      <c r="AN248" s="155"/>
      <c r="AO248" s="161"/>
      <c r="AP248" s="161"/>
      <c r="AQ248" s="161"/>
      <c r="AR248" s="162"/>
      <c r="AS248" s="162"/>
      <c r="AT248" s="164"/>
      <c r="AU248" s="163"/>
    </row>
    <row r="249" spans="1:47" ht="15.95" customHeight="1" x14ac:dyDescent="0.2">
      <c r="A249" s="629"/>
      <c r="B249" s="629"/>
      <c r="C249" s="629"/>
      <c r="D249" s="630"/>
      <c r="E249" s="630"/>
      <c r="F249" s="631"/>
      <c r="G249" s="628" t="s">
        <v>169</v>
      </c>
      <c r="H249" s="113"/>
      <c r="I249" s="129"/>
      <c r="J249" s="129"/>
      <c r="K249" s="129"/>
      <c r="L249" s="130"/>
      <c r="M249" s="162"/>
      <c r="N249" s="162"/>
      <c r="O249" s="163"/>
      <c r="Q249" s="161"/>
      <c r="R249" s="161"/>
      <c r="S249" s="161"/>
      <c r="T249" s="162"/>
      <c r="U249" s="162"/>
      <c r="V249" s="164"/>
      <c r="W249" s="163"/>
      <c r="X249" s="155"/>
      <c r="Y249" s="161"/>
      <c r="Z249" s="161"/>
      <c r="AA249" s="161"/>
      <c r="AB249" s="162"/>
      <c r="AC249" s="162"/>
      <c r="AD249" s="164"/>
      <c r="AE249" s="163"/>
      <c r="AF249" s="155"/>
      <c r="AG249" s="161"/>
      <c r="AH249" s="161"/>
      <c r="AI249" s="161"/>
      <c r="AJ249" s="162"/>
      <c r="AK249" s="162"/>
      <c r="AL249" s="164"/>
      <c r="AM249" s="163"/>
      <c r="AN249" s="155"/>
      <c r="AO249" s="161"/>
      <c r="AP249" s="161"/>
      <c r="AQ249" s="161"/>
      <c r="AR249" s="162"/>
      <c r="AS249" s="162"/>
      <c r="AT249" s="164"/>
      <c r="AU249" s="163"/>
    </row>
    <row r="250" spans="1:47" ht="15.95" customHeight="1" x14ac:dyDescent="0.2">
      <c r="A250" s="629"/>
      <c r="B250" s="629"/>
      <c r="C250" s="629"/>
      <c r="D250" s="630"/>
      <c r="E250" s="630"/>
      <c r="F250" s="631"/>
      <c r="G250" s="628" t="s">
        <v>169</v>
      </c>
      <c r="H250" s="113"/>
      <c r="I250" s="129"/>
      <c r="J250" s="129"/>
      <c r="K250" s="129"/>
      <c r="L250" s="130"/>
      <c r="M250" s="162"/>
      <c r="N250" s="162"/>
      <c r="O250" s="163"/>
      <c r="Q250" s="161"/>
      <c r="R250" s="161"/>
      <c r="S250" s="161"/>
      <c r="T250" s="162"/>
      <c r="U250" s="162"/>
      <c r="V250" s="164"/>
      <c r="W250" s="163"/>
      <c r="X250" s="155"/>
      <c r="Y250" s="161"/>
      <c r="Z250" s="161"/>
      <c r="AA250" s="161"/>
      <c r="AB250" s="162"/>
      <c r="AC250" s="162"/>
      <c r="AD250" s="164"/>
      <c r="AE250" s="163"/>
      <c r="AF250" s="155"/>
      <c r="AG250" s="161"/>
      <c r="AH250" s="161"/>
      <c r="AI250" s="161"/>
      <c r="AJ250" s="162"/>
      <c r="AK250" s="162"/>
      <c r="AL250" s="164"/>
      <c r="AM250" s="163"/>
      <c r="AN250" s="155"/>
      <c r="AO250" s="161"/>
      <c r="AP250" s="161"/>
      <c r="AQ250" s="161"/>
      <c r="AR250" s="162"/>
      <c r="AS250" s="162"/>
      <c r="AT250" s="164"/>
      <c r="AU250" s="163"/>
    </row>
    <row r="251" spans="1:47" ht="15.95" customHeight="1" x14ac:dyDescent="0.2">
      <c r="A251" s="629"/>
      <c r="B251" s="629"/>
      <c r="C251" s="629"/>
      <c r="D251" s="630"/>
      <c r="E251" s="630"/>
      <c r="F251" s="631"/>
      <c r="G251" s="628" t="s">
        <v>169</v>
      </c>
      <c r="H251" s="113"/>
      <c r="I251" s="129"/>
      <c r="J251" s="129"/>
      <c r="K251" s="129"/>
      <c r="L251" s="130"/>
      <c r="M251" s="162"/>
      <c r="N251" s="162"/>
      <c r="O251" s="163"/>
      <c r="Q251" s="161"/>
      <c r="R251" s="161"/>
      <c r="S251" s="161"/>
      <c r="T251" s="162"/>
      <c r="U251" s="162"/>
      <c r="V251" s="164"/>
      <c r="W251" s="163"/>
      <c r="X251" s="155"/>
      <c r="Y251" s="161"/>
      <c r="Z251" s="161"/>
      <c r="AA251" s="161"/>
      <c r="AB251" s="162"/>
      <c r="AC251" s="162"/>
      <c r="AD251" s="164"/>
      <c r="AE251" s="163"/>
      <c r="AF251" s="155"/>
      <c r="AG251" s="161"/>
      <c r="AH251" s="161"/>
      <c r="AI251" s="161"/>
      <c r="AJ251" s="162"/>
      <c r="AK251" s="162"/>
      <c r="AL251" s="164"/>
      <c r="AM251" s="163"/>
      <c r="AN251" s="155"/>
      <c r="AO251" s="161"/>
      <c r="AP251" s="161"/>
      <c r="AQ251" s="161"/>
      <c r="AR251" s="162"/>
      <c r="AS251" s="162"/>
      <c r="AT251" s="164"/>
      <c r="AU251" s="163"/>
    </row>
    <row r="252" spans="1:47" ht="15.95" customHeight="1" x14ac:dyDescent="0.2">
      <c r="A252" s="629"/>
      <c r="B252" s="629"/>
      <c r="C252" s="629"/>
      <c r="D252" s="630"/>
      <c r="E252" s="630"/>
      <c r="F252" s="631"/>
      <c r="G252" s="628" t="s">
        <v>169</v>
      </c>
      <c r="H252" s="113"/>
      <c r="I252" s="129"/>
      <c r="J252" s="129"/>
      <c r="K252" s="129"/>
      <c r="L252" s="130"/>
      <c r="M252" s="162"/>
      <c r="N252" s="162"/>
      <c r="O252" s="163"/>
      <c r="Q252" s="161"/>
      <c r="R252" s="161"/>
      <c r="S252" s="161"/>
      <c r="T252" s="162"/>
      <c r="U252" s="162"/>
      <c r="V252" s="164"/>
      <c r="W252" s="163"/>
      <c r="X252" s="155"/>
      <c r="Y252" s="161"/>
      <c r="Z252" s="161"/>
      <c r="AA252" s="161"/>
      <c r="AB252" s="162"/>
      <c r="AC252" s="162"/>
      <c r="AD252" s="164"/>
      <c r="AE252" s="163"/>
      <c r="AF252" s="155"/>
      <c r="AG252" s="161"/>
      <c r="AH252" s="161"/>
      <c r="AI252" s="161"/>
      <c r="AJ252" s="162"/>
      <c r="AK252" s="162"/>
      <c r="AL252" s="164"/>
      <c r="AM252" s="163"/>
      <c r="AN252" s="155"/>
      <c r="AO252" s="161"/>
      <c r="AP252" s="161"/>
      <c r="AQ252" s="161"/>
      <c r="AR252" s="162"/>
      <c r="AS252" s="162"/>
      <c r="AT252" s="164"/>
      <c r="AU252" s="163"/>
    </row>
    <row r="253" spans="1:47" ht="15.95" customHeight="1" x14ac:dyDescent="0.2">
      <c r="A253" s="629"/>
      <c r="B253" s="629"/>
      <c r="C253" s="629"/>
      <c r="D253" s="630"/>
      <c r="E253" s="630"/>
      <c r="F253" s="631"/>
      <c r="G253" s="628" t="s">
        <v>169</v>
      </c>
      <c r="H253" s="113"/>
      <c r="I253" s="129"/>
      <c r="J253" s="129"/>
      <c r="K253" s="129"/>
      <c r="L253" s="130"/>
      <c r="M253" s="162"/>
      <c r="N253" s="162"/>
      <c r="O253" s="163"/>
      <c r="Q253" s="161"/>
      <c r="R253" s="161"/>
      <c r="S253" s="161"/>
      <c r="T253" s="162"/>
      <c r="U253" s="162"/>
      <c r="V253" s="164"/>
      <c r="W253" s="163"/>
      <c r="X253" s="155"/>
      <c r="Y253" s="161"/>
      <c r="Z253" s="161"/>
      <c r="AA253" s="161"/>
      <c r="AB253" s="162"/>
      <c r="AC253" s="162"/>
      <c r="AD253" s="164"/>
      <c r="AE253" s="163"/>
      <c r="AF253" s="155"/>
      <c r="AG253" s="161"/>
      <c r="AH253" s="161"/>
      <c r="AI253" s="161"/>
      <c r="AJ253" s="162"/>
      <c r="AK253" s="162"/>
      <c r="AL253" s="164"/>
      <c r="AM253" s="163"/>
      <c r="AN253" s="155"/>
      <c r="AO253" s="161"/>
      <c r="AP253" s="161"/>
      <c r="AQ253" s="161"/>
      <c r="AR253" s="162"/>
      <c r="AS253" s="162"/>
      <c r="AT253" s="164"/>
      <c r="AU253" s="163"/>
    </row>
    <row r="254" spans="1:47" ht="15.95" customHeight="1" x14ac:dyDescent="0.2">
      <c r="A254" s="629"/>
      <c r="B254" s="629"/>
      <c r="C254" s="629"/>
      <c r="D254" s="630"/>
      <c r="E254" s="630"/>
      <c r="F254" s="631"/>
      <c r="G254" s="628" t="s">
        <v>169</v>
      </c>
      <c r="H254" s="113"/>
      <c r="I254" s="129"/>
      <c r="J254" s="129"/>
      <c r="K254" s="129"/>
      <c r="L254" s="130"/>
      <c r="M254" s="162"/>
      <c r="N254" s="162"/>
      <c r="O254" s="163"/>
      <c r="Q254" s="161"/>
      <c r="R254" s="161"/>
      <c r="S254" s="161"/>
      <c r="T254" s="162"/>
      <c r="U254" s="162"/>
      <c r="V254" s="164"/>
      <c r="W254" s="163"/>
      <c r="X254" s="155"/>
      <c r="Y254" s="161"/>
      <c r="Z254" s="161"/>
      <c r="AA254" s="161"/>
      <c r="AB254" s="162"/>
      <c r="AC254" s="162"/>
      <c r="AD254" s="164"/>
      <c r="AE254" s="163"/>
      <c r="AF254" s="155"/>
      <c r="AG254" s="161"/>
      <c r="AH254" s="161"/>
      <c r="AI254" s="161"/>
      <c r="AJ254" s="162"/>
      <c r="AK254" s="162"/>
      <c r="AL254" s="164"/>
      <c r="AM254" s="163"/>
      <c r="AN254" s="155"/>
      <c r="AO254" s="161"/>
      <c r="AP254" s="161"/>
      <c r="AQ254" s="161"/>
      <c r="AR254" s="162"/>
      <c r="AS254" s="162"/>
      <c r="AT254" s="164"/>
      <c r="AU254" s="163"/>
    </row>
    <row r="255" spans="1:47" ht="15.95" customHeight="1" x14ac:dyDescent="0.2">
      <c r="A255" s="629"/>
      <c r="B255" s="629"/>
      <c r="C255" s="629"/>
      <c r="D255" s="630"/>
      <c r="E255" s="630"/>
      <c r="F255" s="631"/>
      <c r="G255" s="628" t="s">
        <v>169</v>
      </c>
      <c r="H255" s="113"/>
      <c r="I255" s="129"/>
      <c r="J255" s="129"/>
      <c r="K255" s="129"/>
      <c r="L255" s="130"/>
      <c r="M255" s="162"/>
      <c r="N255" s="162"/>
      <c r="O255" s="163"/>
      <c r="Q255" s="161"/>
      <c r="R255" s="161"/>
      <c r="S255" s="161"/>
      <c r="T255" s="162"/>
      <c r="U255" s="162"/>
      <c r="V255" s="164"/>
      <c r="W255" s="163"/>
      <c r="X255" s="155"/>
      <c r="Y255" s="161"/>
      <c r="Z255" s="161"/>
      <c r="AA255" s="161"/>
      <c r="AB255" s="162"/>
      <c r="AC255" s="162"/>
      <c r="AD255" s="164"/>
      <c r="AE255" s="163"/>
      <c r="AF255" s="155"/>
      <c r="AG255" s="161"/>
      <c r="AH255" s="161"/>
      <c r="AI255" s="161"/>
      <c r="AJ255" s="162"/>
      <c r="AK255" s="162"/>
      <c r="AL255" s="164"/>
      <c r="AM255" s="163"/>
      <c r="AN255" s="155"/>
      <c r="AO255" s="161"/>
      <c r="AP255" s="161"/>
      <c r="AQ255" s="161"/>
      <c r="AR255" s="162"/>
      <c r="AS255" s="162"/>
      <c r="AT255" s="164"/>
      <c r="AU255" s="163"/>
    </row>
    <row r="256" spans="1:47" ht="15.95" customHeight="1" x14ac:dyDescent="0.2">
      <c r="A256" s="629"/>
      <c r="B256" s="629"/>
      <c r="C256" s="629"/>
      <c r="D256" s="630"/>
      <c r="E256" s="630"/>
      <c r="F256" s="631"/>
      <c r="G256" s="628" t="s">
        <v>169</v>
      </c>
      <c r="H256" s="113"/>
      <c r="I256" s="129"/>
      <c r="J256" s="129"/>
      <c r="K256" s="129"/>
      <c r="L256" s="130"/>
      <c r="M256" s="162"/>
      <c r="N256" s="162"/>
      <c r="O256" s="163"/>
      <c r="Q256" s="161"/>
      <c r="R256" s="161"/>
      <c r="S256" s="161"/>
      <c r="T256" s="162"/>
      <c r="U256" s="162"/>
      <c r="V256" s="164"/>
      <c r="W256" s="163"/>
      <c r="X256" s="155"/>
      <c r="Y256" s="161"/>
      <c r="Z256" s="161"/>
      <c r="AA256" s="161"/>
      <c r="AB256" s="162"/>
      <c r="AC256" s="162"/>
      <c r="AD256" s="164"/>
      <c r="AE256" s="163"/>
      <c r="AF256" s="155"/>
      <c r="AG256" s="161"/>
      <c r="AH256" s="161"/>
      <c r="AI256" s="161"/>
      <c r="AJ256" s="162"/>
      <c r="AK256" s="162"/>
      <c r="AL256" s="164"/>
      <c r="AM256" s="163"/>
      <c r="AN256" s="155"/>
      <c r="AO256" s="161"/>
      <c r="AP256" s="161"/>
      <c r="AQ256" s="161"/>
      <c r="AR256" s="162"/>
      <c r="AS256" s="162"/>
      <c r="AT256" s="164"/>
      <c r="AU256" s="163"/>
    </row>
    <row r="257" spans="1:47" ht="15.95" customHeight="1" x14ac:dyDescent="0.2">
      <c r="A257" s="629"/>
      <c r="B257" s="629"/>
      <c r="C257" s="629"/>
      <c r="D257" s="630"/>
      <c r="E257" s="630"/>
      <c r="F257" s="631"/>
      <c r="G257" s="628" t="s">
        <v>169</v>
      </c>
      <c r="H257" s="113"/>
      <c r="I257" s="129"/>
      <c r="J257" s="129"/>
      <c r="K257" s="129"/>
      <c r="L257" s="130"/>
      <c r="M257" s="162"/>
      <c r="N257" s="162"/>
      <c r="O257" s="163"/>
      <c r="Q257" s="161"/>
      <c r="R257" s="161"/>
      <c r="S257" s="161"/>
      <c r="T257" s="162"/>
      <c r="U257" s="162"/>
      <c r="V257" s="164"/>
      <c r="W257" s="163"/>
      <c r="X257" s="155"/>
      <c r="Y257" s="161"/>
      <c r="Z257" s="161"/>
      <c r="AA257" s="161"/>
      <c r="AB257" s="162"/>
      <c r="AC257" s="162"/>
      <c r="AD257" s="164"/>
      <c r="AE257" s="163"/>
      <c r="AF257" s="155"/>
      <c r="AG257" s="161"/>
      <c r="AH257" s="161"/>
      <c r="AI257" s="161"/>
      <c r="AJ257" s="162"/>
      <c r="AK257" s="162"/>
      <c r="AL257" s="164"/>
      <c r="AM257" s="163"/>
      <c r="AN257" s="155"/>
      <c r="AO257" s="161"/>
      <c r="AP257" s="161"/>
      <c r="AQ257" s="161"/>
      <c r="AR257" s="162"/>
      <c r="AS257" s="162"/>
      <c r="AT257" s="164"/>
      <c r="AU257" s="163"/>
    </row>
    <row r="258" spans="1:47" ht="15.95" customHeight="1" x14ac:dyDescent="0.2">
      <c r="A258" s="629"/>
      <c r="B258" s="629"/>
      <c r="C258" s="629"/>
      <c r="D258" s="630"/>
      <c r="E258" s="630"/>
      <c r="F258" s="631"/>
      <c r="G258" s="628" t="s">
        <v>169</v>
      </c>
      <c r="H258" s="113"/>
      <c r="I258" s="129"/>
      <c r="J258" s="129"/>
      <c r="K258" s="129"/>
      <c r="L258" s="130"/>
      <c r="M258" s="162"/>
      <c r="N258" s="162"/>
      <c r="O258" s="163"/>
      <c r="Q258" s="161"/>
      <c r="R258" s="161"/>
      <c r="S258" s="161"/>
      <c r="T258" s="162"/>
      <c r="U258" s="162"/>
      <c r="V258" s="164"/>
      <c r="W258" s="163"/>
      <c r="X258" s="155"/>
      <c r="Y258" s="161"/>
      <c r="Z258" s="161"/>
      <c r="AA258" s="161"/>
      <c r="AB258" s="162"/>
      <c r="AC258" s="162"/>
      <c r="AD258" s="164"/>
      <c r="AE258" s="163"/>
      <c r="AF258" s="155"/>
      <c r="AG258" s="161"/>
      <c r="AH258" s="161"/>
      <c r="AI258" s="161"/>
      <c r="AJ258" s="162"/>
      <c r="AK258" s="162"/>
      <c r="AL258" s="164"/>
      <c r="AM258" s="163"/>
      <c r="AN258" s="155"/>
      <c r="AO258" s="161"/>
      <c r="AP258" s="161"/>
      <c r="AQ258" s="161"/>
      <c r="AR258" s="162"/>
      <c r="AS258" s="162"/>
      <c r="AT258" s="164"/>
      <c r="AU258" s="163"/>
    </row>
    <row r="259" spans="1:47" ht="15.95" customHeight="1" x14ac:dyDescent="0.2">
      <c r="A259" s="629"/>
      <c r="B259" s="629"/>
      <c r="C259" s="629"/>
      <c r="D259" s="630"/>
      <c r="E259" s="630"/>
      <c r="F259" s="631"/>
      <c r="G259" s="628" t="s">
        <v>169</v>
      </c>
      <c r="H259" s="113"/>
      <c r="I259" s="129"/>
      <c r="J259" s="129"/>
      <c r="K259" s="129"/>
      <c r="L259" s="130"/>
      <c r="M259" s="162"/>
      <c r="N259" s="162"/>
      <c r="O259" s="163"/>
      <c r="Q259" s="161"/>
      <c r="R259" s="161"/>
      <c r="S259" s="161"/>
      <c r="T259" s="162"/>
      <c r="U259" s="162"/>
      <c r="V259" s="164"/>
      <c r="W259" s="163"/>
      <c r="X259" s="155"/>
      <c r="Y259" s="161"/>
      <c r="Z259" s="161"/>
      <c r="AA259" s="161"/>
      <c r="AB259" s="162"/>
      <c r="AC259" s="162"/>
      <c r="AD259" s="164"/>
      <c r="AE259" s="163"/>
      <c r="AF259" s="155"/>
      <c r="AG259" s="161"/>
      <c r="AH259" s="161"/>
      <c r="AI259" s="161"/>
      <c r="AJ259" s="162"/>
      <c r="AK259" s="162"/>
      <c r="AL259" s="164"/>
      <c r="AM259" s="163"/>
      <c r="AN259" s="155"/>
      <c r="AO259" s="161"/>
      <c r="AP259" s="161"/>
      <c r="AQ259" s="161"/>
      <c r="AR259" s="162"/>
      <c r="AS259" s="162"/>
      <c r="AT259" s="164"/>
      <c r="AU259" s="163"/>
    </row>
    <row r="260" spans="1:47" ht="15.95" customHeight="1" x14ac:dyDescent="0.2">
      <c r="A260" s="629"/>
      <c r="B260" s="629"/>
      <c r="C260" s="629"/>
      <c r="D260" s="630"/>
      <c r="E260" s="630"/>
      <c r="F260" s="631"/>
      <c r="G260" s="628" t="s">
        <v>169</v>
      </c>
      <c r="H260" s="113"/>
      <c r="I260" s="129"/>
      <c r="J260" s="129"/>
      <c r="K260" s="129"/>
      <c r="L260" s="130"/>
      <c r="M260" s="162"/>
      <c r="N260" s="162"/>
      <c r="O260" s="163"/>
      <c r="Q260" s="161"/>
      <c r="R260" s="161"/>
      <c r="S260" s="161"/>
      <c r="T260" s="162"/>
      <c r="U260" s="162"/>
      <c r="V260" s="164"/>
      <c r="W260" s="163"/>
      <c r="X260" s="155"/>
      <c r="Y260" s="161"/>
      <c r="Z260" s="161"/>
      <c r="AA260" s="161"/>
      <c r="AB260" s="162"/>
      <c r="AC260" s="162"/>
      <c r="AD260" s="164"/>
      <c r="AE260" s="163"/>
      <c r="AF260" s="155"/>
      <c r="AG260" s="161"/>
      <c r="AH260" s="161"/>
      <c r="AI260" s="161"/>
      <c r="AJ260" s="162"/>
      <c r="AK260" s="162"/>
      <c r="AL260" s="164"/>
      <c r="AM260" s="163"/>
      <c r="AN260" s="155"/>
      <c r="AO260" s="161"/>
      <c r="AP260" s="161"/>
      <c r="AQ260" s="161"/>
      <c r="AR260" s="162"/>
      <c r="AS260" s="162"/>
      <c r="AT260" s="164"/>
      <c r="AU260" s="163"/>
    </row>
    <row r="261" spans="1:47" ht="15.95" customHeight="1" x14ac:dyDescent="0.2">
      <c r="A261" s="629"/>
      <c r="B261" s="629"/>
      <c r="C261" s="629"/>
      <c r="D261" s="630"/>
      <c r="E261" s="630"/>
      <c r="F261" s="631"/>
      <c r="G261" s="628" t="s">
        <v>169</v>
      </c>
      <c r="H261" s="113"/>
      <c r="I261" s="129"/>
      <c r="J261" s="129"/>
      <c r="K261" s="129"/>
      <c r="L261" s="130"/>
      <c r="M261" s="162"/>
      <c r="N261" s="162"/>
      <c r="O261" s="163"/>
      <c r="Q261" s="161"/>
      <c r="R261" s="161"/>
      <c r="S261" s="161"/>
      <c r="T261" s="162"/>
      <c r="U261" s="162"/>
      <c r="V261" s="164"/>
      <c r="W261" s="163"/>
      <c r="X261" s="155"/>
      <c r="Y261" s="161"/>
      <c r="Z261" s="161"/>
      <c r="AA261" s="161"/>
      <c r="AB261" s="162"/>
      <c r="AC261" s="162"/>
      <c r="AD261" s="164"/>
      <c r="AE261" s="163"/>
      <c r="AF261" s="155"/>
      <c r="AG261" s="161"/>
      <c r="AH261" s="161"/>
      <c r="AI261" s="161"/>
      <c r="AJ261" s="162"/>
      <c r="AK261" s="162"/>
      <c r="AL261" s="164"/>
      <c r="AM261" s="163"/>
      <c r="AN261" s="155"/>
      <c r="AO261" s="161"/>
      <c r="AP261" s="161"/>
      <c r="AQ261" s="161"/>
      <c r="AR261" s="162"/>
      <c r="AS261" s="162"/>
      <c r="AT261" s="164"/>
      <c r="AU261" s="163"/>
    </row>
    <row r="262" spans="1:47" ht="15.95" customHeight="1" x14ac:dyDescent="0.2">
      <c r="A262" s="629"/>
      <c r="B262" s="629"/>
      <c r="C262" s="629"/>
      <c r="D262" s="630"/>
      <c r="E262" s="630"/>
      <c r="F262" s="631"/>
      <c r="G262" s="628" t="s">
        <v>169</v>
      </c>
      <c r="H262" s="113"/>
      <c r="I262" s="129"/>
      <c r="J262" s="129"/>
      <c r="K262" s="129"/>
      <c r="L262" s="130"/>
      <c r="M262" s="162"/>
      <c r="N262" s="162"/>
      <c r="O262" s="163"/>
      <c r="Q262" s="161"/>
      <c r="R262" s="161"/>
      <c r="S262" s="161"/>
      <c r="T262" s="162"/>
      <c r="U262" s="162"/>
      <c r="V262" s="164"/>
      <c r="W262" s="163"/>
      <c r="X262" s="155"/>
      <c r="Y262" s="161"/>
      <c r="Z262" s="161"/>
      <c r="AA262" s="161"/>
      <c r="AB262" s="162"/>
      <c r="AC262" s="162"/>
      <c r="AD262" s="164"/>
      <c r="AE262" s="163"/>
      <c r="AF262" s="155"/>
      <c r="AG262" s="161"/>
      <c r="AH262" s="161"/>
      <c r="AI262" s="161"/>
      <c r="AJ262" s="162"/>
      <c r="AK262" s="162"/>
      <c r="AL262" s="164"/>
      <c r="AM262" s="163"/>
      <c r="AN262" s="155"/>
      <c r="AO262" s="161"/>
      <c r="AP262" s="161"/>
      <c r="AQ262" s="161"/>
      <c r="AR262" s="162"/>
      <c r="AS262" s="162"/>
      <c r="AT262" s="164"/>
      <c r="AU262" s="163"/>
    </row>
    <row r="263" spans="1:47" ht="15.95" customHeight="1" x14ac:dyDescent="0.2">
      <c r="A263" s="629"/>
      <c r="B263" s="629"/>
      <c r="C263" s="629"/>
      <c r="D263" s="630"/>
      <c r="E263" s="630"/>
      <c r="F263" s="631"/>
      <c r="G263" s="628" t="s">
        <v>169</v>
      </c>
      <c r="H263" s="113"/>
      <c r="I263" s="129"/>
      <c r="J263" s="129"/>
      <c r="K263" s="129"/>
      <c r="L263" s="130"/>
      <c r="M263" s="162"/>
      <c r="N263" s="162"/>
      <c r="O263" s="163"/>
      <c r="Q263" s="161"/>
      <c r="R263" s="161"/>
      <c r="S263" s="161"/>
      <c r="T263" s="162"/>
      <c r="U263" s="162"/>
      <c r="V263" s="164"/>
      <c r="W263" s="163"/>
      <c r="X263" s="155"/>
      <c r="Y263" s="161"/>
      <c r="Z263" s="161"/>
      <c r="AA263" s="161"/>
      <c r="AB263" s="162"/>
      <c r="AC263" s="162"/>
      <c r="AD263" s="164"/>
      <c r="AE263" s="163"/>
      <c r="AF263" s="155"/>
      <c r="AG263" s="161"/>
      <c r="AH263" s="161"/>
      <c r="AI263" s="161"/>
      <c r="AJ263" s="162"/>
      <c r="AK263" s="162"/>
      <c r="AL263" s="164"/>
      <c r="AM263" s="163"/>
      <c r="AN263" s="155"/>
      <c r="AO263" s="161"/>
      <c r="AP263" s="161"/>
      <c r="AQ263" s="161"/>
      <c r="AR263" s="162"/>
      <c r="AS263" s="162"/>
      <c r="AT263" s="164"/>
      <c r="AU263" s="163"/>
    </row>
    <row r="264" spans="1:47" ht="15.95" customHeight="1" x14ac:dyDescent="0.2">
      <c r="A264" s="629"/>
      <c r="B264" s="629"/>
      <c r="C264" s="629"/>
      <c r="D264" s="630"/>
      <c r="E264" s="630"/>
      <c r="F264" s="631"/>
      <c r="G264" s="628" t="s">
        <v>169</v>
      </c>
      <c r="H264" s="113"/>
      <c r="I264" s="129"/>
      <c r="J264" s="129"/>
      <c r="K264" s="129"/>
      <c r="L264" s="130"/>
      <c r="M264" s="162"/>
      <c r="N264" s="162"/>
      <c r="O264" s="163"/>
      <c r="Q264" s="161"/>
      <c r="R264" s="161"/>
      <c r="S264" s="161"/>
      <c r="T264" s="162"/>
      <c r="U264" s="162"/>
      <c r="V264" s="164"/>
      <c r="W264" s="163"/>
      <c r="X264" s="155"/>
      <c r="Y264" s="161"/>
      <c r="Z264" s="161"/>
      <c r="AA264" s="161"/>
      <c r="AB264" s="162"/>
      <c r="AC264" s="162"/>
      <c r="AD264" s="164"/>
      <c r="AE264" s="163"/>
      <c r="AF264" s="155"/>
      <c r="AG264" s="161"/>
      <c r="AH264" s="161"/>
      <c r="AI264" s="161"/>
      <c r="AJ264" s="162"/>
      <c r="AK264" s="162"/>
      <c r="AL264" s="164"/>
      <c r="AM264" s="163"/>
      <c r="AN264" s="155"/>
      <c r="AO264" s="161"/>
      <c r="AP264" s="161"/>
      <c r="AQ264" s="161"/>
      <c r="AR264" s="162"/>
      <c r="AS264" s="162"/>
      <c r="AT264" s="164"/>
      <c r="AU264" s="163"/>
    </row>
    <row r="265" spans="1:47" ht="15.95" customHeight="1" x14ac:dyDescent="0.2">
      <c r="A265" s="629"/>
      <c r="B265" s="629"/>
      <c r="C265" s="629"/>
      <c r="D265" s="630"/>
      <c r="E265" s="630"/>
      <c r="F265" s="631"/>
      <c r="G265" s="628" t="s">
        <v>169</v>
      </c>
      <c r="H265" s="113"/>
      <c r="I265" s="129"/>
      <c r="J265" s="129"/>
      <c r="K265" s="129"/>
      <c r="L265" s="130"/>
      <c r="M265" s="162"/>
      <c r="N265" s="162"/>
      <c r="O265" s="163"/>
      <c r="Q265" s="161"/>
      <c r="R265" s="161"/>
      <c r="S265" s="161"/>
      <c r="T265" s="162"/>
      <c r="U265" s="162"/>
      <c r="V265" s="164"/>
      <c r="W265" s="163"/>
      <c r="X265" s="155"/>
      <c r="Y265" s="161"/>
      <c r="Z265" s="161"/>
      <c r="AA265" s="161"/>
      <c r="AB265" s="162"/>
      <c r="AC265" s="162"/>
      <c r="AD265" s="164"/>
      <c r="AE265" s="163"/>
      <c r="AF265" s="155"/>
      <c r="AG265" s="161"/>
      <c r="AH265" s="161"/>
      <c r="AI265" s="161"/>
      <c r="AJ265" s="162"/>
      <c r="AK265" s="162"/>
      <c r="AL265" s="164"/>
      <c r="AM265" s="163"/>
      <c r="AN265" s="155"/>
      <c r="AO265" s="161"/>
      <c r="AP265" s="161"/>
      <c r="AQ265" s="161"/>
      <c r="AR265" s="162"/>
      <c r="AS265" s="162"/>
      <c r="AT265" s="164"/>
      <c r="AU265" s="163"/>
    </row>
    <row r="266" spans="1:47" ht="15.95" customHeight="1" x14ac:dyDescent="0.2">
      <c r="A266" s="629"/>
      <c r="B266" s="629"/>
      <c r="C266" s="629"/>
      <c r="D266" s="630"/>
      <c r="E266" s="630"/>
      <c r="F266" s="631"/>
      <c r="G266" s="628" t="s">
        <v>169</v>
      </c>
      <c r="H266" s="113"/>
      <c r="I266" s="129"/>
      <c r="J266" s="129"/>
      <c r="K266" s="129"/>
      <c r="L266" s="130"/>
      <c r="M266" s="162"/>
      <c r="N266" s="162"/>
      <c r="O266" s="163"/>
      <c r="Q266" s="161"/>
      <c r="R266" s="161"/>
      <c r="S266" s="161"/>
      <c r="T266" s="162"/>
      <c r="U266" s="162"/>
      <c r="V266" s="164"/>
      <c r="W266" s="163"/>
      <c r="X266" s="155"/>
      <c r="Y266" s="161"/>
      <c r="Z266" s="161"/>
      <c r="AA266" s="161"/>
      <c r="AB266" s="162"/>
      <c r="AC266" s="162"/>
      <c r="AD266" s="164"/>
      <c r="AE266" s="163"/>
      <c r="AF266" s="155"/>
      <c r="AG266" s="161"/>
      <c r="AH266" s="161"/>
      <c r="AI266" s="161"/>
      <c r="AJ266" s="162"/>
      <c r="AK266" s="162"/>
      <c r="AL266" s="164"/>
      <c r="AM266" s="163"/>
      <c r="AN266" s="155"/>
      <c r="AO266" s="161"/>
      <c r="AP266" s="161"/>
      <c r="AQ266" s="161"/>
      <c r="AR266" s="162"/>
      <c r="AS266" s="162"/>
      <c r="AT266" s="164"/>
      <c r="AU266" s="163"/>
    </row>
    <row r="267" spans="1:47" ht="15.95" customHeight="1" x14ac:dyDescent="0.2">
      <c r="A267" s="629"/>
      <c r="B267" s="629"/>
      <c r="C267" s="629"/>
      <c r="D267" s="630"/>
      <c r="E267" s="630"/>
      <c r="F267" s="631"/>
      <c r="G267" s="628" t="s">
        <v>169</v>
      </c>
      <c r="H267" s="113"/>
      <c r="I267" s="129"/>
      <c r="J267" s="129"/>
      <c r="K267" s="129"/>
      <c r="L267" s="130"/>
      <c r="M267" s="162"/>
      <c r="N267" s="162"/>
      <c r="O267" s="163"/>
      <c r="Q267" s="161"/>
      <c r="R267" s="161"/>
      <c r="S267" s="161"/>
      <c r="T267" s="162"/>
      <c r="U267" s="162"/>
      <c r="V267" s="164"/>
      <c r="W267" s="163"/>
      <c r="X267" s="155"/>
      <c r="Y267" s="161"/>
      <c r="Z267" s="161"/>
      <c r="AA267" s="161"/>
      <c r="AB267" s="162"/>
      <c r="AC267" s="162"/>
      <c r="AD267" s="164"/>
      <c r="AE267" s="163"/>
      <c r="AF267" s="155"/>
      <c r="AG267" s="161"/>
      <c r="AH267" s="161"/>
      <c r="AI267" s="161"/>
      <c r="AJ267" s="162"/>
      <c r="AK267" s="162"/>
      <c r="AL267" s="164"/>
      <c r="AM267" s="163"/>
      <c r="AN267" s="155"/>
      <c r="AO267" s="161"/>
      <c r="AP267" s="161"/>
      <c r="AQ267" s="161"/>
      <c r="AR267" s="162"/>
      <c r="AS267" s="162"/>
      <c r="AT267" s="164"/>
      <c r="AU267" s="163"/>
    </row>
    <row r="268" spans="1:47" ht="15.95" customHeight="1" x14ac:dyDescent="0.2">
      <c r="A268" s="629"/>
      <c r="B268" s="629"/>
      <c r="C268" s="629"/>
      <c r="D268" s="630"/>
      <c r="E268" s="630"/>
      <c r="F268" s="631"/>
      <c r="G268" s="628" t="s">
        <v>169</v>
      </c>
      <c r="H268" s="113"/>
      <c r="I268" s="129"/>
      <c r="J268" s="129"/>
      <c r="K268" s="129"/>
      <c r="L268" s="130"/>
      <c r="M268" s="162"/>
      <c r="N268" s="162"/>
      <c r="O268" s="163"/>
      <c r="Q268" s="161"/>
      <c r="R268" s="161"/>
      <c r="S268" s="161"/>
      <c r="T268" s="162"/>
      <c r="U268" s="162"/>
      <c r="V268" s="164"/>
      <c r="W268" s="163"/>
      <c r="X268" s="155"/>
      <c r="Y268" s="161"/>
      <c r="Z268" s="161"/>
      <c r="AA268" s="161"/>
      <c r="AB268" s="162"/>
      <c r="AC268" s="162"/>
      <c r="AD268" s="164"/>
      <c r="AE268" s="163"/>
      <c r="AF268" s="155"/>
      <c r="AG268" s="161"/>
      <c r="AH268" s="161"/>
      <c r="AI268" s="161"/>
      <c r="AJ268" s="162"/>
      <c r="AK268" s="162"/>
      <c r="AL268" s="164"/>
      <c r="AM268" s="163"/>
      <c r="AN268" s="155"/>
      <c r="AO268" s="161"/>
      <c r="AP268" s="161"/>
      <c r="AQ268" s="161"/>
      <c r="AR268" s="162"/>
      <c r="AS268" s="162"/>
      <c r="AT268" s="164"/>
      <c r="AU268" s="163"/>
    </row>
    <row r="269" spans="1:47" ht="15.95" customHeight="1" x14ac:dyDescent="0.2">
      <c r="A269" s="629"/>
      <c r="B269" s="629"/>
      <c r="C269" s="629"/>
      <c r="D269" s="630"/>
      <c r="E269" s="630"/>
      <c r="F269" s="631"/>
      <c r="G269" s="628" t="s">
        <v>169</v>
      </c>
      <c r="H269" s="113"/>
      <c r="I269" s="129"/>
      <c r="J269" s="129"/>
      <c r="K269" s="129"/>
      <c r="L269" s="130"/>
      <c r="M269" s="162"/>
      <c r="N269" s="162"/>
      <c r="O269" s="163"/>
      <c r="Q269" s="161"/>
      <c r="R269" s="161"/>
      <c r="S269" s="161"/>
      <c r="T269" s="162"/>
      <c r="U269" s="162"/>
      <c r="V269" s="164"/>
      <c r="W269" s="163"/>
      <c r="X269" s="155"/>
      <c r="Y269" s="161"/>
      <c r="Z269" s="161"/>
      <c r="AA269" s="161"/>
      <c r="AB269" s="162"/>
      <c r="AC269" s="162"/>
      <c r="AD269" s="164"/>
      <c r="AE269" s="163"/>
      <c r="AF269" s="155"/>
      <c r="AG269" s="161"/>
      <c r="AH269" s="161"/>
      <c r="AI269" s="161"/>
      <c r="AJ269" s="162"/>
      <c r="AK269" s="162"/>
      <c r="AL269" s="164"/>
      <c r="AM269" s="163"/>
      <c r="AN269" s="155"/>
      <c r="AO269" s="161"/>
      <c r="AP269" s="161"/>
      <c r="AQ269" s="161"/>
      <c r="AR269" s="162"/>
      <c r="AS269" s="162"/>
      <c r="AT269" s="164"/>
      <c r="AU269" s="163"/>
    </row>
    <row r="270" spans="1:47" ht="15.95" customHeight="1" x14ac:dyDescent="0.2">
      <c r="A270" s="629"/>
      <c r="B270" s="629"/>
      <c r="C270" s="629"/>
      <c r="D270" s="630"/>
      <c r="E270" s="630"/>
      <c r="F270" s="631"/>
      <c r="G270" s="628" t="s">
        <v>169</v>
      </c>
      <c r="H270" s="113"/>
      <c r="I270" s="129"/>
      <c r="J270" s="129"/>
      <c r="K270" s="129"/>
      <c r="L270" s="130"/>
      <c r="M270" s="162"/>
      <c r="N270" s="162"/>
      <c r="O270" s="163"/>
      <c r="Q270" s="161"/>
      <c r="R270" s="161"/>
      <c r="S270" s="161"/>
      <c r="T270" s="162"/>
      <c r="U270" s="162"/>
      <c r="V270" s="164"/>
      <c r="W270" s="163"/>
      <c r="X270" s="155"/>
      <c r="Y270" s="161"/>
      <c r="Z270" s="161"/>
      <c r="AA270" s="161"/>
      <c r="AB270" s="162"/>
      <c r="AC270" s="162"/>
      <c r="AD270" s="164"/>
      <c r="AE270" s="163"/>
      <c r="AF270" s="155"/>
      <c r="AG270" s="161"/>
      <c r="AH270" s="161"/>
      <c r="AI270" s="161"/>
      <c r="AJ270" s="162"/>
      <c r="AK270" s="162"/>
      <c r="AL270" s="164"/>
      <c r="AM270" s="163"/>
      <c r="AN270" s="155"/>
      <c r="AO270" s="161"/>
      <c r="AP270" s="161"/>
      <c r="AQ270" s="161"/>
      <c r="AR270" s="162"/>
      <c r="AS270" s="162"/>
      <c r="AT270" s="164"/>
      <c r="AU270" s="163"/>
    </row>
    <row r="271" spans="1:47" ht="15.95" customHeight="1" x14ac:dyDescent="0.2">
      <c r="A271" s="629"/>
      <c r="B271" s="629"/>
      <c r="C271" s="629"/>
      <c r="D271" s="630"/>
      <c r="E271" s="630"/>
      <c r="F271" s="631"/>
      <c r="G271" s="628" t="s">
        <v>169</v>
      </c>
      <c r="H271" s="113"/>
      <c r="I271" s="129"/>
      <c r="J271" s="129"/>
      <c r="K271" s="129"/>
      <c r="L271" s="130"/>
      <c r="M271" s="162"/>
      <c r="N271" s="162"/>
      <c r="O271" s="163"/>
      <c r="Q271" s="161"/>
      <c r="R271" s="161"/>
      <c r="S271" s="161"/>
      <c r="T271" s="162"/>
      <c r="U271" s="162"/>
      <c r="V271" s="164"/>
      <c r="W271" s="163"/>
      <c r="X271" s="155"/>
      <c r="Y271" s="161"/>
      <c r="Z271" s="161"/>
      <c r="AA271" s="161"/>
      <c r="AB271" s="162"/>
      <c r="AC271" s="162"/>
      <c r="AD271" s="164"/>
      <c r="AE271" s="163"/>
      <c r="AF271" s="155"/>
      <c r="AG271" s="161"/>
      <c r="AH271" s="161"/>
      <c r="AI271" s="161"/>
      <c r="AJ271" s="162"/>
      <c r="AK271" s="162"/>
      <c r="AL271" s="164"/>
      <c r="AM271" s="163"/>
      <c r="AN271" s="155"/>
      <c r="AO271" s="161"/>
      <c r="AP271" s="161"/>
      <c r="AQ271" s="161"/>
      <c r="AR271" s="162"/>
      <c r="AS271" s="162"/>
      <c r="AT271" s="164"/>
      <c r="AU271" s="163"/>
    </row>
    <row r="272" spans="1:47" ht="15.95" customHeight="1" x14ac:dyDescent="0.2">
      <c r="A272" s="629"/>
      <c r="B272" s="629"/>
      <c r="C272" s="629"/>
      <c r="D272" s="630"/>
      <c r="E272" s="630"/>
      <c r="F272" s="631"/>
      <c r="G272" s="628" t="s">
        <v>169</v>
      </c>
      <c r="H272" s="113"/>
      <c r="I272" s="129"/>
      <c r="J272" s="129"/>
      <c r="K272" s="129"/>
      <c r="L272" s="130"/>
      <c r="M272" s="162"/>
      <c r="N272" s="162"/>
      <c r="O272" s="163"/>
      <c r="Q272" s="161"/>
      <c r="R272" s="161"/>
      <c r="S272" s="161"/>
      <c r="T272" s="162"/>
      <c r="U272" s="162"/>
      <c r="V272" s="164"/>
      <c r="W272" s="163"/>
      <c r="X272" s="155"/>
      <c r="Y272" s="161"/>
      <c r="Z272" s="161"/>
      <c r="AA272" s="161"/>
      <c r="AB272" s="162"/>
      <c r="AC272" s="162"/>
      <c r="AD272" s="164"/>
      <c r="AE272" s="163"/>
      <c r="AF272" s="155"/>
      <c r="AG272" s="161"/>
      <c r="AH272" s="161"/>
      <c r="AI272" s="161"/>
      <c r="AJ272" s="162"/>
      <c r="AK272" s="162"/>
      <c r="AL272" s="164"/>
      <c r="AM272" s="163"/>
      <c r="AN272" s="155"/>
      <c r="AO272" s="161"/>
      <c r="AP272" s="161"/>
      <c r="AQ272" s="161"/>
      <c r="AR272" s="162"/>
      <c r="AS272" s="162"/>
      <c r="AT272" s="164"/>
      <c r="AU272" s="163"/>
    </row>
    <row r="273" spans="1:47" ht="15.95" customHeight="1" x14ac:dyDescent="0.2">
      <c r="A273" s="629"/>
      <c r="B273" s="629"/>
      <c r="C273" s="629"/>
      <c r="D273" s="630"/>
      <c r="E273" s="630"/>
      <c r="F273" s="631"/>
      <c r="G273" s="628" t="s">
        <v>169</v>
      </c>
      <c r="H273" s="113"/>
      <c r="I273" s="129"/>
      <c r="J273" s="129"/>
      <c r="K273" s="129"/>
      <c r="L273" s="130"/>
      <c r="M273" s="162"/>
      <c r="N273" s="162"/>
      <c r="O273" s="163"/>
      <c r="Q273" s="161"/>
      <c r="R273" s="161"/>
      <c r="S273" s="161"/>
      <c r="T273" s="162"/>
      <c r="U273" s="162"/>
      <c r="V273" s="164"/>
      <c r="W273" s="163"/>
      <c r="X273" s="155"/>
      <c r="Y273" s="161"/>
      <c r="Z273" s="161"/>
      <c r="AA273" s="161"/>
      <c r="AB273" s="162"/>
      <c r="AC273" s="162"/>
      <c r="AD273" s="164"/>
      <c r="AE273" s="163"/>
      <c r="AF273" s="155"/>
      <c r="AG273" s="161"/>
      <c r="AH273" s="161"/>
      <c r="AI273" s="161"/>
      <c r="AJ273" s="162"/>
      <c r="AK273" s="162"/>
      <c r="AL273" s="164"/>
      <c r="AM273" s="163"/>
      <c r="AN273" s="155"/>
      <c r="AO273" s="161"/>
      <c r="AP273" s="161"/>
      <c r="AQ273" s="161"/>
      <c r="AR273" s="162"/>
      <c r="AS273" s="162"/>
      <c r="AT273" s="164"/>
      <c r="AU273" s="163"/>
    </row>
    <row r="274" spans="1:47" ht="15.95" customHeight="1" x14ac:dyDescent="0.2">
      <c r="A274" s="629"/>
      <c r="B274" s="629"/>
      <c r="C274" s="629"/>
      <c r="D274" s="630"/>
      <c r="E274" s="630"/>
      <c r="F274" s="631"/>
      <c r="G274" s="628" t="s">
        <v>169</v>
      </c>
      <c r="H274" s="113"/>
      <c r="I274" s="129"/>
      <c r="J274" s="129"/>
      <c r="K274" s="129"/>
      <c r="L274" s="130"/>
      <c r="M274" s="162"/>
      <c r="N274" s="162"/>
      <c r="O274" s="163"/>
      <c r="Q274" s="161"/>
      <c r="R274" s="161"/>
      <c r="S274" s="161"/>
      <c r="T274" s="162"/>
      <c r="U274" s="162"/>
      <c r="V274" s="164"/>
      <c r="W274" s="163"/>
      <c r="X274" s="155"/>
      <c r="Y274" s="161"/>
      <c r="Z274" s="161"/>
      <c r="AA274" s="161"/>
      <c r="AB274" s="162"/>
      <c r="AC274" s="162"/>
      <c r="AD274" s="164"/>
      <c r="AE274" s="163"/>
      <c r="AF274" s="155"/>
      <c r="AG274" s="161"/>
      <c r="AH274" s="161"/>
      <c r="AI274" s="161"/>
      <c r="AJ274" s="162"/>
      <c r="AK274" s="162"/>
      <c r="AL274" s="164"/>
      <c r="AM274" s="163"/>
      <c r="AN274" s="155"/>
      <c r="AO274" s="161"/>
      <c r="AP274" s="161"/>
      <c r="AQ274" s="161"/>
      <c r="AR274" s="162"/>
      <c r="AS274" s="162"/>
      <c r="AT274" s="164"/>
      <c r="AU274" s="163"/>
    </row>
    <row r="275" spans="1:47" ht="15.95" customHeight="1" x14ac:dyDescent="0.2">
      <c r="A275" s="629"/>
      <c r="B275" s="629"/>
      <c r="C275" s="629"/>
      <c r="D275" s="630"/>
      <c r="E275" s="630"/>
      <c r="F275" s="631"/>
      <c r="G275" s="628" t="s">
        <v>169</v>
      </c>
      <c r="H275" s="113"/>
      <c r="I275" s="129"/>
      <c r="J275" s="129"/>
      <c r="K275" s="129"/>
      <c r="L275" s="130"/>
      <c r="M275" s="162"/>
      <c r="N275" s="162"/>
      <c r="O275" s="163"/>
      <c r="Q275" s="161"/>
      <c r="R275" s="161"/>
      <c r="S275" s="161"/>
      <c r="T275" s="162"/>
      <c r="U275" s="162"/>
      <c r="V275" s="164"/>
      <c r="W275" s="163"/>
      <c r="X275" s="155"/>
      <c r="Y275" s="161"/>
      <c r="Z275" s="161"/>
      <c r="AA275" s="161"/>
      <c r="AB275" s="162"/>
      <c r="AC275" s="162"/>
      <c r="AD275" s="164"/>
      <c r="AE275" s="163"/>
      <c r="AF275" s="155"/>
      <c r="AG275" s="161"/>
      <c r="AH275" s="161"/>
      <c r="AI275" s="161"/>
      <c r="AJ275" s="162"/>
      <c r="AK275" s="162"/>
      <c r="AL275" s="164"/>
      <c r="AM275" s="163"/>
      <c r="AN275" s="155"/>
      <c r="AO275" s="161"/>
      <c r="AP275" s="161"/>
      <c r="AQ275" s="161"/>
      <c r="AR275" s="162"/>
      <c r="AS275" s="162"/>
      <c r="AT275" s="164"/>
      <c r="AU275" s="163"/>
    </row>
    <row r="276" spans="1:47" ht="15.95" customHeight="1" x14ac:dyDescent="0.2">
      <c r="A276" s="629"/>
      <c r="B276" s="629"/>
      <c r="C276" s="629"/>
      <c r="D276" s="630"/>
      <c r="E276" s="630"/>
      <c r="F276" s="631"/>
      <c r="G276" s="628" t="s">
        <v>169</v>
      </c>
      <c r="H276" s="113"/>
      <c r="I276" s="129"/>
      <c r="J276" s="129"/>
      <c r="K276" s="129"/>
      <c r="L276" s="130"/>
      <c r="M276" s="162"/>
      <c r="N276" s="162"/>
      <c r="O276" s="163"/>
      <c r="Q276" s="161"/>
      <c r="R276" s="161"/>
      <c r="S276" s="161"/>
      <c r="T276" s="162"/>
      <c r="U276" s="162"/>
      <c r="V276" s="164"/>
      <c r="W276" s="163"/>
      <c r="X276" s="155"/>
      <c r="Y276" s="161"/>
      <c r="Z276" s="161"/>
      <c r="AA276" s="161"/>
      <c r="AB276" s="162"/>
      <c r="AC276" s="162"/>
      <c r="AD276" s="164"/>
      <c r="AE276" s="163"/>
      <c r="AF276" s="155"/>
      <c r="AG276" s="161"/>
      <c r="AH276" s="161"/>
      <c r="AI276" s="161"/>
      <c r="AJ276" s="162"/>
      <c r="AK276" s="162"/>
      <c r="AL276" s="164"/>
      <c r="AM276" s="163"/>
      <c r="AN276" s="155"/>
      <c r="AO276" s="161"/>
      <c r="AP276" s="161"/>
      <c r="AQ276" s="161"/>
      <c r="AR276" s="162"/>
      <c r="AS276" s="162"/>
      <c r="AT276" s="164"/>
      <c r="AU276" s="163"/>
    </row>
    <row r="277" spans="1:47" ht="15.95" customHeight="1" x14ac:dyDescent="0.2">
      <c r="A277" s="629"/>
      <c r="B277" s="629"/>
      <c r="C277" s="629"/>
      <c r="D277" s="630"/>
      <c r="E277" s="630"/>
      <c r="F277" s="631"/>
      <c r="G277" s="628" t="s">
        <v>169</v>
      </c>
      <c r="H277" s="113"/>
      <c r="I277" s="129"/>
      <c r="J277" s="129"/>
      <c r="K277" s="129"/>
      <c r="L277" s="130"/>
      <c r="M277" s="162"/>
      <c r="N277" s="162"/>
      <c r="O277" s="163"/>
      <c r="Q277" s="161"/>
      <c r="R277" s="161"/>
      <c r="S277" s="161"/>
      <c r="T277" s="162"/>
      <c r="U277" s="162"/>
      <c r="V277" s="164"/>
      <c r="W277" s="163"/>
      <c r="X277" s="155"/>
      <c r="Y277" s="161"/>
      <c r="Z277" s="161"/>
      <c r="AA277" s="161"/>
      <c r="AB277" s="162"/>
      <c r="AC277" s="162"/>
      <c r="AD277" s="164"/>
      <c r="AE277" s="163"/>
      <c r="AF277" s="155"/>
      <c r="AG277" s="161"/>
      <c r="AH277" s="161"/>
      <c r="AI277" s="161"/>
      <c r="AJ277" s="162"/>
      <c r="AK277" s="162"/>
      <c r="AL277" s="164"/>
      <c r="AM277" s="163"/>
      <c r="AN277" s="155"/>
      <c r="AO277" s="161"/>
      <c r="AP277" s="161"/>
      <c r="AQ277" s="161"/>
      <c r="AR277" s="162"/>
      <c r="AS277" s="162"/>
      <c r="AT277" s="164"/>
      <c r="AU277" s="163"/>
    </row>
    <row r="278" spans="1:47" ht="15.95" customHeight="1" x14ac:dyDescent="0.2">
      <c r="A278" s="629"/>
      <c r="B278" s="629"/>
      <c r="C278" s="629"/>
      <c r="D278" s="630"/>
      <c r="E278" s="630"/>
      <c r="F278" s="631"/>
      <c r="G278" s="628" t="s">
        <v>169</v>
      </c>
      <c r="H278" s="113"/>
      <c r="I278" s="129"/>
      <c r="J278" s="129"/>
      <c r="K278" s="129"/>
      <c r="L278" s="130"/>
      <c r="M278" s="162"/>
      <c r="N278" s="162"/>
      <c r="O278" s="163"/>
      <c r="Q278" s="161"/>
      <c r="R278" s="161"/>
      <c r="S278" s="161"/>
      <c r="T278" s="162"/>
      <c r="U278" s="162"/>
      <c r="V278" s="164"/>
      <c r="W278" s="163"/>
      <c r="X278" s="155"/>
      <c r="Y278" s="161"/>
      <c r="Z278" s="161"/>
      <c r="AA278" s="161"/>
      <c r="AB278" s="162"/>
      <c r="AC278" s="162"/>
      <c r="AD278" s="164"/>
      <c r="AE278" s="163"/>
      <c r="AF278" s="155"/>
      <c r="AG278" s="161"/>
      <c r="AH278" s="161"/>
      <c r="AI278" s="161"/>
      <c r="AJ278" s="162"/>
      <c r="AK278" s="162"/>
      <c r="AL278" s="164"/>
      <c r="AM278" s="163"/>
      <c r="AN278" s="155"/>
      <c r="AO278" s="161"/>
      <c r="AP278" s="161"/>
      <c r="AQ278" s="161"/>
      <c r="AR278" s="162"/>
      <c r="AS278" s="162"/>
      <c r="AT278" s="164"/>
      <c r="AU278" s="163"/>
    </row>
    <row r="279" spans="1:47" ht="15.95" customHeight="1" x14ac:dyDescent="0.2">
      <c r="A279" s="629"/>
      <c r="B279" s="629"/>
      <c r="C279" s="629"/>
      <c r="D279" s="630"/>
      <c r="E279" s="630"/>
      <c r="F279" s="631"/>
      <c r="G279" s="628" t="s">
        <v>169</v>
      </c>
      <c r="H279" s="113"/>
      <c r="I279" s="129"/>
      <c r="J279" s="129"/>
      <c r="K279" s="129"/>
      <c r="L279" s="130"/>
      <c r="M279" s="162"/>
      <c r="N279" s="162"/>
      <c r="O279" s="163"/>
      <c r="Q279" s="161"/>
      <c r="R279" s="161"/>
      <c r="S279" s="161"/>
      <c r="T279" s="162"/>
      <c r="U279" s="162"/>
      <c r="V279" s="164"/>
      <c r="W279" s="163"/>
      <c r="X279" s="155"/>
      <c r="Y279" s="161"/>
      <c r="Z279" s="161"/>
      <c r="AA279" s="161"/>
      <c r="AB279" s="162"/>
      <c r="AC279" s="162"/>
      <c r="AD279" s="164"/>
      <c r="AE279" s="163"/>
      <c r="AF279" s="155"/>
      <c r="AG279" s="161"/>
      <c r="AH279" s="161"/>
      <c r="AI279" s="161"/>
      <c r="AJ279" s="162"/>
      <c r="AK279" s="162"/>
      <c r="AL279" s="164"/>
      <c r="AM279" s="163"/>
      <c r="AN279" s="155"/>
      <c r="AO279" s="161"/>
      <c r="AP279" s="161"/>
      <c r="AQ279" s="161"/>
      <c r="AR279" s="162"/>
      <c r="AS279" s="162"/>
      <c r="AT279" s="164"/>
      <c r="AU279" s="163"/>
    </row>
    <row r="280" spans="1:47" ht="15.95" customHeight="1" x14ac:dyDescent="0.2">
      <c r="A280" s="629"/>
      <c r="B280" s="629"/>
      <c r="C280" s="629"/>
      <c r="D280" s="630"/>
      <c r="E280" s="630"/>
      <c r="F280" s="631"/>
      <c r="G280" s="628" t="s">
        <v>169</v>
      </c>
      <c r="H280" s="113"/>
      <c r="I280" s="129"/>
      <c r="J280" s="129"/>
      <c r="K280" s="129"/>
      <c r="L280" s="130"/>
      <c r="M280" s="162"/>
      <c r="N280" s="162"/>
      <c r="O280" s="163"/>
      <c r="Q280" s="161"/>
      <c r="R280" s="161"/>
      <c r="S280" s="161"/>
      <c r="T280" s="162"/>
      <c r="U280" s="162"/>
      <c r="V280" s="164"/>
      <c r="W280" s="163"/>
      <c r="X280" s="155"/>
      <c r="Y280" s="161"/>
      <c r="Z280" s="161"/>
      <c r="AA280" s="161"/>
      <c r="AB280" s="162"/>
      <c r="AC280" s="162"/>
      <c r="AD280" s="164"/>
      <c r="AE280" s="163"/>
      <c r="AF280" s="155"/>
      <c r="AG280" s="161"/>
      <c r="AH280" s="161"/>
      <c r="AI280" s="161"/>
      <c r="AJ280" s="162"/>
      <c r="AK280" s="162"/>
      <c r="AL280" s="164"/>
      <c r="AM280" s="163"/>
      <c r="AN280" s="155"/>
      <c r="AO280" s="161"/>
      <c r="AP280" s="161"/>
      <c r="AQ280" s="161"/>
      <c r="AR280" s="162"/>
      <c r="AS280" s="162"/>
      <c r="AT280" s="164"/>
      <c r="AU280" s="163"/>
    </row>
    <row r="281" spans="1:47" ht="15.95" customHeight="1" x14ac:dyDescent="0.2">
      <c r="A281" s="629"/>
      <c r="B281" s="629"/>
      <c r="C281" s="629"/>
      <c r="D281" s="630"/>
      <c r="E281" s="630"/>
      <c r="F281" s="631"/>
      <c r="G281" s="628" t="s">
        <v>169</v>
      </c>
      <c r="H281" s="113"/>
      <c r="I281" s="129"/>
      <c r="J281" s="129"/>
      <c r="K281" s="129"/>
      <c r="L281" s="130"/>
      <c r="M281" s="162"/>
      <c r="N281" s="162"/>
      <c r="O281" s="163"/>
      <c r="Q281" s="161"/>
      <c r="R281" s="161"/>
      <c r="S281" s="161"/>
      <c r="T281" s="162"/>
      <c r="U281" s="162"/>
      <c r="V281" s="164"/>
      <c r="W281" s="163"/>
      <c r="X281" s="155"/>
      <c r="Y281" s="161"/>
      <c r="Z281" s="161"/>
      <c r="AA281" s="161"/>
      <c r="AB281" s="162"/>
      <c r="AC281" s="162"/>
      <c r="AD281" s="164"/>
      <c r="AE281" s="163"/>
      <c r="AF281" s="155"/>
      <c r="AG281" s="161"/>
      <c r="AH281" s="161"/>
      <c r="AI281" s="161"/>
      <c r="AJ281" s="162"/>
      <c r="AK281" s="162"/>
      <c r="AL281" s="164"/>
      <c r="AM281" s="163"/>
      <c r="AN281" s="155"/>
      <c r="AO281" s="161"/>
      <c r="AP281" s="161"/>
      <c r="AQ281" s="161"/>
      <c r="AR281" s="162"/>
      <c r="AS281" s="162"/>
      <c r="AT281" s="164"/>
      <c r="AU281" s="163"/>
    </row>
    <row r="282" spans="1:47" ht="15.95" customHeight="1" x14ac:dyDescent="0.2">
      <c r="A282" s="629"/>
      <c r="B282" s="629"/>
      <c r="C282" s="629"/>
      <c r="D282" s="630"/>
      <c r="E282" s="630"/>
      <c r="F282" s="631"/>
      <c r="G282" s="628" t="s">
        <v>169</v>
      </c>
      <c r="H282" s="113"/>
      <c r="I282" s="129"/>
      <c r="J282" s="129"/>
      <c r="K282" s="129"/>
      <c r="L282" s="130"/>
      <c r="M282" s="162"/>
      <c r="N282" s="162"/>
      <c r="O282" s="163"/>
      <c r="Q282" s="161"/>
      <c r="R282" s="161"/>
      <c r="S282" s="161"/>
      <c r="T282" s="162"/>
      <c r="U282" s="162"/>
      <c r="V282" s="164"/>
      <c r="W282" s="163"/>
      <c r="X282" s="155"/>
      <c r="Y282" s="161"/>
      <c r="Z282" s="161"/>
      <c r="AA282" s="161"/>
      <c r="AB282" s="162"/>
      <c r="AC282" s="162"/>
      <c r="AD282" s="164"/>
      <c r="AE282" s="163"/>
      <c r="AF282" s="155"/>
      <c r="AG282" s="161"/>
      <c r="AH282" s="161"/>
      <c r="AI282" s="161"/>
      <c r="AJ282" s="162"/>
      <c r="AK282" s="162"/>
      <c r="AL282" s="164"/>
      <c r="AM282" s="163"/>
      <c r="AN282" s="155"/>
      <c r="AO282" s="161"/>
      <c r="AP282" s="161"/>
      <c r="AQ282" s="161"/>
      <c r="AR282" s="162"/>
      <c r="AS282" s="162"/>
      <c r="AT282" s="164"/>
      <c r="AU282" s="163"/>
    </row>
    <row r="283" spans="1:47" ht="15.95" customHeight="1" x14ac:dyDescent="0.2">
      <c r="A283" s="629"/>
      <c r="B283" s="629"/>
      <c r="C283" s="629"/>
      <c r="D283" s="630"/>
      <c r="E283" s="630"/>
      <c r="F283" s="631"/>
      <c r="G283" s="628" t="s">
        <v>169</v>
      </c>
      <c r="H283" s="113"/>
      <c r="I283" s="129"/>
      <c r="J283" s="129"/>
      <c r="K283" s="129"/>
      <c r="L283" s="130"/>
      <c r="M283" s="162"/>
      <c r="N283" s="162"/>
      <c r="O283" s="163"/>
      <c r="Q283" s="161"/>
      <c r="R283" s="161"/>
      <c r="S283" s="161"/>
      <c r="T283" s="162"/>
      <c r="U283" s="162"/>
      <c r="V283" s="164"/>
      <c r="W283" s="163"/>
      <c r="X283" s="155"/>
      <c r="Y283" s="161"/>
      <c r="Z283" s="161"/>
      <c r="AA283" s="161"/>
      <c r="AB283" s="162"/>
      <c r="AC283" s="162"/>
      <c r="AD283" s="164"/>
      <c r="AE283" s="163"/>
      <c r="AF283" s="155"/>
      <c r="AG283" s="161"/>
      <c r="AH283" s="161"/>
      <c r="AI283" s="161"/>
      <c r="AJ283" s="162"/>
      <c r="AK283" s="162"/>
      <c r="AL283" s="164"/>
      <c r="AM283" s="163"/>
      <c r="AN283" s="155"/>
      <c r="AO283" s="161"/>
      <c r="AP283" s="161"/>
      <c r="AQ283" s="161"/>
      <c r="AR283" s="162"/>
      <c r="AS283" s="162"/>
      <c r="AT283" s="164"/>
      <c r="AU283" s="163"/>
    </row>
    <row r="284" spans="1:47" ht="15.95" customHeight="1" x14ac:dyDescent="0.2">
      <c r="A284" s="629"/>
      <c r="B284" s="629"/>
      <c r="C284" s="629"/>
      <c r="D284" s="630"/>
      <c r="E284" s="630"/>
      <c r="F284" s="631"/>
      <c r="G284" s="628" t="s">
        <v>169</v>
      </c>
      <c r="H284" s="113"/>
      <c r="I284" s="129"/>
      <c r="J284" s="129"/>
      <c r="K284" s="129"/>
      <c r="L284" s="130"/>
      <c r="M284" s="162"/>
      <c r="N284" s="162"/>
      <c r="O284" s="163"/>
      <c r="Q284" s="161"/>
      <c r="R284" s="161"/>
      <c r="S284" s="161"/>
      <c r="T284" s="162"/>
      <c r="U284" s="162"/>
      <c r="V284" s="164"/>
      <c r="W284" s="163"/>
      <c r="X284" s="155"/>
      <c r="Y284" s="161"/>
      <c r="Z284" s="161"/>
      <c r="AA284" s="161"/>
      <c r="AB284" s="162"/>
      <c r="AC284" s="162"/>
      <c r="AD284" s="164"/>
      <c r="AE284" s="163"/>
      <c r="AF284" s="155"/>
      <c r="AG284" s="161"/>
      <c r="AH284" s="161"/>
      <c r="AI284" s="161"/>
      <c r="AJ284" s="162"/>
      <c r="AK284" s="162"/>
      <c r="AL284" s="164"/>
      <c r="AM284" s="163"/>
      <c r="AN284" s="155"/>
      <c r="AO284" s="161"/>
      <c r="AP284" s="161"/>
      <c r="AQ284" s="161"/>
      <c r="AR284" s="162"/>
      <c r="AS284" s="162"/>
      <c r="AT284" s="164"/>
      <c r="AU284" s="163"/>
    </row>
    <row r="285" spans="1:47" ht="15.95" customHeight="1" x14ac:dyDescent="0.2">
      <c r="A285" s="629"/>
      <c r="B285" s="629"/>
      <c r="C285" s="629"/>
      <c r="D285" s="630"/>
      <c r="E285" s="630"/>
      <c r="F285" s="631"/>
      <c r="G285" s="628" t="s">
        <v>169</v>
      </c>
      <c r="H285" s="113"/>
      <c r="I285" s="129"/>
      <c r="J285" s="129"/>
      <c r="K285" s="129"/>
      <c r="L285" s="130"/>
      <c r="M285" s="162"/>
      <c r="N285" s="162"/>
      <c r="O285" s="163"/>
      <c r="Q285" s="161"/>
      <c r="R285" s="161"/>
      <c r="S285" s="161"/>
      <c r="T285" s="162"/>
      <c r="U285" s="162"/>
      <c r="V285" s="164"/>
      <c r="W285" s="163"/>
      <c r="X285" s="155"/>
      <c r="Y285" s="161"/>
      <c r="Z285" s="161"/>
      <c r="AA285" s="161"/>
      <c r="AB285" s="162"/>
      <c r="AC285" s="162"/>
      <c r="AD285" s="164"/>
      <c r="AE285" s="163"/>
      <c r="AF285" s="155"/>
      <c r="AG285" s="161"/>
      <c r="AH285" s="161"/>
      <c r="AI285" s="161"/>
      <c r="AJ285" s="162"/>
      <c r="AK285" s="162"/>
      <c r="AL285" s="164"/>
      <c r="AM285" s="163"/>
      <c r="AN285" s="155"/>
      <c r="AO285" s="161"/>
      <c r="AP285" s="161"/>
      <c r="AQ285" s="161"/>
      <c r="AR285" s="162"/>
      <c r="AS285" s="162"/>
      <c r="AT285" s="164"/>
      <c r="AU285" s="163"/>
    </row>
    <row r="286" spans="1:47" ht="15.95" customHeight="1" x14ac:dyDescent="0.2">
      <c r="A286" s="629"/>
      <c r="B286" s="629"/>
      <c r="C286" s="629"/>
      <c r="D286" s="630"/>
      <c r="E286" s="630"/>
      <c r="F286" s="631"/>
      <c r="G286" s="628" t="s">
        <v>169</v>
      </c>
      <c r="H286" s="113"/>
      <c r="I286" s="129"/>
      <c r="J286" s="129"/>
      <c r="K286" s="129"/>
      <c r="L286" s="130"/>
      <c r="M286" s="162"/>
      <c r="N286" s="162"/>
      <c r="O286" s="163"/>
      <c r="Q286" s="161"/>
      <c r="R286" s="161"/>
      <c r="S286" s="161"/>
      <c r="T286" s="162"/>
      <c r="U286" s="162"/>
      <c r="V286" s="164"/>
      <c r="W286" s="163"/>
      <c r="X286" s="155"/>
      <c r="Y286" s="161"/>
      <c r="Z286" s="161"/>
      <c r="AA286" s="161"/>
      <c r="AB286" s="162"/>
      <c r="AC286" s="162"/>
      <c r="AD286" s="164"/>
      <c r="AE286" s="163"/>
      <c r="AF286" s="155"/>
      <c r="AG286" s="161"/>
      <c r="AH286" s="161"/>
      <c r="AI286" s="161"/>
      <c r="AJ286" s="162"/>
      <c r="AK286" s="162"/>
      <c r="AL286" s="164"/>
      <c r="AM286" s="163"/>
      <c r="AN286" s="155"/>
      <c r="AO286" s="161"/>
      <c r="AP286" s="161"/>
      <c r="AQ286" s="161"/>
      <c r="AR286" s="162"/>
      <c r="AS286" s="162"/>
      <c r="AT286" s="164"/>
      <c r="AU286" s="163"/>
    </row>
    <row r="287" spans="1:47" ht="15.95" customHeight="1" x14ac:dyDescent="0.2">
      <c r="A287" s="629"/>
      <c r="B287" s="629"/>
      <c r="C287" s="629"/>
      <c r="D287" s="630"/>
      <c r="E287" s="630"/>
      <c r="F287" s="631"/>
      <c r="G287" s="628" t="s">
        <v>169</v>
      </c>
      <c r="H287" s="113"/>
      <c r="I287" s="129"/>
      <c r="J287" s="129"/>
      <c r="K287" s="129"/>
      <c r="L287" s="130"/>
      <c r="M287" s="162"/>
      <c r="N287" s="162"/>
      <c r="O287" s="163"/>
      <c r="Q287" s="161"/>
      <c r="R287" s="161"/>
      <c r="S287" s="161"/>
      <c r="T287" s="162"/>
      <c r="U287" s="162"/>
      <c r="V287" s="164"/>
      <c r="W287" s="163"/>
      <c r="X287" s="155"/>
      <c r="Y287" s="161"/>
      <c r="Z287" s="161"/>
      <c r="AA287" s="161"/>
      <c r="AB287" s="162"/>
      <c r="AC287" s="162"/>
      <c r="AD287" s="164"/>
      <c r="AE287" s="163"/>
      <c r="AF287" s="155"/>
      <c r="AG287" s="161"/>
      <c r="AH287" s="161"/>
      <c r="AI287" s="161"/>
      <c r="AJ287" s="162"/>
      <c r="AK287" s="162"/>
      <c r="AL287" s="164"/>
      <c r="AM287" s="163"/>
      <c r="AN287" s="155"/>
      <c r="AO287" s="161"/>
      <c r="AP287" s="161"/>
      <c r="AQ287" s="161"/>
      <c r="AR287" s="162"/>
      <c r="AS287" s="162"/>
      <c r="AT287" s="164"/>
      <c r="AU287" s="163"/>
    </row>
    <row r="288" spans="1:47" ht="15.95" customHeight="1" x14ac:dyDescent="0.2">
      <c r="A288" s="629"/>
      <c r="B288" s="629"/>
      <c r="C288" s="629"/>
      <c r="D288" s="630"/>
      <c r="E288" s="630"/>
      <c r="F288" s="631"/>
      <c r="G288" s="628" t="s">
        <v>169</v>
      </c>
      <c r="H288" s="113"/>
      <c r="I288" s="129"/>
      <c r="J288" s="129"/>
      <c r="K288" s="129"/>
      <c r="L288" s="130"/>
      <c r="M288" s="162"/>
      <c r="N288" s="162"/>
      <c r="O288" s="163"/>
      <c r="Q288" s="161"/>
      <c r="R288" s="161"/>
      <c r="S288" s="161"/>
      <c r="T288" s="162"/>
      <c r="U288" s="162"/>
      <c r="V288" s="164"/>
      <c r="W288" s="163"/>
      <c r="X288" s="155"/>
      <c r="Y288" s="161"/>
      <c r="Z288" s="161"/>
      <c r="AA288" s="161"/>
      <c r="AB288" s="162"/>
      <c r="AC288" s="162"/>
      <c r="AD288" s="164"/>
      <c r="AE288" s="163"/>
      <c r="AF288" s="155"/>
      <c r="AG288" s="161"/>
      <c r="AH288" s="161"/>
      <c r="AI288" s="161"/>
      <c r="AJ288" s="162"/>
      <c r="AK288" s="162"/>
      <c r="AL288" s="164"/>
      <c r="AM288" s="163"/>
      <c r="AN288" s="155"/>
      <c r="AO288" s="161"/>
      <c r="AP288" s="161"/>
      <c r="AQ288" s="161"/>
      <c r="AR288" s="162"/>
      <c r="AS288" s="162"/>
      <c r="AT288" s="164"/>
      <c r="AU288" s="163"/>
    </row>
    <row r="289" spans="1:47" ht="15.95" customHeight="1" x14ac:dyDescent="0.2">
      <c r="A289" s="629"/>
      <c r="B289" s="629"/>
      <c r="C289" s="629"/>
      <c r="D289" s="630"/>
      <c r="E289" s="630"/>
      <c r="F289" s="631"/>
      <c r="G289" s="628" t="s">
        <v>169</v>
      </c>
      <c r="H289" s="113"/>
      <c r="I289" s="129"/>
      <c r="J289" s="129"/>
      <c r="K289" s="129"/>
      <c r="L289" s="130"/>
      <c r="M289" s="162"/>
      <c r="N289" s="162"/>
      <c r="O289" s="163"/>
      <c r="Q289" s="161"/>
      <c r="R289" s="161"/>
      <c r="S289" s="161"/>
      <c r="T289" s="162"/>
      <c r="U289" s="162"/>
      <c r="V289" s="164"/>
      <c r="W289" s="163"/>
      <c r="X289" s="155"/>
      <c r="Y289" s="161"/>
      <c r="Z289" s="161"/>
      <c r="AA289" s="161"/>
      <c r="AB289" s="162"/>
      <c r="AC289" s="162"/>
      <c r="AD289" s="164"/>
      <c r="AE289" s="163"/>
      <c r="AF289" s="155"/>
      <c r="AG289" s="161"/>
      <c r="AH289" s="161"/>
      <c r="AI289" s="161"/>
      <c r="AJ289" s="162"/>
      <c r="AK289" s="162"/>
      <c r="AL289" s="164"/>
      <c r="AM289" s="163"/>
      <c r="AN289" s="155"/>
      <c r="AO289" s="161"/>
      <c r="AP289" s="161"/>
      <c r="AQ289" s="161"/>
      <c r="AR289" s="162"/>
      <c r="AS289" s="162"/>
      <c r="AT289" s="164"/>
      <c r="AU289" s="163"/>
    </row>
    <row r="290" spans="1:47" ht="15.95" customHeight="1" x14ac:dyDescent="0.2">
      <c r="A290" s="629"/>
      <c r="B290" s="629"/>
      <c r="C290" s="629"/>
      <c r="D290" s="630"/>
      <c r="E290" s="630"/>
      <c r="F290" s="631"/>
      <c r="G290" s="628" t="s">
        <v>169</v>
      </c>
      <c r="H290" s="113"/>
      <c r="I290" s="129"/>
      <c r="J290" s="129"/>
      <c r="K290" s="129"/>
      <c r="L290" s="130"/>
      <c r="M290" s="162"/>
      <c r="N290" s="162"/>
      <c r="O290" s="163"/>
      <c r="Q290" s="161"/>
      <c r="R290" s="161"/>
      <c r="S290" s="161"/>
      <c r="T290" s="162"/>
      <c r="U290" s="162"/>
      <c r="V290" s="164"/>
      <c r="W290" s="163"/>
      <c r="X290" s="155"/>
      <c r="Y290" s="161"/>
      <c r="Z290" s="161"/>
      <c r="AA290" s="161"/>
      <c r="AB290" s="162"/>
      <c r="AC290" s="162"/>
      <c r="AD290" s="164"/>
      <c r="AE290" s="163"/>
      <c r="AF290" s="155"/>
      <c r="AG290" s="161"/>
      <c r="AH290" s="161"/>
      <c r="AI290" s="161"/>
      <c r="AJ290" s="162"/>
      <c r="AK290" s="162"/>
      <c r="AL290" s="164"/>
      <c r="AM290" s="163"/>
      <c r="AN290" s="155"/>
      <c r="AO290" s="161"/>
      <c r="AP290" s="161"/>
      <c r="AQ290" s="161"/>
      <c r="AR290" s="162"/>
      <c r="AS290" s="162"/>
      <c r="AT290" s="164"/>
      <c r="AU290" s="163"/>
    </row>
    <row r="291" spans="1:47" ht="15.95" customHeight="1" x14ac:dyDescent="0.2">
      <c r="A291" s="629"/>
      <c r="B291" s="629"/>
      <c r="C291" s="629"/>
      <c r="D291" s="630"/>
      <c r="E291" s="630"/>
      <c r="F291" s="631"/>
      <c r="G291" s="628" t="s">
        <v>169</v>
      </c>
      <c r="H291" s="113"/>
      <c r="I291" s="129"/>
      <c r="J291" s="129"/>
      <c r="K291" s="129"/>
      <c r="L291" s="130"/>
      <c r="M291" s="162"/>
      <c r="N291" s="162"/>
      <c r="O291" s="163"/>
      <c r="Q291" s="161"/>
      <c r="R291" s="161"/>
      <c r="S291" s="161"/>
      <c r="T291" s="162"/>
      <c r="U291" s="162"/>
      <c r="V291" s="164"/>
      <c r="W291" s="163"/>
      <c r="X291" s="155"/>
      <c r="Y291" s="161"/>
      <c r="Z291" s="161"/>
      <c r="AA291" s="161"/>
      <c r="AB291" s="162"/>
      <c r="AC291" s="162"/>
      <c r="AD291" s="164"/>
      <c r="AE291" s="163"/>
      <c r="AF291" s="155"/>
      <c r="AG291" s="161"/>
      <c r="AH291" s="161"/>
      <c r="AI291" s="161"/>
      <c r="AJ291" s="162"/>
      <c r="AK291" s="162"/>
      <c r="AL291" s="164"/>
      <c r="AM291" s="163"/>
      <c r="AN291" s="155"/>
      <c r="AO291" s="161"/>
      <c r="AP291" s="161"/>
      <c r="AQ291" s="161"/>
      <c r="AR291" s="162"/>
      <c r="AS291" s="162"/>
      <c r="AT291" s="164"/>
      <c r="AU291" s="163"/>
    </row>
    <row r="292" spans="1:47" ht="15.95" customHeight="1" x14ac:dyDescent="0.2">
      <c r="A292" s="629"/>
      <c r="B292" s="629"/>
      <c r="C292" s="629"/>
      <c r="D292" s="630"/>
      <c r="E292" s="630"/>
      <c r="F292" s="631"/>
      <c r="G292" s="628" t="s">
        <v>169</v>
      </c>
      <c r="H292" s="113"/>
      <c r="I292" s="129"/>
      <c r="J292" s="129"/>
      <c r="K292" s="129"/>
      <c r="L292" s="130"/>
      <c r="M292" s="162"/>
      <c r="N292" s="162"/>
      <c r="O292" s="163"/>
      <c r="Q292" s="161"/>
      <c r="R292" s="161"/>
      <c r="S292" s="161"/>
      <c r="T292" s="162"/>
      <c r="U292" s="162"/>
      <c r="V292" s="164"/>
      <c r="W292" s="163"/>
      <c r="X292" s="155"/>
      <c r="Y292" s="161"/>
      <c r="Z292" s="161"/>
      <c r="AA292" s="161"/>
      <c r="AB292" s="162"/>
      <c r="AC292" s="162"/>
      <c r="AD292" s="164"/>
      <c r="AE292" s="163"/>
      <c r="AF292" s="155"/>
      <c r="AG292" s="161"/>
      <c r="AH292" s="161"/>
      <c r="AI292" s="161"/>
      <c r="AJ292" s="162"/>
      <c r="AK292" s="162"/>
      <c r="AL292" s="164"/>
      <c r="AM292" s="163"/>
      <c r="AN292" s="155"/>
      <c r="AO292" s="161"/>
      <c r="AP292" s="161"/>
      <c r="AQ292" s="161"/>
      <c r="AR292" s="162"/>
      <c r="AS292" s="162"/>
      <c r="AT292" s="164"/>
      <c r="AU292" s="163"/>
    </row>
    <row r="293" spans="1:47" ht="15.95" customHeight="1" x14ac:dyDescent="0.2">
      <c r="A293" s="629"/>
      <c r="B293" s="629"/>
      <c r="C293" s="629"/>
      <c r="D293" s="630"/>
      <c r="E293" s="630"/>
      <c r="F293" s="631"/>
      <c r="G293" s="628" t="s">
        <v>169</v>
      </c>
      <c r="H293" s="113"/>
      <c r="I293" s="129"/>
      <c r="J293" s="129"/>
      <c r="K293" s="129"/>
      <c r="L293" s="130"/>
      <c r="M293" s="162"/>
      <c r="N293" s="162"/>
      <c r="O293" s="163"/>
      <c r="Q293" s="161"/>
      <c r="R293" s="161"/>
      <c r="S293" s="161"/>
      <c r="T293" s="162"/>
      <c r="U293" s="162"/>
      <c r="V293" s="164"/>
      <c r="W293" s="163"/>
      <c r="X293" s="155"/>
      <c r="Y293" s="161"/>
      <c r="Z293" s="161"/>
      <c r="AA293" s="161"/>
      <c r="AB293" s="162"/>
      <c r="AC293" s="162"/>
      <c r="AD293" s="164"/>
      <c r="AE293" s="163"/>
      <c r="AF293" s="155"/>
      <c r="AG293" s="161"/>
      <c r="AH293" s="161"/>
      <c r="AI293" s="161"/>
      <c r="AJ293" s="162"/>
      <c r="AK293" s="162"/>
      <c r="AL293" s="164"/>
      <c r="AM293" s="163"/>
      <c r="AN293" s="155"/>
      <c r="AO293" s="161"/>
      <c r="AP293" s="161"/>
      <c r="AQ293" s="161"/>
      <c r="AR293" s="162"/>
      <c r="AS293" s="162"/>
      <c r="AT293" s="164"/>
      <c r="AU293" s="163"/>
    </row>
    <row r="294" spans="1:47" ht="15.95" customHeight="1" x14ac:dyDescent="0.2">
      <c r="A294" s="629"/>
      <c r="B294" s="629"/>
      <c r="C294" s="629"/>
      <c r="D294" s="630"/>
      <c r="E294" s="630"/>
      <c r="F294" s="631"/>
      <c r="G294" s="628" t="s">
        <v>169</v>
      </c>
      <c r="H294" s="113"/>
      <c r="I294" s="129"/>
      <c r="J294" s="129"/>
      <c r="K294" s="129"/>
      <c r="L294" s="130"/>
      <c r="M294" s="162"/>
      <c r="N294" s="162"/>
      <c r="O294" s="163"/>
      <c r="Q294" s="161"/>
      <c r="R294" s="161"/>
      <c r="S294" s="161"/>
      <c r="T294" s="162"/>
      <c r="U294" s="162"/>
      <c r="V294" s="164"/>
      <c r="W294" s="163"/>
      <c r="X294" s="155"/>
      <c r="Y294" s="161"/>
      <c r="Z294" s="161"/>
      <c r="AA294" s="161"/>
      <c r="AB294" s="162"/>
      <c r="AC294" s="162"/>
      <c r="AD294" s="164"/>
      <c r="AE294" s="163"/>
      <c r="AF294" s="155"/>
      <c r="AG294" s="161"/>
      <c r="AH294" s="161"/>
      <c r="AI294" s="161"/>
      <c r="AJ294" s="162"/>
      <c r="AK294" s="162"/>
      <c r="AL294" s="164"/>
      <c r="AM294" s="163"/>
      <c r="AN294" s="155"/>
      <c r="AO294" s="161"/>
      <c r="AP294" s="161"/>
      <c r="AQ294" s="161"/>
      <c r="AR294" s="162"/>
      <c r="AS294" s="162"/>
      <c r="AT294" s="164"/>
      <c r="AU294" s="163"/>
    </row>
    <row r="295" spans="1:47" ht="15.95" customHeight="1" x14ac:dyDescent="0.2">
      <c r="A295" s="629"/>
      <c r="B295" s="629"/>
      <c r="C295" s="629"/>
      <c r="D295" s="630"/>
      <c r="E295" s="630"/>
      <c r="F295" s="631"/>
      <c r="G295" s="628" t="s">
        <v>169</v>
      </c>
      <c r="H295" s="113"/>
      <c r="I295" s="129"/>
      <c r="J295" s="129"/>
      <c r="K295" s="129"/>
      <c r="L295" s="130"/>
      <c r="M295" s="162"/>
      <c r="N295" s="162"/>
      <c r="O295" s="163"/>
      <c r="Q295" s="161"/>
      <c r="R295" s="161"/>
      <c r="S295" s="161"/>
      <c r="T295" s="162"/>
      <c r="U295" s="162"/>
      <c r="V295" s="164"/>
      <c r="W295" s="163"/>
      <c r="X295" s="155"/>
      <c r="Y295" s="161"/>
      <c r="Z295" s="161"/>
      <c r="AA295" s="161"/>
      <c r="AB295" s="162"/>
      <c r="AC295" s="162"/>
      <c r="AD295" s="164"/>
      <c r="AE295" s="163"/>
      <c r="AF295" s="155"/>
      <c r="AG295" s="161"/>
      <c r="AH295" s="161"/>
      <c r="AI295" s="161"/>
      <c r="AJ295" s="162"/>
      <c r="AK295" s="162"/>
      <c r="AL295" s="164"/>
      <c r="AM295" s="163"/>
      <c r="AN295" s="155"/>
      <c r="AO295" s="161"/>
      <c r="AP295" s="161"/>
      <c r="AQ295" s="161"/>
      <c r="AR295" s="162"/>
      <c r="AS295" s="162"/>
      <c r="AT295" s="164"/>
      <c r="AU295" s="163"/>
    </row>
    <row r="296" spans="1:47" ht="15.95" customHeight="1" x14ac:dyDescent="0.2">
      <c r="A296" s="629"/>
      <c r="B296" s="629"/>
      <c r="C296" s="629"/>
      <c r="D296" s="630"/>
      <c r="E296" s="630"/>
      <c r="F296" s="631"/>
      <c r="G296" s="628" t="s">
        <v>169</v>
      </c>
      <c r="H296" s="113"/>
      <c r="I296" s="129"/>
      <c r="J296" s="129"/>
      <c r="K296" s="129"/>
      <c r="L296" s="130"/>
      <c r="M296" s="162"/>
      <c r="N296" s="162"/>
      <c r="O296" s="163"/>
      <c r="Q296" s="161"/>
      <c r="R296" s="161"/>
      <c r="S296" s="161"/>
      <c r="T296" s="162"/>
      <c r="U296" s="162"/>
      <c r="V296" s="164"/>
      <c r="W296" s="163"/>
      <c r="X296" s="155"/>
      <c r="Y296" s="161"/>
      <c r="Z296" s="161"/>
      <c r="AA296" s="161"/>
      <c r="AB296" s="162"/>
      <c r="AC296" s="162"/>
      <c r="AD296" s="164"/>
      <c r="AE296" s="163"/>
      <c r="AF296" s="155"/>
      <c r="AG296" s="161"/>
      <c r="AH296" s="161"/>
      <c r="AI296" s="161"/>
      <c r="AJ296" s="162"/>
      <c r="AK296" s="162"/>
      <c r="AL296" s="164"/>
      <c r="AM296" s="163"/>
      <c r="AN296" s="155"/>
      <c r="AO296" s="161"/>
      <c r="AP296" s="161"/>
      <c r="AQ296" s="161"/>
      <c r="AR296" s="162"/>
      <c r="AS296" s="162"/>
      <c r="AT296" s="164"/>
      <c r="AU296" s="163"/>
    </row>
    <row r="297" spans="1:47" ht="15.95" customHeight="1" x14ac:dyDescent="0.2">
      <c r="A297" s="629"/>
      <c r="B297" s="629"/>
      <c r="C297" s="629"/>
      <c r="D297" s="630"/>
      <c r="E297" s="630"/>
      <c r="F297" s="631"/>
      <c r="G297" s="628" t="s">
        <v>169</v>
      </c>
      <c r="H297" s="113"/>
      <c r="I297" s="129"/>
      <c r="J297" s="129"/>
      <c r="K297" s="129"/>
      <c r="L297" s="130"/>
      <c r="M297" s="162"/>
      <c r="N297" s="162"/>
      <c r="O297" s="163"/>
      <c r="Q297" s="161"/>
      <c r="R297" s="161"/>
      <c r="S297" s="161"/>
      <c r="T297" s="162"/>
      <c r="U297" s="162"/>
      <c r="V297" s="164"/>
      <c r="W297" s="163"/>
      <c r="X297" s="155"/>
      <c r="Y297" s="161"/>
      <c r="Z297" s="161"/>
      <c r="AA297" s="161"/>
      <c r="AB297" s="162"/>
      <c r="AC297" s="162"/>
      <c r="AD297" s="164"/>
      <c r="AE297" s="163"/>
      <c r="AF297" s="155"/>
      <c r="AG297" s="161"/>
      <c r="AH297" s="161"/>
      <c r="AI297" s="161"/>
      <c r="AJ297" s="162"/>
      <c r="AK297" s="162"/>
      <c r="AL297" s="164"/>
      <c r="AM297" s="163"/>
      <c r="AN297" s="155"/>
      <c r="AO297" s="161"/>
      <c r="AP297" s="161"/>
      <c r="AQ297" s="161"/>
      <c r="AR297" s="162"/>
      <c r="AS297" s="162"/>
      <c r="AT297" s="164"/>
      <c r="AU297" s="163"/>
    </row>
    <row r="298" spans="1:47" ht="15.95" customHeight="1" x14ac:dyDescent="0.2">
      <c r="A298" s="629"/>
      <c r="B298" s="629"/>
      <c r="C298" s="629"/>
      <c r="D298" s="630"/>
      <c r="E298" s="630"/>
      <c r="F298" s="631"/>
      <c r="G298" s="628" t="s">
        <v>169</v>
      </c>
      <c r="H298" s="113"/>
      <c r="I298" s="129"/>
      <c r="J298" s="129"/>
      <c r="K298" s="129"/>
      <c r="L298" s="130"/>
      <c r="M298" s="162"/>
      <c r="N298" s="162"/>
      <c r="O298" s="163"/>
      <c r="Q298" s="161"/>
      <c r="R298" s="161"/>
      <c r="S298" s="161"/>
      <c r="T298" s="162"/>
      <c r="U298" s="162"/>
      <c r="V298" s="164"/>
      <c r="W298" s="163"/>
      <c r="X298" s="155"/>
      <c r="Y298" s="161"/>
      <c r="Z298" s="161"/>
      <c r="AA298" s="161"/>
      <c r="AB298" s="162"/>
      <c r="AC298" s="162"/>
      <c r="AD298" s="164"/>
      <c r="AE298" s="163"/>
      <c r="AF298" s="155"/>
      <c r="AG298" s="161"/>
      <c r="AH298" s="161"/>
      <c r="AI298" s="161"/>
      <c r="AJ298" s="162"/>
      <c r="AK298" s="162"/>
      <c r="AL298" s="164"/>
      <c r="AM298" s="163"/>
      <c r="AN298" s="155"/>
      <c r="AO298" s="161"/>
      <c r="AP298" s="161"/>
      <c r="AQ298" s="161"/>
      <c r="AR298" s="162"/>
      <c r="AS298" s="162"/>
      <c r="AT298" s="164"/>
      <c r="AU298" s="163"/>
    </row>
    <row r="299" spans="1:47" ht="15.95" customHeight="1" x14ac:dyDescent="0.2">
      <c r="A299" s="629"/>
      <c r="B299" s="629"/>
      <c r="C299" s="629"/>
      <c r="D299" s="630"/>
      <c r="E299" s="630"/>
      <c r="F299" s="631"/>
      <c r="G299" s="628" t="s">
        <v>169</v>
      </c>
      <c r="H299" s="113"/>
      <c r="I299" s="129"/>
      <c r="J299" s="129"/>
      <c r="K299" s="129"/>
      <c r="L299" s="130"/>
      <c r="M299" s="162"/>
      <c r="N299" s="162"/>
      <c r="O299" s="163"/>
      <c r="Q299" s="161"/>
      <c r="R299" s="161"/>
      <c r="S299" s="161"/>
      <c r="T299" s="162"/>
      <c r="U299" s="162"/>
      <c r="V299" s="164"/>
      <c r="W299" s="163"/>
      <c r="X299" s="155"/>
      <c r="Y299" s="161"/>
      <c r="Z299" s="161"/>
      <c r="AA299" s="161"/>
      <c r="AB299" s="162"/>
      <c r="AC299" s="162"/>
      <c r="AD299" s="164"/>
      <c r="AE299" s="163"/>
      <c r="AF299" s="155"/>
      <c r="AG299" s="161"/>
      <c r="AH299" s="161"/>
      <c r="AI299" s="161"/>
      <c r="AJ299" s="162"/>
      <c r="AK299" s="162"/>
      <c r="AL299" s="164"/>
      <c r="AM299" s="163"/>
      <c r="AN299" s="155"/>
      <c r="AO299" s="161"/>
      <c r="AP299" s="161"/>
      <c r="AQ299" s="161"/>
      <c r="AR299" s="162"/>
      <c r="AS299" s="162"/>
      <c r="AT299" s="164"/>
      <c r="AU299" s="163"/>
    </row>
    <row r="300" spans="1:47" ht="15.95" customHeight="1" x14ac:dyDescent="0.2">
      <c r="A300" s="629"/>
      <c r="B300" s="629"/>
      <c r="C300" s="629"/>
      <c r="D300" s="630"/>
      <c r="E300" s="630"/>
      <c r="F300" s="631"/>
      <c r="G300" s="628" t="s">
        <v>169</v>
      </c>
      <c r="H300" s="113"/>
      <c r="I300" s="129"/>
      <c r="J300" s="129"/>
      <c r="K300" s="129"/>
      <c r="L300" s="130"/>
      <c r="M300" s="162"/>
      <c r="N300" s="162"/>
      <c r="O300" s="163"/>
      <c r="Q300" s="161"/>
      <c r="R300" s="161"/>
      <c r="S300" s="161"/>
      <c r="T300" s="162"/>
      <c r="U300" s="162"/>
      <c r="V300" s="164"/>
      <c r="W300" s="163"/>
      <c r="X300" s="155"/>
      <c r="Y300" s="161"/>
      <c r="Z300" s="161"/>
      <c r="AA300" s="161"/>
      <c r="AB300" s="162"/>
      <c r="AC300" s="162"/>
      <c r="AD300" s="164"/>
      <c r="AE300" s="163"/>
      <c r="AF300" s="155"/>
      <c r="AG300" s="161"/>
      <c r="AH300" s="161"/>
      <c r="AI300" s="161"/>
      <c r="AJ300" s="162"/>
      <c r="AK300" s="162"/>
      <c r="AL300" s="164"/>
      <c r="AM300" s="163"/>
      <c r="AN300" s="155"/>
      <c r="AO300" s="161"/>
      <c r="AP300" s="161"/>
      <c r="AQ300" s="161"/>
      <c r="AR300" s="162"/>
      <c r="AS300" s="162"/>
      <c r="AT300" s="164"/>
      <c r="AU300" s="163"/>
    </row>
    <row r="301" spans="1:47" ht="15.95" customHeight="1" x14ac:dyDescent="0.2">
      <c r="A301" s="629"/>
      <c r="B301" s="629"/>
      <c r="C301" s="629"/>
      <c r="D301" s="630"/>
      <c r="E301" s="630"/>
      <c r="F301" s="631"/>
      <c r="G301" s="628" t="s">
        <v>169</v>
      </c>
      <c r="H301" s="113"/>
      <c r="I301" s="129"/>
      <c r="J301" s="129"/>
      <c r="K301" s="129"/>
      <c r="L301" s="130"/>
      <c r="M301" s="162"/>
      <c r="N301" s="162"/>
      <c r="O301" s="163"/>
      <c r="Q301" s="161"/>
      <c r="R301" s="161"/>
      <c r="S301" s="161"/>
      <c r="T301" s="162"/>
      <c r="U301" s="162"/>
      <c r="V301" s="164"/>
      <c r="W301" s="163"/>
      <c r="X301" s="155"/>
      <c r="Y301" s="161"/>
      <c r="Z301" s="161"/>
      <c r="AA301" s="161"/>
      <c r="AB301" s="162"/>
      <c r="AC301" s="162"/>
      <c r="AD301" s="164"/>
      <c r="AE301" s="163"/>
      <c r="AF301" s="155"/>
      <c r="AG301" s="161"/>
      <c r="AH301" s="161"/>
      <c r="AI301" s="161"/>
      <c r="AJ301" s="162"/>
      <c r="AK301" s="162"/>
      <c r="AL301" s="164"/>
      <c r="AM301" s="163"/>
      <c r="AN301" s="155"/>
      <c r="AO301" s="161"/>
      <c r="AP301" s="161"/>
      <c r="AQ301" s="161"/>
      <c r="AR301" s="162"/>
      <c r="AS301" s="162"/>
      <c r="AT301" s="164"/>
      <c r="AU301" s="163"/>
    </row>
    <row r="302" spans="1:47" ht="15.95" customHeight="1" x14ac:dyDescent="0.2">
      <c r="A302" s="629"/>
      <c r="B302" s="629"/>
      <c r="C302" s="629"/>
      <c r="D302" s="630"/>
      <c r="E302" s="630"/>
      <c r="F302" s="631"/>
      <c r="G302" s="628" t="s">
        <v>169</v>
      </c>
      <c r="H302" s="113"/>
      <c r="I302" s="129"/>
      <c r="J302" s="129"/>
      <c r="K302" s="129"/>
      <c r="L302" s="130"/>
      <c r="M302" s="162"/>
      <c r="N302" s="162"/>
      <c r="O302" s="163"/>
      <c r="Q302" s="161"/>
      <c r="R302" s="161"/>
      <c r="S302" s="161"/>
      <c r="T302" s="162"/>
      <c r="U302" s="162"/>
      <c r="V302" s="164"/>
      <c r="W302" s="163"/>
      <c r="X302" s="155"/>
      <c r="Y302" s="161"/>
      <c r="Z302" s="161"/>
      <c r="AA302" s="161"/>
      <c r="AB302" s="162"/>
      <c r="AC302" s="162"/>
      <c r="AD302" s="164"/>
      <c r="AE302" s="163"/>
      <c r="AF302" s="155"/>
      <c r="AG302" s="161"/>
      <c r="AH302" s="161"/>
      <c r="AI302" s="161"/>
      <c r="AJ302" s="162"/>
      <c r="AK302" s="162"/>
      <c r="AL302" s="164"/>
      <c r="AM302" s="163"/>
      <c r="AN302" s="155"/>
      <c r="AO302" s="161"/>
      <c r="AP302" s="161"/>
      <c r="AQ302" s="161"/>
      <c r="AR302" s="162"/>
      <c r="AS302" s="162"/>
      <c r="AT302" s="164"/>
      <c r="AU302" s="163"/>
    </row>
    <row r="303" spans="1:47" ht="15.95" customHeight="1" x14ac:dyDescent="0.2">
      <c r="A303" s="629"/>
      <c r="B303" s="629"/>
      <c r="C303" s="629"/>
      <c r="D303" s="630"/>
      <c r="E303" s="630"/>
      <c r="F303" s="631"/>
      <c r="G303" s="628" t="s">
        <v>169</v>
      </c>
      <c r="H303" s="113"/>
      <c r="I303" s="129"/>
      <c r="J303" s="129"/>
      <c r="K303" s="129"/>
      <c r="L303" s="130"/>
      <c r="M303" s="162"/>
      <c r="N303" s="162"/>
      <c r="O303" s="163"/>
      <c r="Q303" s="161"/>
      <c r="R303" s="161"/>
      <c r="S303" s="161"/>
      <c r="T303" s="162"/>
      <c r="U303" s="162"/>
      <c r="V303" s="164"/>
      <c r="W303" s="163"/>
      <c r="X303" s="155"/>
      <c r="Y303" s="161"/>
      <c r="Z303" s="161"/>
      <c r="AA303" s="161"/>
      <c r="AB303" s="162"/>
      <c r="AC303" s="162"/>
      <c r="AD303" s="164"/>
      <c r="AE303" s="163"/>
      <c r="AF303" s="155"/>
      <c r="AG303" s="161"/>
      <c r="AH303" s="161"/>
      <c r="AI303" s="161"/>
      <c r="AJ303" s="162"/>
      <c r="AK303" s="162"/>
      <c r="AL303" s="164"/>
      <c r="AM303" s="163"/>
      <c r="AN303" s="155"/>
      <c r="AO303" s="161"/>
      <c r="AP303" s="161"/>
      <c r="AQ303" s="161"/>
      <c r="AR303" s="162"/>
      <c r="AS303" s="162"/>
      <c r="AT303" s="164"/>
      <c r="AU303" s="163"/>
    </row>
    <row r="304" spans="1:47" ht="15.95" customHeight="1" x14ac:dyDescent="0.2">
      <c r="A304" s="629"/>
      <c r="B304" s="629"/>
      <c r="C304" s="629"/>
      <c r="D304" s="630"/>
      <c r="E304" s="630"/>
      <c r="F304" s="631"/>
      <c r="G304" s="628" t="s">
        <v>169</v>
      </c>
      <c r="H304" s="113"/>
      <c r="I304" s="129"/>
      <c r="J304" s="129"/>
      <c r="K304" s="129"/>
      <c r="L304" s="130"/>
      <c r="M304" s="162"/>
      <c r="N304" s="162"/>
      <c r="O304" s="163"/>
      <c r="Q304" s="161"/>
      <c r="R304" s="161"/>
      <c r="S304" s="161"/>
      <c r="T304" s="162"/>
      <c r="U304" s="162"/>
      <c r="V304" s="164"/>
      <c r="W304" s="163"/>
      <c r="X304" s="155"/>
      <c r="Y304" s="161"/>
      <c r="Z304" s="161"/>
      <c r="AA304" s="161"/>
      <c r="AB304" s="162"/>
      <c r="AC304" s="162"/>
      <c r="AD304" s="164"/>
      <c r="AE304" s="163"/>
      <c r="AF304" s="155"/>
      <c r="AG304" s="161"/>
      <c r="AH304" s="161"/>
      <c r="AI304" s="161"/>
      <c r="AJ304" s="162"/>
      <c r="AK304" s="162"/>
      <c r="AL304" s="164"/>
      <c r="AM304" s="163"/>
      <c r="AN304" s="155"/>
      <c r="AO304" s="161"/>
      <c r="AP304" s="161"/>
      <c r="AQ304" s="161"/>
      <c r="AR304" s="162"/>
      <c r="AS304" s="162"/>
      <c r="AT304" s="164"/>
      <c r="AU304" s="163"/>
    </row>
    <row r="305" spans="1:47" ht="15.95" customHeight="1" x14ac:dyDescent="0.2">
      <c r="A305" s="629"/>
      <c r="B305" s="629"/>
      <c r="C305" s="629"/>
      <c r="D305" s="630"/>
      <c r="E305" s="630"/>
      <c r="F305" s="631"/>
      <c r="G305" s="628" t="s">
        <v>169</v>
      </c>
      <c r="H305" s="113"/>
      <c r="I305" s="129"/>
      <c r="J305" s="129"/>
      <c r="K305" s="129"/>
      <c r="L305" s="130"/>
      <c r="M305" s="162"/>
      <c r="N305" s="162"/>
      <c r="O305" s="163"/>
      <c r="Q305" s="161"/>
      <c r="R305" s="161"/>
      <c r="S305" s="161"/>
      <c r="T305" s="162"/>
      <c r="U305" s="162"/>
      <c r="V305" s="164"/>
      <c r="W305" s="163"/>
      <c r="X305" s="155"/>
      <c r="Y305" s="161"/>
      <c r="Z305" s="161"/>
      <c r="AA305" s="161"/>
      <c r="AB305" s="162"/>
      <c r="AC305" s="162"/>
      <c r="AD305" s="164"/>
      <c r="AE305" s="163"/>
      <c r="AF305" s="155"/>
      <c r="AG305" s="161"/>
      <c r="AH305" s="161"/>
      <c r="AI305" s="161"/>
      <c r="AJ305" s="162"/>
      <c r="AK305" s="162"/>
      <c r="AL305" s="164"/>
      <c r="AM305" s="163"/>
      <c r="AN305" s="155"/>
      <c r="AO305" s="161"/>
      <c r="AP305" s="161"/>
      <c r="AQ305" s="161"/>
      <c r="AR305" s="162"/>
      <c r="AS305" s="162"/>
      <c r="AT305" s="164"/>
      <c r="AU305" s="163"/>
    </row>
    <row r="306" spans="1:47" ht="15.95" customHeight="1" x14ac:dyDescent="0.2">
      <c r="A306" s="629"/>
      <c r="B306" s="629"/>
      <c r="C306" s="629"/>
      <c r="D306" s="630"/>
      <c r="E306" s="630"/>
      <c r="F306" s="631"/>
      <c r="G306" s="628" t="s">
        <v>169</v>
      </c>
      <c r="H306" s="113"/>
      <c r="I306" s="129"/>
      <c r="J306" s="129"/>
      <c r="K306" s="129"/>
      <c r="L306" s="130"/>
      <c r="M306" s="162"/>
      <c r="N306" s="162"/>
      <c r="O306" s="163"/>
      <c r="Q306" s="161"/>
      <c r="R306" s="161"/>
      <c r="S306" s="161"/>
      <c r="T306" s="162"/>
      <c r="U306" s="162"/>
      <c r="V306" s="164"/>
      <c r="W306" s="163"/>
      <c r="X306" s="155"/>
      <c r="Y306" s="161"/>
      <c r="Z306" s="161"/>
      <c r="AA306" s="161"/>
      <c r="AB306" s="162"/>
      <c r="AC306" s="162"/>
      <c r="AD306" s="164"/>
      <c r="AE306" s="163"/>
      <c r="AF306" s="155"/>
      <c r="AG306" s="161"/>
      <c r="AH306" s="161"/>
      <c r="AI306" s="161"/>
      <c r="AJ306" s="162"/>
      <c r="AK306" s="162"/>
      <c r="AL306" s="164"/>
      <c r="AM306" s="163"/>
      <c r="AN306" s="155"/>
      <c r="AO306" s="161"/>
      <c r="AP306" s="161"/>
      <c r="AQ306" s="161"/>
      <c r="AR306" s="162"/>
      <c r="AS306" s="162"/>
      <c r="AT306" s="164"/>
      <c r="AU306" s="163"/>
    </row>
    <row r="307" spans="1:47" ht="15.95" customHeight="1" x14ac:dyDescent="0.2">
      <c r="A307" s="629"/>
      <c r="B307" s="629"/>
      <c r="C307" s="629"/>
      <c r="D307" s="630"/>
      <c r="E307" s="630"/>
      <c r="F307" s="631"/>
      <c r="G307" s="628" t="s">
        <v>169</v>
      </c>
      <c r="H307" s="113"/>
      <c r="I307" s="129"/>
      <c r="J307" s="129"/>
      <c r="K307" s="129"/>
      <c r="L307" s="130"/>
      <c r="M307" s="162"/>
      <c r="N307" s="162"/>
      <c r="O307" s="163"/>
      <c r="Q307" s="161"/>
      <c r="R307" s="161"/>
      <c r="S307" s="161"/>
      <c r="T307" s="162"/>
      <c r="U307" s="162"/>
      <c r="V307" s="164"/>
      <c r="W307" s="163"/>
      <c r="X307" s="155"/>
      <c r="Y307" s="161"/>
      <c r="Z307" s="161"/>
      <c r="AA307" s="161"/>
      <c r="AB307" s="162"/>
      <c r="AC307" s="162"/>
      <c r="AD307" s="164"/>
      <c r="AE307" s="163"/>
      <c r="AF307" s="155"/>
      <c r="AG307" s="161"/>
      <c r="AH307" s="161"/>
      <c r="AI307" s="161"/>
      <c r="AJ307" s="162"/>
      <c r="AK307" s="162"/>
      <c r="AL307" s="164"/>
      <c r="AM307" s="163"/>
      <c r="AN307" s="155"/>
      <c r="AO307" s="161"/>
      <c r="AP307" s="161"/>
      <c r="AQ307" s="161"/>
      <c r="AR307" s="162"/>
      <c r="AS307" s="162"/>
      <c r="AT307" s="164"/>
      <c r="AU307" s="163"/>
    </row>
    <row r="308" spans="1:47" ht="15.95" customHeight="1" x14ac:dyDescent="0.2">
      <c r="A308" s="629"/>
      <c r="B308" s="629"/>
      <c r="C308" s="629"/>
      <c r="D308" s="630"/>
      <c r="E308" s="630"/>
      <c r="F308" s="631"/>
      <c r="G308" s="628" t="s">
        <v>169</v>
      </c>
      <c r="H308" s="113"/>
      <c r="I308" s="129"/>
      <c r="J308" s="129"/>
      <c r="K308" s="129"/>
      <c r="L308" s="130"/>
      <c r="M308" s="162"/>
      <c r="N308" s="162"/>
      <c r="O308" s="163"/>
      <c r="Q308" s="161"/>
      <c r="R308" s="161"/>
      <c r="S308" s="161"/>
      <c r="T308" s="162"/>
      <c r="U308" s="162"/>
      <c r="V308" s="164"/>
      <c r="W308" s="163"/>
      <c r="X308" s="155"/>
      <c r="Y308" s="161"/>
      <c r="Z308" s="161"/>
      <c r="AA308" s="161"/>
      <c r="AB308" s="162"/>
      <c r="AC308" s="162"/>
      <c r="AD308" s="164"/>
      <c r="AE308" s="163"/>
      <c r="AF308" s="155"/>
      <c r="AG308" s="161"/>
      <c r="AH308" s="161"/>
      <c r="AI308" s="161"/>
      <c r="AJ308" s="162"/>
      <c r="AK308" s="162"/>
      <c r="AL308" s="164"/>
      <c r="AM308" s="163"/>
      <c r="AN308" s="155"/>
      <c r="AO308" s="161"/>
      <c r="AP308" s="161"/>
      <c r="AQ308" s="161"/>
      <c r="AR308" s="162"/>
      <c r="AS308" s="162"/>
      <c r="AT308" s="164"/>
      <c r="AU308" s="163"/>
    </row>
    <row r="309" spans="1:47" ht="15.95" customHeight="1" x14ac:dyDescent="0.2">
      <c r="A309" s="629"/>
      <c r="B309" s="629"/>
      <c r="C309" s="629"/>
      <c r="D309" s="630"/>
      <c r="E309" s="630"/>
      <c r="F309" s="631"/>
      <c r="G309" s="628" t="s">
        <v>169</v>
      </c>
      <c r="H309" s="113"/>
      <c r="I309" s="129"/>
      <c r="J309" s="129"/>
      <c r="K309" s="129"/>
      <c r="L309" s="130"/>
      <c r="M309" s="162"/>
      <c r="N309" s="162"/>
      <c r="O309" s="163"/>
      <c r="Q309" s="161"/>
      <c r="R309" s="161"/>
      <c r="S309" s="161"/>
      <c r="T309" s="162"/>
      <c r="U309" s="162"/>
      <c r="V309" s="164"/>
      <c r="W309" s="163"/>
      <c r="X309" s="155"/>
      <c r="Y309" s="161"/>
      <c r="Z309" s="161"/>
      <c r="AA309" s="161"/>
      <c r="AB309" s="162"/>
      <c r="AC309" s="162"/>
      <c r="AD309" s="164"/>
      <c r="AE309" s="163"/>
      <c r="AF309" s="155"/>
      <c r="AG309" s="161"/>
      <c r="AH309" s="161"/>
      <c r="AI309" s="161"/>
      <c r="AJ309" s="162"/>
      <c r="AK309" s="162"/>
      <c r="AL309" s="164"/>
      <c r="AM309" s="163"/>
      <c r="AN309" s="155"/>
      <c r="AO309" s="161"/>
      <c r="AP309" s="161"/>
      <c r="AQ309" s="161"/>
      <c r="AR309" s="162"/>
      <c r="AS309" s="162"/>
      <c r="AT309" s="164"/>
      <c r="AU309" s="163"/>
    </row>
    <row r="310" spans="1:47" ht="15.95" customHeight="1" x14ac:dyDescent="0.2">
      <c r="A310" s="629"/>
      <c r="B310" s="629"/>
      <c r="C310" s="629"/>
      <c r="D310" s="630"/>
      <c r="E310" s="630"/>
      <c r="F310" s="631"/>
      <c r="G310" s="628" t="s">
        <v>169</v>
      </c>
      <c r="H310" s="113"/>
      <c r="I310" s="129"/>
      <c r="J310" s="129"/>
      <c r="K310" s="129"/>
      <c r="L310" s="130"/>
      <c r="M310" s="162"/>
      <c r="N310" s="162"/>
      <c r="O310" s="163"/>
      <c r="Q310" s="161"/>
      <c r="R310" s="161"/>
      <c r="S310" s="161"/>
      <c r="T310" s="162"/>
      <c r="U310" s="162"/>
      <c r="V310" s="164"/>
      <c r="W310" s="163"/>
      <c r="X310" s="155"/>
      <c r="Y310" s="161"/>
      <c r="Z310" s="161"/>
      <c r="AA310" s="161"/>
      <c r="AB310" s="162"/>
      <c r="AC310" s="162"/>
      <c r="AD310" s="164"/>
      <c r="AE310" s="163"/>
      <c r="AF310" s="155"/>
      <c r="AG310" s="161"/>
      <c r="AH310" s="161"/>
      <c r="AI310" s="161"/>
      <c r="AJ310" s="162"/>
      <c r="AK310" s="162"/>
      <c r="AL310" s="164"/>
      <c r="AM310" s="163"/>
      <c r="AN310" s="155"/>
      <c r="AO310" s="161"/>
      <c r="AP310" s="161"/>
      <c r="AQ310" s="161"/>
      <c r="AR310" s="162"/>
      <c r="AS310" s="162"/>
      <c r="AT310" s="164"/>
      <c r="AU310" s="163"/>
    </row>
    <row r="311" spans="1:47" ht="15.95" customHeight="1" x14ac:dyDescent="0.2">
      <c r="A311" s="629"/>
      <c r="B311" s="629"/>
      <c r="C311" s="629"/>
      <c r="D311" s="630"/>
      <c r="E311" s="630"/>
      <c r="F311" s="631"/>
      <c r="G311" s="628" t="s">
        <v>169</v>
      </c>
      <c r="H311" s="113"/>
      <c r="I311" s="129"/>
      <c r="J311" s="129"/>
      <c r="K311" s="129"/>
      <c r="L311" s="130"/>
      <c r="M311" s="162"/>
      <c r="N311" s="162"/>
      <c r="O311" s="163"/>
      <c r="Q311" s="161"/>
      <c r="R311" s="161"/>
      <c r="S311" s="161"/>
      <c r="T311" s="162"/>
      <c r="U311" s="162"/>
      <c r="V311" s="164"/>
      <c r="W311" s="163"/>
      <c r="X311" s="155"/>
      <c r="Y311" s="161"/>
      <c r="Z311" s="161"/>
      <c r="AA311" s="161"/>
      <c r="AB311" s="162"/>
      <c r="AC311" s="162"/>
      <c r="AD311" s="164"/>
      <c r="AE311" s="163"/>
      <c r="AF311" s="155"/>
      <c r="AG311" s="161"/>
      <c r="AH311" s="161"/>
      <c r="AI311" s="161"/>
      <c r="AJ311" s="162"/>
      <c r="AK311" s="162"/>
      <c r="AL311" s="164"/>
      <c r="AM311" s="163"/>
      <c r="AN311" s="155"/>
      <c r="AO311" s="161"/>
      <c r="AP311" s="161"/>
      <c r="AQ311" s="161"/>
      <c r="AR311" s="162"/>
      <c r="AS311" s="162"/>
      <c r="AT311" s="164"/>
      <c r="AU311" s="163"/>
    </row>
    <row r="312" spans="1:47" ht="15.95" customHeight="1" x14ac:dyDescent="0.2">
      <c r="A312" s="629"/>
      <c r="B312" s="629"/>
      <c r="C312" s="629"/>
      <c r="D312" s="630"/>
      <c r="E312" s="630"/>
      <c r="F312" s="631"/>
      <c r="G312" s="628" t="s">
        <v>169</v>
      </c>
      <c r="H312" s="113"/>
      <c r="I312" s="129"/>
      <c r="J312" s="129"/>
      <c r="K312" s="129"/>
      <c r="L312" s="130"/>
      <c r="M312" s="162"/>
      <c r="N312" s="162"/>
      <c r="O312" s="163"/>
      <c r="Q312" s="161"/>
      <c r="R312" s="161"/>
      <c r="S312" s="161"/>
      <c r="T312" s="162"/>
      <c r="U312" s="162"/>
      <c r="V312" s="164"/>
      <c r="W312" s="163"/>
      <c r="X312" s="155"/>
      <c r="Y312" s="161"/>
      <c r="Z312" s="161"/>
      <c r="AA312" s="161"/>
      <c r="AB312" s="162"/>
      <c r="AC312" s="162"/>
      <c r="AD312" s="164"/>
      <c r="AE312" s="163"/>
      <c r="AF312" s="155"/>
      <c r="AG312" s="161"/>
      <c r="AH312" s="161"/>
      <c r="AI312" s="161"/>
      <c r="AJ312" s="162"/>
      <c r="AK312" s="162"/>
      <c r="AL312" s="164"/>
      <c r="AM312" s="163"/>
      <c r="AN312" s="155"/>
      <c r="AO312" s="161"/>
      <c r="AP312" s="161"/>
      <c r="AQ312" s="161"/>
      <c r="AR312" s="162"/>
      <c r="AS312" s="162"/>
      <c r="AT312" s="164"/>
      <c r="AU312" s="163"/>
    </row>
    <row r="313" spans="1:47" ht="15.95" customHeight="1" x14ac:dyDescent="0.2">
      <c r="A313" s="629"/>
      <c r="B313" s="629"/>
      <c r="C313" s="629"/>
      <c r="D313" s="630"/>
      <c r="E313" s="630"/>
      <c r="F313" s="631"/>
      <c r="G313" s="628" t="s">
        <v>169</v>
      </c>
      <c r="H313" s="113"/>
      <c r="I313" s="129"/>
      <c r="J313" s="129"/>
      <c r="K313" s="129"/>
      <c r="L313" s="130"/>
      <c r="M313" s="162"/>
      <c r="N313" s="162"/>
      <c r="O313" s="163"/>
      <c r="Q313" s="161"/>
      <c r="R313" s="161"/>
      <c r="S313" s="161"/>
      <c r="T313" s="162"/>
      <c r="U313" s="162"/>
      <c r="V313" s="164"/>
      <c r="W313" s="163"/>
      <c r="X313" s="155"/>
      <c r="Y313" s="161"/>
      <c r="Z313" s="161"/>
      <c r="AA313" s="161"/>
      <c r="AB313" s="162"/>
      <c r="AC313" s="162"/>
      <c r="AD313" s="164"/>
      <c r="AE313" s="163"/>
      <c r="AF313" s="155"/>
      <c r="AG313" s="161"/>
      <c r="AH313" s="161"/>
      <c r="AI313" s="161"/>
      <c r="AJ313" s="162"/>
      <c r="AK313" s="162"/>
      <c r="AL313" s="164"/>
      <c r="AM313" s="163"/>
      <c r="AN313" s="155"/>
      <c r="AO313" s="161"/>
      <c r="AP313" s="161"/>
      <c r="AQ313" s="161"/>
      <c r="AR313" s="162"/>
      <c r="AS313" s="162"/>
      <c r="AT313" s="164"/>
      <c r="AU313" s="163"/>
    </row>
    <row r="314" spans="1:47" ht="15.95" customHeight="1" x14ac:dyDescent="0.2">
      <c r="A314" s="629"/>
      <c r="B314" s="629"/>
      <c r="C314" s="629"/>
      <c r="D314" s="630"/>
      <c r="E314" s="630"/>
      <c r="F314" s="631"/>
      <c r="G314" s="628" t="s">
        <v>169</v>
      </c>
      <c r="H314" s="113"/>
      <c r="I314" s="129"/>
      <c r="J314" s="129"/>
      <c r="K314" s="129"/>
      <c r="L314" s="130"/>
      <c r="M314" s="162"/>
      <c r="N314" s="162"/>
      <c r="O314" s="163"/>
      <c r="Q314" s="161"/>
      <c r="R314" s="161"/>
      <c r="S314" s="161"/>
      <c r="T314" s="162"/>
      <c r="U314" s="162"/>
      <c r="V314" s="164"/>
      <c r="W314" s="163"/>
      <c r="X314" s="155"/>
      <c r="Y314" s="161"/>
      <c r="Z314" s="161"/>
      <c r="AA314" s="161"/>
      <c r="AB314" s="162"/>
      <c r="AC314" s="162"/>
      <c r="AD314" s="164"/>
      <c r="AE314" s="163"/>
      <c r="AF314" s="155"/>
      <c r="AG314" s="161"/>
      <c r="AH314" s="161"/>
      <c r="AI314" s="161"/>
      <c r="AJ314" s="162"/>
      <c r="AK314" s="162"/>
      <c r="AL314" s="164"/>
      <c r="AM314" s="163"/>
      <c r="AN314" s="155"/>
      <c r="AO314" s="161"/>
      <c r="AP314" s="161"/>
      <c r="AQ314" s="161"/>
      <c r="AR314" s="162"/>
      <c r="AS314" s="162"/>
      <c r="AT314" s="164"/>
      <c r="AU314" s="163"/>
    </row>
    <row r="315" spans="1:47" ht="15.95" customHeight="1" x14ac:dyDescent="0.2">
      <c r="A315" s="629"/>
      <c r="B315" s="629"/>
      <c r="C315" s="629"/>
      <c r="D315" s="630"/>
      <c r="E315" s="630"/>
      <c r="F315" s="631"/>
      <c r="G315" s="628" t="s">
        <v>169</v>
      </c>
      <c r="H315" s="113"/>
      <c r="I315" s="129"/>
      <c r="J315" s="129"/>
      <c r="K315" s="129"/>
      <c r="L315" s="130"/>
      <c r="M315" s="162"/>
      <c r="N315" s="162"/>
      <c r="O315" s="163"/>
      <c r="Q315" s="161"/>
      <c r="R315" s="161"/>
      <c r="S315" s="161"/>
      <c r="T315" s="162"/>
      <c r="U315" s="162"/>
      <c r="V315" s="164"/>
      <c r="W315" s="163"/>
      <c r="X315" s="155"/>
      <c r="Y315" s="161"/>
      <c r="Z315" s="161"/>
      <c r="AA315" s="161"/>
      <c r="AB315" s="162"/>
      <c r="AC315" s="162"/>
      <c r="AD315" s="164"/>
      <c r="AE315" s="163"/>
      <c r="AF315" s="155"/>
      <c r="AG315" s="161"/>
      <c r="AH315" s="161"/>
      <c r="AI315" s="161"/>
      <c r="AJ315" s="162"/>
      <c r="AK315" s="162"/>
      <c r="AL315" s="164"/>
      <c r="AM315" s="163"/>
      <c r="AN315" s="155"/>
      <c r="AO315" s="161"/>
      <c r="AP315" s="161"/>
      <c r="AQ315" s="161"/>
      <c r="AR315" s="162"/>
      <c r="AS315" s="162"/>
      <c r="AT315" s="164"/>
      <c r="AU315" s="163"/>
    </row>
    <row r="316" spans="1:47" ht="15.95" customHeight="1" x14ac:dyDescent="0.2">
      <c r="A316" s="629"/>
      <c r="B316" s="629"/>
      <c r="C316" s="629"/>
      <c r="D316" s="630"/>
      <c r="E316" s="630"/>
      <c r="F316" s="631"/>
      <c r="G316" s="628" t="s">
        <v>169</v>
      </c>
      <c r="H316" s="113"/>
      <c r="I316" s="129"/>
      <c r="J316" s="129"/>
      <c r="K316" s="129"/>
      <c r="L316" s="130"/>
      <c r="M316" s="162"/>
      <c r="N316" s="162"/>
      <c r="O316" s="163"/>
      <c r="Q316" s="161"/>
      <c r="R316" s="161"/>
      <c r="S316" s="161"/>
      <c r="T316" s="162"/>
      <c r="U316" s="162"/>
      <c r="V316" s="164"/>
      <c r="W316" s="163"/>
      <c r="X316" s="155"/>
      <c r="Y316" s="161"/>
      <c r="Z316" s="161"/>
      <c r="AA316" s="161"/>
      <c r="AB316" s="162"/>
      <c r="AC316" s="162"/>
      <c r="AD316" s="164"/>
      <c r="AE316" s="163"/>
      <c r="AF316" s="155"/>
      <c r="AG316" s="161"/>
      <c r="AH316" s="161"/>
      <c r="AI316" s="161"/>
      <c r="AJ316" s="162"/>
      <c r="AK316" s="162"/>
      <c r="AL316" s="164"/>
      <c r="AM316" s="163"/>
      <c r="AN316" s="155"/>
      <c r="AO316" s="161"/>
      <c r="AP316" s="161"/>
      <c r="AQ316" s="161"/>
      <c r="AR316" s="162"/>
      <c r="AS316" s="162"/>
      <c r="AT316" s="164"/>
      <c r="AU316" s="163"/>
    </row>
    <row r="317" spans="1:47" ht="15.95" customHeight="1" x14ac:dyDescent="0.2">
      <c r="A317" s="629"/>
      <c r="B317" s="629"/>
      <c r="C317" s="629"/>
      <c r="D317" s="630"/>
      <c r="E317" s="630"/>
      <c r="F317" s="631"/>
      <c r="G317" s="628" t="s">
        <v>169</v>
      </c>
      <c r="H317" s="113"/>
      <c r="I317" s="129"/>
      <c r="J317" s="129"/>
      <c r="K317" s="129"/>
      <c r="L317" s="130"/>
      <c r="M317" s="162"/>
      <c r="N317" s="162"/>
      <c r="O317" s="163"/>
      <c r="Q317" s="161"/>
      <c r="R317" s="161"/>
      <c r="S317" s="161"/>
      <c r="T317" s="162"/>
      <c r="U317" s="162"/>
      <c r="V317" s="164"/>
      <c r="W317" s="163"/>
      <c r="X317" s="155"/>
      <c r="Y317" s="161"/>
      <c r="Z317" s="161"/>
      <c r="AA317" s="161"/>
      <c r="AB317" s="162"/>
      <c r="AC317" s="162"/>
      <c r="AD317" s="164"/>
      <c r="AE317" s="163"/>
      <c r="AF317" s="155"/>
      <c r="AG317" s="161"/>
      <c r="AH317" s="161"/>
      <c r="AI317" s="161"/>
      <c r="AJ317" s="162"/>
      <c r="AK317" s="162"/>
      <c r="AL317" s="164"/>
      <c r="AM317" s="163"/>
      <c r="AN317" s="155"/>
      <c r="AO317" s="161"/>
      <c r="AP317" s="161"/>
      <c r="AQ317" s="161"/>
      <c r="AR317" s="162"/>
      <c r="AS317" s="162"/>
      <c r="AT317" s="164"/>
      <c r="AU317" s="163"/>
    </row>
    <row r="318" spans="1:47" ht="15.95" customHeight="1" x14ac:dyDescent="0.2">
      <c r="A318" s="629"/>
      <c r="B318" s="629"/>
      <c r="C318" s="629"/>
      <c r="D318" s="630"/>
      <c r="E318" s="630"/>
      <c r="F318" s="631"/>
      <c r="G318" s="628" t="s">
        <v>169</v>
      </c>
      <c r="H318" s="113"/>
      <c r="I318" s="129"/>
      <c r="J318" s="129"/>
      <c r="K318" s="129"/>
      <c r="L318" s="130"/>
      <c r="M318" s="162"/>
      <c r="N318" s="162"/>
      <c r="O318" s="163"/>
      <c r="Q318" s="161"/>
      <c r="R318" s="161"/>
      <c r="S318" s="161"/>
      <c r="T318" s="162"/>
      <c r="U318" s="162"/>
      <c r="V318" s="164"/>
      <c r="W318" s="163"/>
      <c r="X318" s="155"/>
      <c r="Y318" s="161"/>
      <c r="Z318" s="161"/>
      <c r="AA318" s="161"/>
      <c r="AB318" s="162"/>
      <c r="AC318" s="162"/>
      <c r="AD318" s="164"/>
      <c r="AE318" s="163"/>
      <c r="AF318" s="155"/>
      <c r="AG318" s="161"/>
      <c r="AH318" s="161"/>
      <c r="AI318" s="161"/>
      <c r="AJ318" s="162"/>
      <c r="AK318" s="162"/>
      <c r="AL318" s="164"/>
      <c r="AM318" s="163"/>
      <c r="AN318" s="155"/>
      <c r="AO318" s="161"/>
      <c r="AP318" s="161"/>
      <c r="AQ318" s="161"/>
      <c r="AR318" s="162"/>
      <c r="AS318" s="162"/>
      <c r="AT318" s="164"/>
      <c r="AU318" s="163"/>
    </row>
    <row r="319" spans="1:47" ht="15.95" customHeight="1" x14ac:dyDescent="0.2">
      <c r="A319" s="629"/>
      <c r="B319" s="629"/>
      <c r="C319" s="629"/>
      <c r="D319" s="630"/>
      <c r="E319" s="630"/>
      <c r="F319" s="631"/>
      <c r="G319" s="628" t="s">
        <v>169</v>
      </c>
      <c r="H319" s="113"/>
      <c r="I319" s="129"/>
      <c r="J319" s="129"/>
      <c r="K319" s="129"/>
      <c r="L319" s="130"/>
      <c r="M319" s="162"/>
      <c r="N319" s="162"/>
      <c r="O319" s="163"/>
      <c r="Q319" s="161"/>
      <c r="R319" s="161"/>
      <c r="S319" s="161"/>
      <c r="T319" s="162"/>
      <c r="U319" s="162"/>
      <c r="V319" s="164"/>
      <c r="W319" s="163"/>
      <c r="X319" s="155"/>
      <c r="Y319" s="161"/>
      <c r="Z319" s="161"/>
      <c r="AA319" s="161"/>
      <c r="AB319" s="162"/>
      <c r="AC319" s="162"/>
      <c r="AD319" s="164"/>
      <c r="AE319" s="163"/>
      <c r="AF319" s="155"/>
      <c r="AG319" s="161"/>
      <c r="AH319" s="161"/>
      <c r="AI319" s="161"/>
      <c r="AJ319" s="162"/>
      <c r="AK319" s="162"/>
      <c r="AL319" s="164"/>
      <c r="AM319" s="163"/>
      <c r="AN319" s="155"/>
      <c r="AO319" s="161"/>
      <c r="AP319" s="161"/>
      <c r="AQ319" s="161"/>
      <c r="AR319" s="162"/>
      <c r="AS319" s="162"/>
      <c r="AT319" s="164"/>
      <c r="AU319" s="163"/>
    </row>
    <row r="320" spans="1:47" ht="15.95" customHeight="1" x14ac:dyDescent="0.2">
      <c r="A320" s="629"/>
      <c r="B320" s="629"/>
      <c r="C320" s="629"/>
      <c r="D320" s="630"/>
      <c r="E320" s="630"/>
      <c r="F320" s="631"/>
      <c r="G320" s="628" t="s">
        <v>169</v>
      </c>
      <c r="H320" s="113"/>
      <c r="I320" s="129"/>
      <c r="J320" s="129"/>
      <c r="K320" s="129"/>
      <c r="L320" s="130"/>
      <c r="M320" s="162"/>
      <c r="N320" s="162"/>
      <c r="O320" s="163"/>
      <c r="Q320" s="161"/>
      <c r="R320" s="161"/>
      <c r="S320" s="161"/>
      <c r="T320" s="162"/>
      <c r="U320" s="162"/>
      <c r="V320" s="164"/>
      <c r="W320" s="163"/>
      <c r="X320" s="155"/>
      <c r="Y320" s="161"/>
      <c r="Z320" s="161"/>
      <c r="AA320" s="161"/>
      <c r="AB320" s="162"/>
      <c r="AC320" s="162"/>
      <c r="AD320" s="164"/>
      <c r="AE320" s="163"/>
      <c r="AF320" s="155"/>
      <c r="AG320" s="161"/>
      <c r="AH320" s="161"/>
      <c r="AI320" s="161"/>
      <c r="AJ320" s="162"/>
      <c r="AK320" s="162"/>
      <c r="AL320" s="164"/>
      <c r="AM320" s="163"/>
      <c r="AN320" s="155"/>
      <c r="AO320" s="161"/>
      <c r="AP320" s="161"/>
      <c r="AQ320" s="161"/>
      <c r="AR320" s="162"/>
      <c r="AS320" s="162"/>
      <c r="AT320" s="164"/>
      <c r="AU320" s="163"/>
    </row>
    <row r="321" spans="1:47" ht="15.95" customHeight="1" x14ac:dyDescent="0.2">
      <c r="A321" s="629"/>
      <c r="B321" s="629"/>
      <c r="C321" s="629"/>
      <c r="D321" s="630"/>
      <c r="E321" s="630"/>
      <c r="F321" s="631"/>
      <c r="G321" s="628" t="s">
        <v>169</v>
      </c>
      <c r="H321" s="113"/>
      <c r="I321" s="129"/>
      <c r="J321" s="129"/>
      <c r="K321" s="129"/>
      <c r="L321" s="130"/>
      <c r="M321" s="162"/>
      <c r="N321" s="162"/>
      <c r="O321" s="163"/>
      <c r="Q321" s="161"/>
      <c r="R321" s="161"/>
      <c r="S321" s="161"/>
      <c r="T321" s="162"/>
      <c r="U321" s="162"/>
      <c r="V321" s="164"/>
      <c r="W321" s="163"/>
      <c r="X321" s="155"/>
      <c r="Y321" s="161"/>
      <c r="Z321" s="161"/>
      <c r="AA321" s="161"/>
      <c r="AB321" s="162"/>
      <c r="AC321" s="162"/>
      <c r="AD321" s="164"/>
      <c r="AE321" s="163"/>
      <c r="AF321" s="155"/>
      <c r="AG321" s="161"/>
      <c r="AH321" s="161"/>
      <c r="AI321" s="161"/>
      <c r="AJ321" s="162"/>
      <c r="AK321" s="162"/>
      <c r="AL321" s="164"/>
      <c r="AM321" s="163"/>
      <c r="AN321" s="155"/>
      <c r="AO321" s="161"/>
      <c r="AP321" s="161"/>
      <c r="AQ321" s="161"/>
      <c r="AR321" s="162"/>
      <c r="AS321" s="162"/>
      <c r="AT321" s="164"/>
      <c r="AU321" s="163"/>
    </row>
    <row r="322" spans="1:47" ht="15.95" customHeight="1" x14ac:dyDescent="0.2">
      <c r="A322" s="629"/>
      <c r="B322" s="629"/>
      <c r="C322" s="629"/>
      <c r="D322" s="630"/>
      <c r="E322" s="630"/>
      <c r="F322" s="631"/>
      <c r="G322" s="628" t="s">
        <v>169</v>
      </c>
      <c r="H322" s="113"/>
      <c r="I322" s="129"/>
      <c r="J322" s="129"/>
      <c r="K322" s="129"/>
      <c r="L322" s="130"/>
      <c r="M322" s="162"/>
      <c r="N322" s="162"/>
      <c r="O322" s="163"/>
      <c r="Q322" s="161"/>
      <c r="R322" s="161"/>
      <c r="S322" s="161"/>
      <c r="T322" s="162"/>
      <c r="U322" s="162"/>
      <c r="V322" s="164"/>
      <c r="W322" s="163"/>
      <c r="X322" s="155"/>
      <c r="Y322" s="161"/>
      <c r="Z322" s="161"/>
      <c r="AA322" s="161"/>
      <c r="AB322" s="162"/>
      <c r="AC322" s="162"/>
      <c r="AD322" s="164"/>
      <c r="AE322" s="163"/>
      <c r="AF322" s="155"/>
      <c r="AG322" s="161"/>
      <c r="AH322" s="161"/>
      <c r="AI322" s="161"/>
      <c r="AJ322" s="162"/>
      <c r="AK322" s="162"/>
      <c r="AL322" s="164"/>
      <c r="AM322" s="163"/>
      <c r="AN322" s="155"/>
      <c r="AO322" s="161"/>
      <c r="AP322" s="161"/>
      <c r="AQ322" s="161"/>
      <c r="AR322" s="162"/>
      <c r="AS322" s="162"/>
      <c r="AT322" s="164"/>
      <c r="AU322" s="163"/>
    </row>
    <row r="323" spans="1:47" ht="15.95" customHeight="1" x14ac:dyDescent="0.2">
      <c r="A323" s="629"/>
      <c r="B323" s="629"/>
      <c r="C323" s="629"/>
      <c r="D323" s="630"/>
      <c r="E323" s="630"/>
      <c r="F323" s="631"/>
      <c r="G323" s="628" t="s">
        <v>169</v>
      </c>
      <c r="H323" s="113"/>
      <c r="I323" s="129"/>
      <c r="J323" s="129"/>
      <c r="K323" s="129"/>
      <c r="L323" s="130"/>
      <c r="M323" s="162"/>
      <c r="N323" s="162"/>
      <c r="O323" s="163"/>
      <c r="Q323" s="161"/>
      <c r="R323" s="161"/>
      <c r="S323" s="161"/>
      <c r="T323" s="162"/>
      <c r="U323" s="162"/>
      <c r="V323" s="164"/>
      <c r="W323" s="163"/>
      <c r="X323" s="155"/>
      <c r="Y323" s="161"/>
      <c r="Z323" s="161"/>
      <c r="AA323" s="161"/>
      <c r="AB323" s="162"/>
      <c r="AC323" s="162"/>
      <c r="AD323" s="164"/>
      <c r="AE323" s="163"/>
      <c r="AF323" s="155"/>
      <c r="AG323" s="161"/>
      <c r="AH323" s="161"/>
      <c r="AI323" s="161"/>
      <c r="AJ323" s="162"/>
      <c r="AK323" s="162"/>
      <c r="AL323" s="164"/>
      <c r="AM323" s="163"/>
      <c r="AN323" s="155"/>
      <c r="AO323" s="161"/>
      <c r="AP323" s="161"/>
      <c r="AQ323" s="161"/>
      <c r="AR323" s="162"/>
      <c r="AS323" s="162"/>
      <c r="AT323" s="164"/>
      <c r="AU323" s="163"/>
    </row>
    <row r="324" spans="1:47" ht="15.95" customHeight="1" x14ac:dyDescent="0.2">
      <c r="A324" s="629"/>
      <c r="B324" s="629"/>
      <c r="C324" s="629"/>
      <c r="D324" s="630"/>
      <c r="E324" s="630"/>
      <c r="F324" s="631"/>
      <c r="G324" s="628" t="s">
        <v>169</v>
      </c>
      <c r="H324" s="113"/>
      <c r="I324" s="129"/>
      <c r="J324" s="129"/>
      <c r="K324" s="129"/>
      <c r="L324" s="130"/>
      <c r="M324" s="162"/>
      <c r="N324" s="162"/>
      <c r="O324" s="163"/>
      <c r="Q324" s="161"/>
      <c r="R324" s="161"/>
      <c r="S324" s="161"/>
      <c r="T324" s="162"/>
      <c r="U324" s="162"/>
      <c r="V324" s="164"/>
      <c r="W324" s="163"/>
      <c r="X324" s="155"/>
      <c r="Y324" s="161"/>
      <c r="Z324" s="161"/>
      <c r="AA324" s="161"/>
      <c r="AB324" s="162"/>
      <c r="AC324" s="162"/>
      <c r="AD324" s="164"/>
      <c r="AE324" s="163"/>
      <c r="AF324" s="155"/>
      <c r="AG324" s="161"/>
      <c r="AH324" s="161"/>
      <c r="AI324" s="161"/>
      <c r="AJ324" s="162"/>
      <c r="AK324" s="162"/>
      <c r="AL324" s="164"/>
      <c r="AM324" s="163"/>
      <c r="AN324" s="155"/>
      <c r="AO324" s="161"/>
      <c r="AP324" s="161"/>
      <c r="AQ324" s="161"/>
      <c r="AR324" s="162"/>
      <c r="AS324" s="162"/>
      <c r="AT324" s="164"/>
      <c r="AU324" s="163"/>
    </row>
    <row r="325" spans="1:47" ht="15.95" customHeight="1" x14ac:dyDescent="0.2">
      <c r="A325" s="629"/>
      <c r="B325" s="629"/>
      <c r="C325" s="629"/>
      <c r="D325" s="630"/>
      <c r="E325" s="630"/>
      <c r="F325" s="631"/>
      <c r="G325" s="628" t="s">
        <v>169</v>
      </c>
      <c r="H325" s="113"/>
      <c r="I325" s="129"/>
      <c r="J325" s="129"/>
      <c r="K325" s="129"/>
      <c r="L325" s="130"/>
      <c r="M325" s="162"/>
      <c r="N325" s="162"/>
      <c r="O325" s="163"/>
      <c r="Q325" s="161"/>
      <c r="R325" s="161"/>
      <c r="S325" s="161"/>
      <c r="T325" s="162"/>
      <c r="U325" s="162"/>
      <c r="V325" s="164"/>
      <c r="W325" s="163"/>
      <c r="X325" s="155"/>
      <c r="Y325" s="161"/>
      <c r="Z325" s="161"/>
      <c r="AA325" s="161"/>
      <c r="AB325" s="162"/>
      <c r="AC325" s="162"/>
      <c r="AD325" s="164"/>
      <c r="AE325" s="163"/>
      <c r="AF325" s="155"/>
      <c r="AG325" s="161"/>
      <c r="AH325" s="161"/>
      <c r="AI325" s="161"/>
      <c r="AJ325" s="162"/>
      <c r="AK325" s="162"/>
      <c r="AL325" s="164"/>
      <c r="AM325" s="163"/>
      <c r="AN325" s="155"/>
      <c r="AO325" s="161"/>
      <c r="AP325" s="161"/>
      <c r="AQ325" s="161"/>
      <c r="AR325" s="162"/>
      <c r="AS325" s="162"/>
      <c r="AT325" s="164"/>
      <c r="AU325" s="163"/>
    </row>
    <row r="326" spans="1:47" ht="15.95" customHeight="1" x14ac:dyDescent="0.2">
      <c r="A326" s="629"/>
      <c r="B326" s="629"/>
      <c r="C326" s="629"/>
      <c r="D326" s="630"/>
      <c r="E326" s="630"/>
      <c r="F326" s="631"/>
      <c r="G326" s="628" t="s">
        <v>169</v>
      </c>
      <c r="H326" s="113"/>
      <c r="I326" s="129"/>
      <c r="J326" s="129"/>
      <c r="K326" s="129"/>
      <c r="L326" s="130"/>
      <c r="M326" s="162"/>
      <c r="N326" s="162"/>
      <c r="O326" s="163"/>
      <c r="Q326" s="161"/>
      <c r="R326" s="161"/>
      <c r="S326" s="161"/>
      <c r="T326" s="162"/>
      <c r="U326" s="162"/>
      <c r="V326" s="164"/>
      <c r="W326" s="163"/>
      <c r="X326" s="155"/>
      <c r="Y326" s="161"/>
      <c r="Z326" s="161"/>
      <c r="AA326" s="161"/>
      <c r="AB326" s="162"/>
      <c r="AC326" s="162"/>
      <c r="AD326" s="164"/>
      <c r="AE326" s="163"/>
      <c r="AF326" s="155"/>
      <c r="AG326" s="161"/>
      <c r="AH326" s="161"/>
      <c r="AI326" s="161"/>
      <c r="AJ326" s="162"/>
      <c r="AK326" s="162"/>
      <c r="AL326" s="164"/>
      <c r="AM326" s="163"/>
      <c r="AN326" s="155"/>
      <c r="AO326" s="161"/>
      <c r="AP326" s="161"/>
      <c r="AQ326" s="161"/>
      <c r="AR326" s="162"/>
      <c r="AS326" s="162"/>
      <c r="AT326" s="164"/>
      <c r="AU326" s="163"/>
    </row>
    <row r="327" spans="1:47" ht="15.95" customHeight="1" x14ac:dyDescent="0.2">
      <c r="A327" s="629"/>
      <c r="B327" s="629"/>
      <c r="C327" s="629"/>
      <c r="D327" s="630"/>
      <c r="E327" s="630"/>
      <c r="F327" s="631"/>
      <c r="G327" s="628" t="s">
        <v>169</v>
      </c>
      <c r="H327" s="113"/>
      <c r="I327" s="129"/>
      <c r="J327" s="129"/>
      <c r="K327" s="129"/>
      <c r="L327" s="130"/>
      <c r="M327" s="162"/>
      <c r="N327" s="162"/>
      <c r="O327" s="163"/>
      <c r="Q327" s="161"/>
      <c r="R327" s="161"/>
      <c r="S327" s="161"/>
      <c r="T327" s="162"/>
      <c r="U327" s="162"/>
      <c r="V327" s="164"/>
      <c r="W327" s="163"/>
      <c r="X327" s="155"/>
      <c r="Y327" s="161"/>
      <c r="Z327" s="161"/>
      <c r="AA327" s="161"/>
      <c r="AB327" s="162"/>
      <c r="AC327" s="162"/>
      <c r="AD327" s="164"/>
      <c r="AE327" s="163"/>
      <c r="AF327" s="155"/>
      <c r="AG327" s="161"/>
      <c r="AH327" s="161"/>
      <c r="AI327" s="161"/>
      <c r="AJ327" s="162"/>
      <c r="AK327" s="162"/>
      <c r="AL327" s="164"/>
      <c r="AM327" s="163"/>
      <c r="AN327" s="155"/>
      <c r="AO327" s="161"/>
      <c r="AP327" s="161"/>
      <c r="AQ327" s="161"/>
      <c r="AR327" s="162"/>
      <c r="AS327" s="162"/>
      <c r="AT327" s="164"/>
      <c r="AU327" s="163"/>
    </row>
    <row r="328" spans="1:47" ht="15.95" customHeight="1" x14ac:dyDescent="0.2">
      <c r="A328" s="629"/>
      <c r="B328" s="629"/>
      <c r="C328" s="629"/>
      <c r="D328" s="630"/>
      <c r="E328" s="630"/>
      <c r="F328" s="631"/>
      <c r="G328" s="628" t="s">
        <v>169</v>
      </c>
      <c r="H328" s="113"/>
      <c r="I328" s="129"/>
      <c r="J328" s="129"/>
      <c r="K328" s="129"/>
      <c r="L328" s="130"/>
      <c r="M328" s="162"/>
      <c r="N328" s="162"/>
      <c r="O328" s="163"/>
      <c r="Q328" s="161"/>
      <c r="R328" s="161"/>
      <c r="S328" s="161"/>
      <c r="T328" s="162"/>
      <c r="U328" s="162"/>
      <c r="V328" s="164"/>
      <c r="W328" s="163"/>
      <c r="X328" s="155"/>
      <c r="Y328" s="161"/>
      <c r="Z328" s="161"/>
      <c r="AA328" s="161"/>
      <c r="AB328" s="162"/>
      <c r="AC328" s="162"/>
      <c r="AD328" s="164"/>
      <c r="AE328" s="163"/>
      <c r="AF328" s="155"/>
      <c r="AG328" s="161"/>
      <c r="AH328" s="161"/>
      <c r="AI328" s="161"/>
      <c r="AJ328" s="162"/>
      <c r="AK328" s="162"/>
      <c r="AL328" s="164"/>
      <c r="AM328" s="163"/>
      <c r="AN328" s="155"/>
      <c r="AO328" s="161"/>
      <c r="AP328" s="161"/>
      <c r="AQ328" s="161"/>
      <c r="AR328" s="162"/>
      <c r="AS328" s="162"/>
      <c r="AT328" s="164"/>
      <c r="AU328" s="163"/>
    </row>
    <row r="329" spans="1:47" ht="15.95" customHeight="1" x14ac:dyDescent="0.2">
      <c r="A329" s="629"/>
      <c r="B329" s="629"/>
      <c r="C329" s="629"/>
      <c r="D329" s="630"/>
      <c r="E329" s="630"/>
      <c r="F329" s="631"/>
      <c r="G329" s="628" t="s">
        <v>169</v>
      </c>
      <c r="H329" s="113"/>
      <c r="I329" s="129"/>
      <c r="J329" s="129"/>
      <c r="K329" s="129"/>
      <c r="L329" s="130"/>
      <c r="M329" s="162"/>
      <c r="N329" s="162"/>
      <c r="O329" s="163"/>
      <c r="Q329" s="161"/>
      <c r="R329" s="161"/>
      <c r="S329" s="161"/>
      <c r="T329" s="162"/>
      <c r="U329" s="162"/>
      <c r="V329" s="164"/>
      <c r="W329" s="163"/>
      <c r="X329" s="155"/>
      <c r="Y329" s="161"/>
      <c r="Z329" s="161"/>
      <c r="AA329" s="161"/>
      <c r="AB329" s="162"/>
      <c r="AC329" s="162"/>
      <c r="AD329" s="164"/>
      <c r="AE329" s="163"/>
      <c r="AF329" s="155"/>
      <c r="AG329" s="161"/>
      <c r="AH329" s="161"/>
      <c r="AI329" s="161"/>
      <c r="AJ329" s="162"/>
      <c r="AK329" s="162"/>
      <c r="AL329" s="164"/>
      <c r="AM329" s="163"/>
      <c r="AN329" s="155"/>
      <c r="AO329" s="161"/>
      <c r="AP329" s="161"/>
      <c r="AQ329" s="161"/>
      <c r="AR329" s="162"/>
      <c r="AS329" s="162"/>
      <c r="AT329" s="164"/>
      <c r="AU329" s="163"/>
    </row>
    <row r="330" spans="1:47" ht="15.95" customHeight="1" x14ac:dyDescent="0.2">
      <c r="A330" s="629"/>
      <c r="B330" s="629"/>
      <c r="C330" s="629"/>
      <c r="D330" s="630"/>
      <c r="E330" s="630"/>
      <c r="F330" s="631"/>
      <c r="G330" s="628" t="s">
        <v>169</v>
      </c>
      <c r="H330" s="113"/>
      <c r="I330" s="129"/>
      <c r="J330" s="129"/>
      <c r="K330" s="129"/>
      <c r="L330" s="130"/>
      <c r="M330" s="162"/>
      <c r="N330" s="162"/>
      <c r="O330" s="163"/>
      <c r="Q330" s="161"/>
      <c r="R330" s="161"/>
      <c r="S330" s="161"/>
      <c r="T330" s="162"/>
      <c r="U330" s="162"/>
      <c r="V330" s="164"/>
      <c r="W330" s="163"/>
      <c r="X330" s="155"/>
      <c r="Y330" s="161"/>
      <c r="Z330" s="161"/>
      <c r="AA330" s="161"/>
      <c r="AB330" s="162"/>
      <c r="AC330" s="162"/>
      <c r="AD330" s="164"/>
      <c r="AE330" s="163"/>
      <c r="AF330" s="155"/>
      <c r="AG330" s="161"/>
      <c r="AH330" s="161"/>
      <c r="AI330" s="161"/>
      <c r="AJ330" s="162"/>
      <c r="AK330" s="162"/>
      <c r="AL330" s="164"/>
      <c r="AM330" s="163"/>
      <c r="AN330" s="155"/>
      <c r="AO330" s="161"/>
      <c r="AP330" s="161"/>
      <c r="AQ330" s="161"/>
      <c r="AR330" s="162"/>
      <c r="AS330" s="162"/>
      <c r="AT330" s="164"/>
      <c r="AU330" s="163"/>
    </row>
    <row r="331" spans="1:47" ht="15.95" customHeight="1" x14ac:dyDescent="0.2">
      <c r="A331" s="629"/>
      <c r="B331" s="629"/>
      <c r="C331" s="629"/>
      <c r="D331" s="630"/>
      <c r="E331" s="630"/>
      <c r="F331" s="631"/>
      <c r="G331" s="628" t="s">
        <v>169</v>
      </c>
      <c r="H331" s="113"/>
      <c r="I331" s="129"/>
      <c r="J331" s="129"/>
      <c r="K331" s="129"/>
      <c r="L331" s="130"/>
      <c r="M331" s="162"/>
      <c r="N331" s="162"/>
      <c r="O331" s="163"/>
      <c r="Q331" s="161"/>
      <c r="R331" s="161"/>
      <c r="S331" s="161"/>
      <c r="T331" s="162"/>
      <c r="U331" s="162"/>
      <c r="V331" s="164"/>
      <c r="W331" s="163"/>
      <c r="X331" s="155"/>
      <c r="Y331" s="161"/>
      <c r="Z331" s="161"/>
      <c r="AA331" s="161"/>
      <c r="AB331" s="162"/>
      <c r="AC331" s="162"/>
      <c r="AD331" s="164"/>
      <c r="AE331" s="163"/>
      <c r="AF331" s="155"/>
      <c r="AG331" s="161"/>
      <c r="AH331" s="161"/>
      <c r="AI331" s="161"/>
      <c r="AJ331" s="162"/>
      <c r="AK331" s="162"/>
      <c r="AL331" s="164"/>
      <c r="AM331" s="163"/>
      <c r="AN331" s="155"/>
      <c r="AO331" s="161"/>
      <c r="AP331" s="161"/>
      <c r="AQ331" s="161"/>
      <c r="AR331" s="162"/>
      <c r="AS331" s="162"/>
      <c r="AT331" s="164"/>
      <c r="AU331" s="163"/>
    </row>
    <row r="332" spans="1:47" ht="15.95" customHeight="1" x14ac:dyDescent="0.2">
      <c r="A332" s="629"/>
      <c r="B332" s="629"/>
      <c r="C332" s="629"/>
      <c r="D332" s="630"/>
      <c r="E332" s="630"/>
      <c r="F332" s="631"/>
      <c r="G332" s="628" t="s">
        <v>169</v>
      </c>
      <c r="H332" s="113"/>
      <c r="I332" s="129"/>
      <c r="J332" s="129"/>
      <c r="K332" s="129"/>
      <c r="L332" s="130"/>
      <c r="M332" s="162"/>
      <c r="N332" s="162"/>
      <c r="O332" s="163"/>
      <c r="Q332" s="161"/>
      <c r="R332" s="161"/>
      <c r="S332" s="161"/>
      <c r="T332" s="162"/>
      <c r="U332" s="162"/>
      <c r="V332" s="164"/>
      <c r="W332" s="163"/>
      <c r="X332" s="155"/>
      <c r="Y332" s="161"/>
      <c r="Z332" s="161"/>
      <c r="AA332" s="161"/>
      <c r="AB332" s="162"/>
      <c r="AC332" s="162"/>
      <c r="AD332" s="164"/>
      <c r="AE332" s="163"/>
      <c r="AF332" s="155"/>
      <c r="AG332" s="161"/>
      <c r="AH332" s="161"/>
      <c r="AI332" s="161"/>
      <c r="AJ332" s="162"/>
      <c r="AK332" s="162"/>
      <c r="AL332" s="164"/>
      <c r="AM332" s="163"/>
      <c r="AN332" s="155"/>
      <c r="AO332" s="161"/>
      <c r="AP332" s="161"/>
      <c r="AQ332" s="161"/>
      <c r="AR332" s="162"/>
      <c r="AS332" s="162"/>
      <c r="AT332" s="164"/>
      <c r="AU332" s="163"/>
    </row>
    <row r="333" spans="1:47" ht="15.95" customHeight="1" x14ac:dyDescent="0.2">
      <c r="A333" s="629"/>
      <c r="B333" s="629"/>
      <c r="C333" s="629"/>
      <c r="D333" s="630"/>
      <c r="E333" s="630"/>
      <c r="F333" s="631"/>
      <c r="G333" s="628" t="s">
        <v>169</v>
      </c>
      <c r="H333" s="113"/>
      <c r="I333" s="129"/>
      <c r="J333" s="129"/>
      <c r="K333" s="129"/>
      <c r="L333" s="130"/>
      <c r="M333" s="162"/>
      <c r="N333" s="162"/>
      <c r="O333" s="163"/>
      <c r="Q333" s="161"/>
      <c r="R333" s="161"/>
      <c r="S333" s="161"/>
      <c r="T333" s="162"/>
      <c r="U333" s="162"/>
      <c r="V333" s="164"/>
      <c r="W333" s="163"/>
      <c r="X333" s="155"/>
      <c r="Y333" s="161"/>
      <c r="Z333" s="161"/>
      <c r="AA333" s="161"/>
      <c r="AB333" s="162"/>
      <c r="AC333" s="162"/>
      <c r="AD333" s="164"/>
      <c r="AE333" s="163"/>
      <c r="AF333" s="155"/>
      <c r="AG333" s="161"/>
      <c r="AH333" s="161"/>
      <c r="AI333" s="161"/>
      <c r="AJ333" s="162"/>
      <c r="AK333" s="162"/>
      <c r="AL333" s="164"/>
      <c r="AM333" s="163"/>
      <c r="AN333" s="155"/>
      <c r="AO333" s="161"/>
      <c r="AP333" s="161"/>
      <c r="AQ333" s="161"/>
      <c r="AR333" s="162"/>
      <c r="AS333" s="162"/>
      <c r="AT333" s="164"/>
      <c r="AU333" s="163"/>
    </row>
    <row r="334" spans="1:47" ht="15.95" customHeight="1" x14ac:dyDescent="0.2">
      <c r="A334" s="629"/>
      <c r="B334" s="629"/>
      <c r="C334" s="629"/>
      <c r="D334" s="630"/>
      <c r="E334" s="630"/>
      <c r="F334" s="631"/>
      <c r="G334" s="628" t="s">
        <v>169</v>
      </c>
      <c r="H334" s="113"/>
      <c r="I334" s="129"/>
      <c r="J334" s="129"/>
      <c r="K334" s="129"/>
      <c r="L334" s="130"/>
      <c r="M334" s="162"/>
      <c r="N334" s="162"/>
      <c r="O334" s="163"/>
      <c r="Q334" s="161"/>
      <c r="R334" s="161"/>
      <c r="S334" s="161"/>
      <c r="T334" s="162"/>
      <c r="U334" s="162"/>
      <c r="V334" s="164"/>
      <c r="W334" s="163"/>
      <c r="X334" s="155"/>
      <c r="Y334" s="161"/>
      <c r="Z334" s="161"/>
      <c r="AA334" s="161"/>
      <c r="AB334" s="162"/>
      <c r="AC334" s="162"/>
      <c r="AD334" s="164"/>
      <c r="AE334" s="163"/>
      <c r="AF334" s="155"/>
      <c r="AG334" s="161"/>
      <c r="AH334" s="161"/>
      <c r="AI334" s="161"/>
      <c r="AJ334" s="162"/>
      <c r="AK334" s="162"/>
      <c r="AL334" s="164"/>
      <c r="AM334" s="163"/>
      <c r="AN334" s="155"/>
      <c r="AO334" s="161"/>
      <c r="AP334" s="161"/>
      <c r="AQ334" s="161"/>
      <c r="AR334" s="162"/>
      <c r="AS334" s="162"/>
      <c r="AT334" s="164"/>
      <c r="AU334" s="163"/>
    </row>
    <row r="335" spans="1:47" ht="15.95" customHeight="1" x14ac:dyDescent="0.2">
      <c r="A335" s="629"/>
      <c r="B335" s="629"/>
      <c r="C335" s="629"/>
      <c r="D335" s="630"/>
      <c r="E335" s="630"/>
      <c r="F335" s="631"/>
      <c r="G335" s="628" t="s">
        <v>169</v>
      </c>
      <c r="H335" s="113"/>
      <c r="I335" s="129"/>
      <c r="J335" s="129"/>
      <c r="K335" s="129"/>
      <c r="L335" s="130"/>
      <c r="M335" s="162"/>
      <c r="N335" s="162"/>
      <c r="O335" s="163"/>
      <c r="Q335" s="161"/>
      <c r="R335" s="161"/>
      <c r="S335" s="161"/>
      <c r="T335" s="162"/>
      <c r="U335" s="162"/>
      <c r="V335" s="164"/>
      <c r="W335" s="163"/>
      <c r="X335" s="155"/>
      <c r="Y335" s="161"/>
      <c r="Z335" s="161"/>
      <c r="AA335" s="161"/>
      <c r="AB335" s="162"/>
      <c r="AC335" s="162"/>
      <c r="AD335" s="164"/>
      <c r="AE335" s="163"/>
      <c r="AF335" s="155"/>
      <c r="AG335" s="161"/>
      <c r="AH335" s="161"/>
      <c r="AI335" s="161"/>
      <c r="AJ335" s="162"/>
      <c r="AK335" s="162"/>
      <c r="AL335" s="164"/>
      <c r="AM335" s="163"/>
      <c r="AN335" s="155"/>
      <c r="AO335" s="161"/>
      <c r="AP335" s="161"/>
      <c r="AQ335" s="161"/>
      <c r="AR335" s="162"/>
      <c r="AS335" s="162"/>
      <c r="AT335" s="164"/>
      <c r="AU335" s="163"/>
    </row>
    <row r="336" spans="1:47" ht="15.95" customHeight="1" x14ac:dyDescent="0.2">
      <c r="A336" s="629"/>
      <c r="B336" s="629"/>
      <c r="C336" s="629"/>
      <c r="D336" s="630"/>
      <c r="E336" s="630"/>
      <c r="F336" s="631"/>
      <c r="G336" s="628" t="s">
        <v>169</v>
      </c>
      <c r="H336" s="113"/>
      <c r="I336" s="129"/>
      <c r="J336" s="129"/>
      <c r="K336" s="129"/>
      <c r="L336" s="130"/>
      <c r="M336" s="162"/>
      <c r="N336" s="162"/>
      <c r="O336" s="163"/>
      <c r="Q336" s="161"/>
      <c r="R336" s="161"/>
      <c r="S336" s="161"/>
      <c r="T336" s="162"/>
      <c r="U336" s="162"/>
      <c r="V336" s="164"/>
      <c r="W336" s="163"/>
      <c r="X336" s="155"/>
      <c r="Y336" s="161"/>
      <c r="Z336" s="161"/>
      <c r="AA336" s="161"/>
      <c r="AB336" s="162"/>
      <c r="AC336" s="162"/>
      <c r="AD336" s="164"/>
      <c r="AE336" s="163"/>
      <c r="AF336" s="155"/>
      <c r="AG336" s="161"/>
      <c r="AH336" s="161"/>
      <c r="AI336" s="161"/>
      <c r="AJ336" s="162"/>
      <c r="AK336" s="162"/>
      <c r="AL336" s="164"/>
      <c r="AM336" s="163"/>
      <c r="AN336" s="155"/>
      <c r="AO336" s="161"/>
      <c r="AP336" s="161"/>
      <c r="AQ336" s="161"/>
      <c r="AR336" s="162"/>
      <c r="AS336" s="162"/>
      <c r="AT336" s="164"/>
      <c r="AU336" s="163"/>
    </row>
    <row r="337" spans="1:47" ht="15.95" customHeight="1" x14ac:dyDescent="0.2">
      <c r="A337" s="629"/>
      <c r="B337" s="629"/>
      <c r="C337" s="629"/>
      <c r="D337" s="630"/>
      <c r="E337" s="630"/>
      <c r="F337" s="631"/>
      <c r="G337" s="628" t="s">
        <v>169</v>
      </c>
      <c r="H337" s="113"/>
      <c r="I337" s="129"/>
      <c r="J337" s="129"/>
      <c r="K337" s="129"/>
      <c r="L337" s="130"/>
      <c r="M337" s="162"/>
      <c r="N337" s="162"/>
      <c r="O337" s="163"/>
      <c r="Q337" s="161"/>
      <c r="R337" s="161"/>
      <c r="S337" s="161"/>
      <c r="T337" s="162"/>
      <c r="U337" s="162"/>
      <c r="V337" s="164"/>
      <c r="W337" s="163"/>
      <c r="X337" s="155"/>
      <c r="Y337" s="161"/>
      <c r="Z337" s="161"/>
      <c r="AA337" s="161"/>
      <c r="AB337" s="162"/>
      <c r="AC337" s="162"/>
      <c r="AD337" s="164"/>
      <c r="AE337" s="163"/>
      <c r="AF337" s="155"/>
      <c r="AG337" s="161"/>
      <c r="AH337" s="161"/>
      <c r="AI337" s="161"/>
      <c r="AJ337" s="162"/>
      <c r="AK337" s="162"/>
      <c r="AL337" s="164"/>
      <c r="AM337" s="163"/>
      <c r="AN337" s="155"/>
      <c r="AO337" s="161"/>
      <c r="AP337" s="161"/>
      <c r="AQ337" s="161"/>
      <c r="AR337" s="162"/>
      <c r="AS337" s="162"/>
      <c r="AT337" s="164"/>
      <c r="AU337" s="163"/>
    </row>
    <row r="338" spans="1:47" ht="15.95" customHeight="1" x14ac:dyDescent="0.2">
      <c r="A338" s="629"/>
      <c r="B338" s="629"/>
      <c r="C338" s="629"/>
      <c r="D338" s="630"/>
      <c r="E338" s="630"/>
      <c r="F338" s="631"/>
      <c r="G338" s="628" t="s">
        <v>169</v>
      </c>
      <c r="H338" s="113"/>
      <c r="I338" s="129"/>
      <c r="J338" s="129"/>
      <c r="K338" s="129"/>
      <c r="L338" s="130"/>
      <c r="M338" s="162"/>
      <c r="N338" s="162"/>
      <c r="O338" s="163"/>
      <c r="Q338" s="161"/>
      <c r="R338" s="161"/>
      <c r="S338" s="161"/>
      <c r="T338" s="162"/>
      <c r="U338" s="162"/>
      <c r="V338" s="164"/>
      <c r="W338" s="163"/>
      <c r="X338" s="155"/>
      <c r="Y338" s="161"/>
      <c r="Z338" s="161"/>
      <c r="AA338" s="161"/>
      <c r="AB338" s="162"/>
      <c r="AC338" s="162"/>
      <c r="AD338" s="164"/>
      <c r="AE338" s="163"/>
      <c r="AF338" s="155"/>
      <c r="AG338" s="161"/>
      <c r="AH338" s="161"/>
      <c r="AI338" s="161"/>
      <c r="AJ338" s="162"/>
      <c r="AK338" s="162"/>
      <c r="AL338" s="164"/>
      <c r="AM338" s="163"/>
      <c r="AN338" s="155"/>
      <c r="AO338" s="161"/>
      <c r="AP338" s="161"/>
      <c r="AQ338" s="161"/>
      <c r="AR338" s="162"/>
      <c r="AS338" s="162"/>
      <c r="AT338" s="164"/>
      <c r="AU338" s="163"/>
    </row>
    <row r="339" spans="1:47" ht="15.95" customHeight="1" x14ac:dyDescent="0.2">
      <c r="A339" s="629"/>
      <c r="B339" s="629"/>
      <c r="C339" s="629"/>
      <c r="D339" s="630"/>
      <c r="E339" s="630"/>
      <c r="F339" s="631"/>
      <c r="G339" s="628" t="s">
        <v>169</v>
      </c>
      <c r="H339" s="113"/>
      <c r="I339" s="129"/>
      <c r="J339" s="129"/>
      <c r="K339" s="129"/>
      <c r="L339" s="130"/>
      <c r="M339" s="162"/>
      <c r="N339" s="162"/>
      <c r="O339" s="163"/>
      <c r="Q339" s="161"/>
      <c r="R339" s="161"/>
      <c r="S339" s="161"/>
      <c r="T339" s="162"/>
      <c r="U339" s="162"/>
      <c r="V339" s="164"/>
      <c r="W339" s="163"/>
      <c r="X339" s="155"/>
      <c r="Y339" s="161"/>
      <c r="Z339" s="161"/>
      <c r="AA339" s="161"/>
      <c r="AB339" s="162"/>
      <c r="AC339" s="162"/>
      <c r="AD339" s="164"/>
      <c r="AE339" s="163"/>
      <c r="AF339" s="155"/>
      <c r="AG339" s="161"/>
      <c r="AH339" s="161"/>
      <c r="AI339" s="161"/>
      <c r="AJ339" s="162"/>
      <c r="AK339" s="162"/>
      <c r="AL339" s="164"/>
      <c r="AM339" s="163"/>
      <c r="AN339" s="155"/>
      <c r="AO339" s="161"/>
      <c r="AP339" s="161"/>
      <c r="AQ339" s="161"/>
      <c r="AR339" s="162"/>
      <c r="AS339" s="162"/>
      <c r="AT339" s="164"/>
      <c r="AU339" s="163"/>
    </row>
    <row r="340" spans="1:47" ht="15.95" customHeight="1" x14ac:dyDescent="0.2">
      <c r="A340" s="629"/>
      <c r="B340" s="629"/>
      <c r="C340" s="629"/>
      <c r="D340" s="630"/>
      <c r="E340" s="630"/>
      <c r="F340" s="631"/>
      <c r="G340" s="628" t="s">
        <v>169</v>
      </c>
      <c r="H340" s="113"/>
      <c r="I340" s="129"/>
      <c r="J340" s="129"/>
      <c r="K340" s="129"/>
      <c r="L340" s="130"/>
      <c r="M340" s="162"/>
      <c r="N340" s="162"/>
      <c r="O340" s="163"/>
      <c r="Q340" s="161"/>
      <c r="R340" s="161"/>
      <c r="S340" s="161"/>
      <c r="T340" s="162"/>
      <c r="U340" s="162"/>
      <c r="V340" s="164"/>
      <c r="W340" s="163"/>
      <c r="X340" s="155"/>
      <c r="Y340" s="161"/>
      <c r="Z340" s="161"/>
      <c r="AA340" s="161"/>
      <c r="AB340" s="162"/>
      <c r="AC340" s="162"/>
      <c r="AD340" s="164"/>
      <c r="AE340" s="163"/>
      <c r="AF340" s="155"/>
      <c r="AG340" s="161"/>
      <c r="AH340" s="161"/>
      <c r="AI340" s="161"/>
      <c r="AJ340" s="162"/>
      <c r="AK340" s="162"/>
      <c r="AL340" s="164"/>
      <c r="AM340" s="163"/>
      <c r="AN340" s="155"/>
      <c r="AO340" s="161"/>
      <c r="AP340" s="161"/>
      <c r="AQ340" s="161"/>
      <c r="AR340" s="162"/>
      <c r="AS340" s="162"/>
      <c r="AT340" s="164"/>
      <c r="AU340" s="163"/>
    </row>
    <row r="341" spans="1:47" ht="15.95" customHeight="1" x14ac:dyDescent="0.2">
      <c r="A341" s="629"/>
      <c r="B341" s="629"/>
      <c r="C341" s="629"/>
      <c r="D341" s="630"/>
      <c r="E341" s="630"/>
      <c r="F341" s="631"/>
      <c r="G341" s="628" t="s">
        <v>169</v>
      </c>
      <c r="H341" s="113"/>
      <c r="I341" s="129"/>
      <c r="J341" s="129"/>
      <c r="K341" s="129"/>
      <c r="L341" s="130"/>
      <c r="M341" s="162"/>
      <c r="N341" s="162"/>
      <c r="O341" s="163"/>
      <c r="Q341" s="161"/>
      <c r="R341" s="161"/>
      <c r="S341" s="161"/>
      <c r="T341" s="162"/>
      <c r="U341" s="162"/>
      <c r="V341" s="164"/>
      <c r="W341" s="163"/>
      <c r="X341" s="155"/>
      <c r="Y341" s="161"/>
      <c r="Z341" s="161"/>
      <c r="AA341" s="161"/>
      <c r="AB341" s="162"/>
      <c r="AC341" s="162"/>
      <c r="AD341" s="164"/>
      <c r="AE341" s="163"/>
      <c r="AF341" s="155"/>
      <c r="AG341" s="161"/>
      <c r="AH341" s="161"/>
      <c r="AI341" s="161"/>
      <c r="AJ341" s="162"/>
      <c r="AK341" s="162"/>
      <c r="AL341" s="164"/>
      <c r="AM341" s="163"/>
      <c r="AN341" s="155"/>
      <c r="AO341" s="161"/>
      <c r="AP341" s="161"/>
      <c r="AQ341" s="161"/>
      <c r="AR341" s="162"/>
      <c r="AS341" s="162"/>
      <c r="AT341" s="164"/>
      <c r="AU341" s="163"/>
    </row>
    <row r="342" spans="1:47" ht="15.95" customHeight="1" x14ac:dyDescent="0.2">
      <c r="A342" s="629"/>
      <c r="B342" s="629"/>
      <c r="C342" s="629"/>
      <c r="D342" s="630"/>
      <c r="E342" s="630"/>
      <c r="F342" s="631"/>
      <c r="G342" s="628" t="s">
        <v>169</v>
      </c>
      <c r="H342" s="113"/>
      <c r="I342" s="129"/>
      <c r="J342" s="129"/>
      <c r="K342" s="129"/>
      <c r="L342" s="130"/>
      <c r="M342" s="162"/>
      <c r="N342" s="162"/>
      <c r="O342" s="163"/>
      <c r="Q342" s="161"/>
      <c r="R342" s="161"/>
      <c r="S342" s="161"/>
      <c r="T342" s="162"/>
      <c r="U342" s="162"/>
      <c r="V342" s="164"/>
      <c r="W342" s="163"/>
      <c r="X342" s="155"/>
      <c r="Y342" s="161"/>
      <c r="Z342" s="161"/>
      <c r="AA342" s="161"/>
      <c r="AB342" s="162"/>
      <c r="AC342" s="162"/>
      <c r="AD342" s="164"/>
      <c r="AE342" s="163"/>
      <c r="AF342" s="155"/>
      <c r="AG342" s="161"/>
      <c r="AH342" s="161"/>
      <c r="AI342" s="161"/>
      <c r="AJ342" s="162"/>
      <c r="AK342" s="162"/>
      <c r="AL342" s="164"/>
      <c r="AM342" s="163"/>
      <c r="AN342" s="155"/>
      <c r="AO342" s="161"/>
      <c r="AP342" s="161"/>
      <c r="AQ342" s="161"/>
      <c r="AR342" s="162"/>
      <c r="AS342" s="162"/>
      <c r="AT342" s="164"/>
      <c r="AU342" s="163"/>
    </row>
    <row r="343" spans="1:47" ht="15.95" customHeight="1" x14ac:dyDescent="0.2">
      <c r="A343" s="629"/>
      <c r="B343" s="629"/>
      <c r="C343" s="629"/>
      <c r="D343" s="630"/>
      <c r="E343" s="630"/>
      <c r="F343" s="631"/>
      <c r="G343" s="628" t="s">
        <v>169</v>
      </c>
      <c r="H343" s="113"/>
      <c r="I343" s="129"/>
      <c r="J343" s="129"/>
      <c r="K343" s="129"/>
      <c r="L343" s="130"/>
      <c r="M343" s="162"/>
      <c r="N343" s="162"/>
      <c r="O343" s="163"/>
      <c r="Q343" s="161"/>
      <c r="R343" s="161"/>
      <c r="S343" s="161"/>
      <c r="T343" s="162"/>
      <c r="U343" s="162"/>
      <c r="V343" s="164"/>
      <c r="W343" s="163"/>
      <c r="X343" s="155"/>
      <c r="Y343" s="161"/>
      <c r="Z343" s="161"/>
      <c r="AA343" s="161"/>
      <c r="AB343" s="162"/>
      <c r="AC343" s="162"/>
      <c r="AD343" s="164"/>
      <c r="AE343" s="163"/>
      <c r="AF343" s="155"/>
      <c r="AG343" s="161"/>
      <c r="AH343" s="161"/>
      <c r="AI343" s="161"/>
      <c r="AJ343" s="162"/>
      <c r="AK343" s="162"/>
      <c r="AL343" s="164"/>
      <c r="AM343" s="163"/>
      <c r="AN343" s="155"/>
      <c r="AO343" s="161"/>
      <c r="AP343" s="161"/>
      <c r="AQ343" s="161"/>
      <c r="AR343" s="162"/>
      <c r="AS343" s="162"/>
      <c r="AT343" s="164"/>
      <c r="AU343" s="163"/>
    </row>
    <row r="344" spans="1:47" ht="15.95" customHeight="1" x14ac:dyDescent="0.2">
      <c r="A344" s="629"/>
      <c r="B344" s="629"/>
      <c r="C344" s="629"/>
      <c r="D344" s="630"/>
      <c r="E344" s="630"/>
      <c r="F344" s="631"/>
      <c r="G344" s="628" t="s">
        <v>169</v>
      </c>
      <c r="H344" s="113"/>
      <c r="I344" s="129"/>
      <c r="J344" s="129"/>
      <c r="K344" s="129"/>
      <c r="L344" s="130"/>
      <c r="M344" s="162"/>
      <c r="N344" s="162"/>
      <c r="O344" s="163"/>
      <c r="Q344" s="161"/>
      <c r="R344" s="161"/>
      <c r="S344" s="161"/>
      <c r="T344" s="162"/>
      <c r="U344" s="162"/>
      <c r="V344" s="164"/>
      <c r="W344" s="163"/>
      <c r="X344" s="155"/>
      <c r="Y344" s="161"/>
      <c r="Z344" s="161"/>
      <c r="AA344" s="161"/>
      <c r="AB344" s="162"/>
      <c r="AC344" s="162"/>
      <c r="AD344" s="164"/>
      <c r="AE344" s="163"/>
      <c r="AF344" s="155"/>
      <c r="AG344" s="161"/>
      <c r="AH344" s="161"/>
      <c r="AI344" s="161"/>
      <c r="AJ344" s="162"/>
      <c r="AK344" s="162"/>
      <c r="AL344" s="164"/>
      <c r="AM344" s="163"/>
      <c r="AN344" s="155"/>
      <c r="AO344" s="161"/>
      <c r="AP344" s="161"/>
      <c r="AQ344" s="161"/>
      <c r="AR344" s="162"/>
      <c r="AS344" s="162"/>
      <c r="AT344" s="164"/>
      <c r="AU344" s="163"/>
    </row>
    <row r="345" spans="1:47" ht="15.95" customHeight="1" x14ac:dyDescent="0.2">
      <c r="A345" s="629"/>
      <c r="B345" s="629"/>
      <c r="C345" s="629"/>
      <c r="D345" s="630"/>
      <c r="E345" s="630"/>
      <c r="F345" s="631"/>
      <c r="G345" s="628" t="s">
        <v>169</v>
      </c>
      <c r="H345" s="113"/>
      <c r="I345" s="129"/>
      <c r="J345" s="129"/>
      <c r="K345" s="129"/>
      <c r="L345" s="130"/>
      <c r="M345" s="162"/>
      <c r="N345" s="162"/>
      <c r="O345" s="163"/>
      <c r="Q345" s="161"/>
      <c r="R345" s="161"/>
      <c r="S345" s="161"/>
      <c r="T345" s="162"/>
      <c r="U345" s="162"/>
      <c r="V345" s="164"/>
      <c r="W345" s="163"/>
      <c r="X345" s="155"/>
      <c r="Y345" s="161"/>
      <c r="Z345" s="161"/>
      <c r="AA345" s="161"/>
      <c r="AB345" s="162"/>
      <c r="AC345" s="162"/>
      <c r="AD345" s="164"/>
      <c r="AE345" s="163"/>
      <c r="AF345" s="155"/>
      <c r="AG345" s="161"/>
      <c r="AH345" s="161"/>
      <c r="AI345" s="161"/>
      <c r="AJ345" s="162"/>
      <c r="AK345" s="162"/>
      <c r="AL345" s="164"/>
      <c r="AM345" s="163"/>
      <c r="AN345" s="155"/>
      <c r="AO345" s="161"/>
      <c r="AP345" s="161"/>
      <c r="AQ345" s="161"/>
      <c r="AR345" s="162"/>
      <c r="AS345" s="162"/>
      <c r="AT345" s="164"/>
      <c r="AU345" s="163"/>
    </row>
    <row r="346" spans="1:47" ht="15.95" customHeight="1" x14ac:dyDescent="0.2">
      <c r="A346" s="629"/>
      <c r="B346" s="629"/>
      <c r="C346" s="629"/>
      <c r="D346" s="630"/>
      <c r="E346" s="630"/>
      <c r="F346" s="631"/>
      <c r="G346" s="628" t="s">
        <v>169</v>
      </c>
      <c r="H346" s="113"/>
      <c r="I346" s="129"/>
      <c r="J346" s="129"/>
      <c r="K346" s="129"/>
      <c r="L346" s="130"/>
      <c r="M346" s="162"/>
      <c r="N346" s="162"/>
      <c r="O346" s="163"/>
      <c r="Q346" s="161"/>
      <c r="R346" s="161"/>
      <c r="S346" s="161"/>
      <c r="T346" s="162"/>
      <c r="U346" s="162"/>
      <c r="V346" s="164"/>
      <c r="W346" s="163"/>
      <c r="X346" s="155"/>
      <c r="Y346" s="161"/>
      <c r="Z346" s="161"/>
      <c r="AA346" s="161"/>
      <c r="AB346" s="162"/>
      <c r="AC346" s="162"/>
      <c r="AD346" s="164"/>
      <c r="AE346" s="163"/>
      <c r="AF346" s="155"/>
      <c r="AG346" s="161"/>
      <c r="AH346" s="161"/>
      <c r="AI346" s="161"/>
      <c r="AJ346" s="162"/>
      <c r="AK346" s="162"/>
      <c r="AL346" s="164"/>
      <c r="AM346" s="163"/>
      <c r="AN346" s="155"/>
      <c r="AO346" s="161"/>
      <c r="AP346" s="161"/>
      <c r="AQ346" s="161"/>
      <c r="AR346" s="162"/>
      <c r="AS346" s="162"/>
      <c r="AT346" s="164"/>
      <c r="AU346" s="163"/>
    </row>
    <row r="347" spans="1:47" ht="15.95" customHeight="1" x14ac:dyDescent="0.2">
      <c r="A347" s="629"/>
      <c r="B347" s="629"/>
      <c r="C347" s="629"/>
      <c r="D347" s="630"/>
      <c r="E347" s="630"/>
      <c r="F347" s="631"/>
      <c r="G347" s="628" t="s">
        <v>169</v>
      </c>
      <c r="H347" s="113"/>
      <c r="I347" s="129"/>
      <c r="J347" s="129"/>
      <c r="K347" s="129"/>
      <c r="L347" s="130"/>
      <c r="M347" s="162"/>
      <c r="N347" s="162"/>
      <c r="O347" s="163"/>
      <c r="Q347" s="161"/>
      <c r="R347" s="161"/>
      <c r="S347" s="161"/>
      <c r="T347" s="162"/>
      <c r="U347" s="162"/>
      <c r="V347" s="164"/>
      <c r="W347" s="163"/>
      <c r="X347" s="155"/>
      <c r="Y347" s="161"/>
      <c r="Z347" s="161"/>
      <c r="AA347" s="161"/>
      <c r="AB347" s="162"/>
      <c r="AC347" s="162"/>
      <c r="AD347" s="164"/>
      <c r="AE347" s="163"/>
      <c r="AF347" s="155"/>
      <c r="AG347" s="161"/>
      <c r="AH347" s="161"/>
      <c r="AI347" s="161"/>
      <c r="AJ347" s="162"/>
      <c r="AK347" s="162"/>
      <c r="AL347" s="164"/>
      <c r="AM347" s="163"/>
      <c r="AN347" s="155"/>
      <c r="AO347" s="161"/>
      <c r="AP347" s="161"/>
      <c r="AQ347" s="161"/>
      <c r="AR347" s="162"/>
      <c r="AS347" s="162"/>
      <c r="AT347" s="164"/>
      <c r="AU347" s="163"/>
    </row>
    <row r="348" spans="1:47" ht="15.95" customHeight="1" x14ac:dyDescent="0.2">
      <c r="A348" s="629"/>
      <c r="B348" s="629"/>
      <c r="C348" s="629"/>
      <c r="D348" s="630"/>
      <c r="E348" s="630"/>
      <c r="F348" s="631"/>
      <c r="G348" s="628" t="s">
        <v>169</v>
      </c>
      <c r="H348" s="113"/>
      <c r="I348" s="129"/>
      <c r="J348" s="129"/>
      <c r="K348" s="129"/>
      <c r="L348" s="130"/>
      <c r="M348" s="162"/>
      <c r="N348" s="162"/>
      <c r="O348" s="163"/>
      <c r="Q348" s="161"/>
      <c r="R348" s="161"/>
      <c r="S348" s="161"/>
      <c r="T348" s="162"/>
      <c r="U348" s="162"/>
      <c r="V348" s="164"/>
      <c r="W348" s="163"/>
      <c r="X348" s="155"/>
      <c r="Y348" s="161"/>
      <c r="Z348" s="161"/>
      <c r="AA348" s="161"/>
      <c r="AB348" s="162"/>
      <c r="AC348" s="162"/>
      <c r="AD348" s="164"/>
      <c r="AE348" s="163"/>
      <c r="AF348" s="155"/>
      <c r="AG348" s="161"/>
      <c r="AH348" s="161"/>
      <c r="AI348" s="161"/>
      <c r="AJ348" s="162"/>
      <c r="AK348" s="162"/>
      <c r="AL348" s="164"/>
      <c r="AM348" s="163"/>
      <c r="AN348" s="155"/>
      <c r="AO348" s="161"/>
      <c r="AP348" s="161"/>
      <c r="AQ348" s="161"/>
      <c r="AR348" s="162"/>
      <c r="AS348" s="162"/>
      <c r="AT348" s="164"/>
      <c r="AU348" s="163"/>
    </row>
    <row r="349" spans="1:47" ht="15.95" customHeight="1" x14ac:dyDescent="0.2">
      <c r="A349" s="629"/>
      <c r="B349" s="629"/>
      <c r="C349" s="629"/>
      <c r="D349" s="630"/>
      <c r="E349" s="630"/>
      <c r="F349" s="631"/>
      <c r="G349" s="628" t="s">
        <v>169</v>
      </c>
      <c r="H349" s="113"/>
      <c r="I349" s="129"/>
      <c r="J349" s="129"/>
      <c r="K349" s="129"/>
      <c r="L349" s="130"/>
      <c r="M349" s="162"/>
      <c r="N349" s="162"/>
      <c r="O349" s="163"/>
      <c r="Q349" s="161"/>
      <c r="R349" s="161"/>
      <c r="S349" s="161"/>
      <c r="T349" s="162"/>
      <c r="U349" s="162"/>
      <c r="V349" s="164"/>
      <c r="W349" s="163"/>
      <c r="X349" s="155"/>
      <c r="Y349" s="161"/>
      <c r="Z349" s="161"/>
      <c r="AA349" s="161"/>
      <c r="AB349" s="162"/>
      <c r="AC349" s="162"/>
      <c r="AD349" s="164"/>
      <c r="AE349" s="163"/>
      <c r="AF349" s="155"/>
      <c r="AG349" s="161"/>
      <c r="AH349" s="161"/>
      <c r="AI349" s="161"/>
      <c r="AJ349" s="162"/>
      <c r="AK349" s="162"/>
      <c r="AL349" s="164"/>
      <c r="AM349" s="163"/>
      <c r="AN349" s="155"/>
      <c r="AO349" s="161"/>
      <c r="AP349" s="161"/>
      <c r="AQ349" s="161"/>
      <c r="AR349" s="162"/>
      <c r="AS349" s="162"/>
      <c r="AT349" s="164"/>
      <c r="AU349" s="163"/>
    </row>
    <row r="350" spans="1:47" ht="15.95" customHeight="1" x14ac:dyDescent="0.2">
      <c r="A350" s="629"/>
      <c r="B350" s="629"/>
      <c r="C350" s="629"/>
      <c r="D350" s="630"/>
      <c r="E350" s="630"/>
      <c r="F350" s="631"/>
      <c r="G350" s="628" t="s">
        <v>169</v>
      </c>
      <c r="H350" s="113"/>
      <c r="I350" s="129"/>
      <c r="J350" s="129"/>
      <c r="K350" s="129"/>
      <c r="L350" s="130"/>
      <c r="M350" s="162"/>
      <c r="N350" s="162"/>
      <c r="O350" s="163"/>
      <c r="Q350" s="161"/>
      <c r="R350" s="161"/>
      <c r="S350" s="161"/>
      <c r="T350" s="162"/>
      <c r="U350" s="162"/>
      <c r="V350" s="164"/>
      <c r="W350" s="163"/>
      <c r="X350" s="155"/>
      <c r="Y350" s="161"/>
      <c r="Z350" s="161"/>
      <c r="AA350" s="161"/>
      <c r="AB350" s="162"/>
      <c r="AC350" s="162"/>
      <c r="AD350" s="164"/>
      <c r="AE350" s="163"/>
      <c r="AF350" s="155"/>
      <c r="AG350" s="161"/>
      <c r="AH350" s="161"/>
      <c r="AI350" s="161"/>
      <c r="AJ350" s="162"/>
      <c r="AK350" s="162"/>
      <c r="AL350" s="164"/>
      <c r="AM350" s="163"/>
      <c r="AN350" s="155"/>
      <c r="AO350" s="161"/>
      <c r="AP350" s="161"/>
      <c r="AQ350" s="161"/>
      <c r="AR350" s="162"/>
      <c r="AS350" s="162"/>
      <c r="AT350" s="164"/>
      <c r="AU350" s="163"/>
    </row>
    <row r="351" spans="1:47" ht="15.95" customHeight="1" x14ac:dyDescent="0.2">
      <c r="A351" s="629"/>
      <c r="B351" s="629"/>
      <c r="C351" s="629"/>
      <c r="D351" s="630"/>
      <c r="E351" s="630"/>
      <c r="F351" s="631"/>
      <c r="G351" s="628" t="s">
        <v>169</v>
      </c>
      <c r="H351" s="113"/>
      <c r="I351" s="129"/>
      <c r="J351" s="129"/>
      <c r="K351" s="129"/>
      <c r="L351" s="130"/>
      <c r="M351" s="162"/>
      <c r="N351" s="162"/>
      <c r="O351" s="163"/>
      <c r="Q351" s="161"/>
      <c r="R351" s="161"/>
      <c r="S351" s="161"/>
      <c r="T351" s="162"/>
      <c r="U351" s="162"/>
      <c r="V351" s="164"/>
      <c r="W351" s="163"/>
      <c r="X351" s="155"/>
      <c r="Y351" s="161"/>
      <c r="Z351" s="161"/>
      <c r="AA351" s="161"/>
      <c r="AB351" s="162"/>
      <c r="AC351" s="162"/>
      <c r="AD351" s="164"/>
      <c r="AE351" s="163"/>
      <c r="AF351" s="155"/>
      <c r="AG351" s="161"/>
      <c r="AH351" s="161"/>
      <c r="AI351" s="161"/>
      <c r="AJ351" s="162"/>
      <c r="AK351" s="162"/>
      <c r="AL351" s="164"/>
      <c r="AM351" s="163"/>
      <c r="AN351" s="155"/>
      <c r="AO351" s="161"/>
      <c r="AP351" s="161"/>
      <c r="AQ351" s="161"/>
      <c r="AR351" s="162"/>
      <c r="AS351" s="162"/>
      <c r="AT351" s="164"/>
      <c r="AU351" s="163"/>
    </row>
    <row r="352" spans="1:47" ht="15.95" customHeight="1" x14ac:dyDescent="0.2">
      <c r="A352" s="629"/>
      <c r="B352" s="629"/>
      <c r="C352" s="629"/>
      <c r="D352" s="630"/>
      <c r="E352" s="630"/>
      <c r="F352" s="631"/>
      <c r="G352" s="628" t="s">
        <v>169</v>
      </c>
      <c r="H352" s="113"/>
      <c r="I352" s="129"/>
      <c r="J352" s="129"/>
      <c r="K352" s="129"/>
      <c r="L352" s="130"/>
      <c r="M352" s="162"/>
      <c r="N352" s="162"/>
      <c r="O352" s="163"/>
      <c r="Q352" s="161"/>
      <c r="R352" s="161"/>
      <c r="S352" s="161"/>
      <c r="T352" s="162"/>
      <c r="U352" s="162"/>
      <c r="V352" s="164"/>
      <c r="W352" s="163"/>
      <c r="X352" s="155"/>
      <c r="Y352" s="161"/>
      <c r="Z352" s="161"/>
      <c r="AA352" s="161"/>
      <c r="AB352" s="162"/>
      <c r="AC352" s="162"/>
      <c r="AD352" s="164"/>
      <c r="AE352" s="163"/>
      <c r="AF352" s="155"/>
      <c r="AG352" s="161"/>
      <c r="AH352" s="161"/>
      <c r="AI352" s="161"/>
      <c r="AJ352" s="162"/>
      <c r="AK352" s="162"/>
      <c r="AL352" s="164"/>
      <c r="AM352" s="163"/>
      <c r="AN352" s="155"/>
      <c r="AO352" s="161"/>
      <c r="AP352" s="161"/>
      <c r="AQ352" s="161"/>
      <c r="AR352" s="162"/>
      <c r="AS352" s="162"/>
      <c r="AT352" s="164"/>
      <c r="AU352" s="163"/>
    </row>
    <row r="353" spans="1:47" ht="15.95" customHeight="1" x14ac:dyDescent="0.2">
      <c r="A353" s="629"/>
      <c r="B353" s="629"/>
      <c r="C353" s="629"/>
      <c r="D353" s="630"/>
      <c r="E353" s="630"/>
      <c r="F353" s="631"/>
      <c r="G353" s="628" t="s">
        <v>169</v>
      </c>
      <c r="H353" s="113"/>
      <c r="I353" s="129"/>
      <c r="J353" s="129"/>
      <c r="K353" s="129"/>
      <c r="L353" s="130"/>
      <c r="M353" s="162"/>
      <c r="N353" s="162"/>
      <c r="O353" s="163"/>
      <c r="Q353" s="161"/>
      <c r="R353" s="161"/>
      <c r="S353" s="161"/>
      <c r="T353" s="162"/>
      <c r="U353" s="162"/>
      <c r="V353" s="164"/>
      <c r="W353" s="163"/>
      <c r="X353" s="155"/>
      <c r="Y353" s="161"/>
      <c r="Z353" s="161"/>
      <c r="AA353" s="161"/>
      <c r="AB353" s="162"/>
      <c r="AC353" s="162"/>
      <c r="AD353" s="164"/>
      <c r="AE353" s="163"/>
      <c r="AF353" s="155"/>
      <c r="AG353" s="161"/>
      <c r="AH353" s="161"/>
      <c r="AI353" s="161"/>
      <c r="AJ353" s="162"/>
      <c r="AK353" s="162"/>
      <c r="AL353" s="164"/>
      <c r="AM353" s="163"/>
      <c r="AN353" s="155"/>
      <c r="AO353" s="161"/>
      <c r="AP353" s="161"/>
      <c r="AQ353" s="161"/>
      <c r="AR353" s="162"/>
      <c r="AS353" s="162"/>
      <c r="AT353" s="164"/>
      <c r="AU353" s="163"/>
    </row>
    <row r="354" spans="1:47" ht="15.95" customHeight="1" x14ac:dyDescent="0.2">
      <c r="A354" s="629"/>
      <c r="B354" s="629"/>
      <c r="C354" s="629"/>
      <c r="D354" s="630"/>
      <c r="E354" s="630"/>
      <c r="F354" s="631"/>
      <c r="G354" s="628" t="s">
        <v>169</v>
      </c>
      <c r="H354" s="113"/>
      <c r="I354" s="129"/>
      <c r="J354" s="129"/>
      <c r="K354" s="129"/>
      <c r="L354" s="130"/>
      <c r="M354" s="162"/>
      <c r="N354" s="162"/>
      <c r="O354" s="163"/>
      <c r="Q354" s="161"/>
      <c r="R354" s="161"/>
      <c r="S354" s="161"/>
      <c r="T354" s="162"/>
      <c r="U354" s="162"/>
      <c r="V354" s="164"/>
      <c r="W354" s="163"/>
      <c r="X354" s="155"/>
      <c r="Y354" s="161"/>
      <c r="Z354" s="161"/>
      <c r="AA354" s="161"/>
      <c r="AB354" s="162"/>
      <c r="AC354" s="162"/>
      <c r="AD354" s="164"/>
      <c r="AE354" s="163"/>
      <c r="AF354" s="155"/>
      <c r="AG354" s="161"/>
      <c r="AH354" s="161"/>
      <c r="AI354" s="161"/>
      <c r="AJ354" s="162"/>
      <c r="AK354" s="162"/>
      <c r="AL354" s="164"/>
      <c r="AM354" s="163"/>
      <c r="AN354" s="155"/>
      <c r="AO354" s="161"/>
      <c r="AP354" s="161"/>
      <c r="AQ354" s="161"/>
      <c r="AR354" s="162"/>
      <c r="AS354" s="162"/>
      <c r="AT354" s="164"/>
      <c r="AU354" s="163"/>
    </row>
    <row r="355" spans="1:47" ht="15.95" customHeight="1" x14ac:dyDescent="0.2">
      <c r="A355" s="629"/>
      <c r="B355" s="629"/>
      <c r="C355" s="629"/>
      <c r="D355" s="630"/>
      <c r="E355" s="630"/>
      <c r="F355" s="631"/>
      <c r="G355" s="628" t="s">
        <v>169</v>
      </c>
      <c r="H355" s="113"/>
      <c r="I355" s="129"/>
      <c r="J355" s="129"/>
      <c r="K355" s="129"/>
      <c r="L355" s="130"/>
      <c r="M355" s="162"/>
      <c r="N355" s="162"/>
      <c r="O355" s="163"/>
      <c r="Q355" s="161"/>
      <c r="R355" s="161"/>
      <c r="S355" s="161"/>
      <c r="T355" s="162"/>
      <c r="U355" s="162"/>
      <c r="V355" s="164"/>
      <c r="W355" s="163"/>
      <c r="X355" s="155"/>
      <c r="Y355" s="161"/>
      <c r="Z355" s="161"/>
      <c r="AA355" s="161"/>
      <c r="AB355" s="162"/>
      <c r="AC355" s="162"/>
      <c r="AD355" s="164"/>
      <c r="AE355" s="163"/>
      <c r="AF355" s="155"/>
      <c r="AG355" s="161"/>
      <c r="AH355" s="161"/>
      <c r="AI355" s="161"/>
      <c r="AJ355" s="162"/>
      <c r="AK355" s="162"/>
      <c r="AL355" s="164"/>
      <c r="AM355" s="163"/>
      <c r="AN355" s="155"/>
      <c r="AO355" s="161"/>
      <c r="AP355" s="161"/>
      <c r="AQ355" s="161"/>
      <c r="AR355" s="162"/>
      <c r="AS355" s="162"/>
      <c r="AT355" s="164"/>
      <c r="AU355" s="163"/>
    </row>
    <row r="356" spans="1:47" ht="15.95" customHeight="1" x14ac:dyDescent="0.2">
      <c r="A356" s="629"/>
      <c r="B356" s="629"/>
      <c r="C356" s="629"/>
      <c r="D356" s="630"/>
      <c r="E356" s="630"/>
      <c r="F356" s="631"/>
      <c r="G356" s="628" t="s">
        <v>169</v>
      </c>
      <c r="H356" s="113"/>
      <c r="I356" s="129"/>
      <c r="J356" s="129"/>
      <c r="K356" s="129"/>
      <c r="L356" s="130"/>
      <c r="M356" s="162"/>
      <c r="N356" s="162"/>
      <c r="O356" s="163"/>
      <c r="Q356" s="161"/>
      <c r="R356" s="161"/>
      <c r="S356" s="161"/>
      <c r="T356" s="162"/>
      <c r="U356" s="162"/>
      <c r="V356" s="164"/>
      <c r="W356" s="163"/>
      <c r="X356" s="155"/>
      <c r="Y356" s="161"/>
      <c r="Z356" s="161"/>
      <c r="AA356" s="161"/>
      <c r="AB356" s="162"/>
      <c r="AC356" s="162"/>
      <c r="AD356" s="164"/>
      <c r="AE356" s="163"/>
      <c r="AF356" s="155"/>
      <c r="AG356" s="161"/>
      <c r="AH356" s="161"/>
      <c r="AI356" s="161"/>
      <c r="AJ356" s="162"/>
      <c r="AK356" s="162"/>
      <c r="AL356" s="164"/>
      <c r="AM356" s="163"/>
      <c r="AN356" s="155"/>
      <c r="AO356" s="161"/>
      <c r="AP356" s="161"/>
      <c r="AQ356" s="161"/>
      <c r="AR356" s="162"/>
      <c r="AS356" s="162"/>
      <c r="AT356" s="164"/>
      <c r="AU356" s="163"/>
    </row>
    <row r="357" spans="1:47" ht="15.95" customHeight="1" x14ac:dyDescent="0.2">
      <c r="A357" s="629"/>
      <c r="B357" s="629"/>
      <c r="C357" s="629"/>
      <c r="D357" s="630"/>
      <c r="E357" s="630"/>
      <c r="F357" s="631"/>
      <c r="G357" s="628" t="s">
        <v>169</v>
      </c>
      <c r="H357" s="113"/>
      <c r="I357" s="129"/>
      <c r="J357" s="129"/>
      <c r="K357" s="129"/>
      <c r="L357" s="130"/>
      <c r="M357" s="162"/>
      <c r="N357" s="162"/>
      <c r="O357" s="163"/>
      <c r="Q357" s="161"/>
      <c r="R357" s="161"/>
      <c r="S357" s="161"/>
      <c r="T357" s="162"/>
      <c r="U357" s="162"/>
      <c r="V357" s="164"/>
      <c r="W357" s="163"/>
      <c r="X357" s="155"/>
      <c r="Y357" s="161"/>
      <c r="Z357" s="161"/>
      <c r="AA357" s="161"/>
      <c r="AB357" s="162"/>
      <c r="AC357" s="162"/>
      <c r="AD357" s="164"/>
      <c r="AE357" s="163"/>
      <c r="AF357" s="155"/>
      <c r="AG357" s="161"/>
      <c r="AH357" s="161"/>
      <c r="AI357" s="161"/>
      <c r="AJ357" s="162"/>
      <c r="AK357" s="162"/>
      <c r="AL357" s="164"/>
      <c r="AM357" s="163"/>
      <c r="AN357" s="155"/>
      <c r="AO357" s="161"/>
      <c r="AP357" s="161"/>
      <c r="AQ357" s="161"/>
      <c r="AR357" s="162"/>
      <c r="AS357" s="162"/>
      <c r="AT357" s="164"/>
      <c r="AU357" s="163"/>
    </row>
    <row r="358" spans="1:47" ht="15.95" customHeight="1" x14ac:dyDescent="0.2">
      <c r="A358" s="629"/>
      <c r="B358" s="629"/>
      <c r="C358" s="629"/>
      <c r="D358" s="630"/>
      <c r="E358" s="630"/>
      <c r="F358" s="631"/>
      <c r="G358" s="628" t="s">
        <v>169</v>
      </c>
      <c r="H358" s="113"/>
      <c r="I358" s="129"/>
      <c r="J358" s="129"/>
      <c r="K358" s="129"/>
      <c r="L358" s="130"/>
      <c r="M358" s="162"/>
      <c r="N358" s="162"/>
      <c r="O358" s="163"/>
      <c r="Q358" s="161"/>
      <c r="R358" s="161"/>
      <c r="S358" s="161"/>
      <c r="T358" s="162"/>
      <c r="U358" s="162"/>
      <c r="V358" s="164"/>
      <c r="W358" s="163"/>
      <c r="X358" s="155"/>
      <c r="Y358" s="161"/>
      <c r="Z358" s="161"/>
      <c r="AA358" s="161"/>
      <c r="AB358" s="162"/>
      <c r="AC358" s="162"/>
      <c r="AD358" s="164"/>
      <c r="AE358" s="163"/>
      <c r="AF358" s="155"/>
      <c r="AG358" s="161"/>
      <c r="AH358" s="161"/>
      <c r="AI358" s="161"/>
      <c r="AJ358" s="162"/>
      <c r="AK358" s="162"/>
      <c r="AL358" s="164"/>
      <c r="AM358" s="163"/>
      <c r="AN358" s="155"/>
      <c r="AO358" s="161"/>
      <c r="AP358" s="161"/>
      <c r="AQ358" s="161"/>
      <c r="AR358" s="162"/>
      <c r="AS358" s="162"/>
      <c r="AT358" s="164"/>
      <c r="AU358" s="163"/>
    </row>
    <row r="359" spans="1:47" ht="15.95" customHeight="1" x14ac:dyDescent="0.2">
      <c r="A359" s="629"/>
      <c r="B359" s="629"/>
      <c r="C359" s="629"/>
      <c r="D359" s="630"/>
      <c r="E359" s="630"/>
      <c r="F359" s="631"/>
      <c r="G359" s="628" t="s">
        <v>169</v>
      </c>
      <c r="H359" s="113"/>
      <c r="I359" s="129"/>
      <c r="J359" s="129"/>
      <c r="K359" s="129"/>
      <c r="L359" s="130"/>
      <c r="M359" s="162"/>
      <c r="N359" s="162"/>
      <c r="O359" s="163"/>
      <c r="Q359" s="161"/>
      <c r="R359" s="161"/>
      <c r="S359" s="161"/>
      <c r="T359" s="162"/>
      <c r="U359" s="162"/>
      <c r="V359" s="164"/>
      <c r="W359" s="163"/>
      <c r="X359" s="155"/>
      <c r="Y359" s="161"/>
      <c r="Z359" s="161"/>
      <c r="AA359" s="161"/>
      <c r="AB359" s="162"/>
      <c r="AC359" s="162"/>
      <c r="AD359" s="164"/>
      <c r="AE359" s="163"/>
      <c r="AF359" s="155"/>
      <c r="AG359" s="161"/>
      <c r="AH359" s="161"/>
      <c r="AI359" s="161"/>
      <c r="AJ359" s="162"/>
      <c r="AK359" s="162"/>
      <c r="AL359" s="164"/>
      <c r="AM359" s="163"/>
      <c r="AN359" s="155"/>
      <c r="AO359" s="161"/>
      <c r="AP359" s="161"/>
      <c r="AQ359" s="161"/>
      <c r="AR359" s="162"/>
      <c r="AS359" s="162"/>
      <c r="AT359" s="164"/>
      <c r="AU359" s="163"/>
    </row>
    <row r="360" spans="1:47" ht="15.95" customHeight="1" x14ac:dyDescent="0.2">
      <c r="A360" s="629"/>
      <c r="B360" s="629"/>
      <c r="C360" s="629"/>
      <c r="D360" s="630"/>
      <c r="E360" s="630"/>
      <c r="F360" s="631"/>
      <c r="G360" s="628" t="s">
        <v>169</v>
      </c>
      <c r="H360" s="113"/>
      <c r="I360" s="129"/>
      <c r="J360" s="129"/>
      <c r="K360" s="129"/>
      <c r="L360" s="130"/>
      <c r="M360" s="162"/>
      <c r="N360" s="162"/>
      <c r="O360" s="163"/>
      <c r="Q360" s="161"/>
      <c r="R360" s="161"/>
      <c r="S360" s="161"/>
      <c r="T360" s="162"/>
      <c r="U360" s="162"/>
      <c r="V360" s="164"/>
      <c r="W360" s="163"/>
      <c r="X360" s="155"/>
      <c r="Y360" s="161"/>
      <c r="Z360" s="161"/>
      <c r="AA360" s="161"/>
      <c r="AB360" s="162"/>
      <c r="AC360" s="162"/>
      <c r="AD360" s="164"/>
      <c r="AE360" s="163"/>
      <c r="AF360" s="155"/>
      <c r="AG360" s="161"/>
      <c r="AH360" s="161"/>
      <c r="AI360" s="161"/>
      <c r="AJ360" s="162"/>
      <c r="AK360" s="162"/>
      <c r="AL360" s="164"/>
      <c r="AM360" s="163"/>
      <c r="AN360" s="155"/>
      <c r="AO360" s="161"/>
      <c r="AP360" s="161"/>
      <c r="AQ360" s="161"/>
      <c r="AR360" s="162"/>
      <c r="AS360" s="162"/>
      <c r="AT360" s="164"/>
      <c r="AU360" s="163"/>
    </row>
    <row r="361" spans="1:47" ht="15.95" customHeight="1" x14ac:dyDescent="0.2">
      <c r="A361" s="629"/>
      <c r="B361" s="629"/>
      <c r="C361" s="629"/>
      <c r="D361" s="630"/>
      <c r="E361" s="630"/>
      <c r="F361" s="631"/>
      <c r="G361" s="628" t="s">
        <v>169</v>
      </c>
      <c r="H361" s="113"/>
      <c r="I361" s="129"/>
      <c r="J361" s="129"/>
      <c r="K361" s="129"/>
      <c r="L361" s="130"/>
      <c r="M361" s="162"/>
      <c r="N361" s="162"/>
      <c r="O361" s="163"/>
      <c r="Q361" s="161"/>
      <c r="R361" s="161"/>
      <c r="S361" s="161"/>
      <c r="T361" s="162"/>
      <c r="U361" s="162"/>
      <c r="V361" s="164"/>
      <c r="W361" s="163"/>
      <c r="X361" s="155"/>
      <c r="Y361" s="161"/>
      <c r="Z361" s="161"/>
      <c r="AA361" s="161"/>
      <c r="AB361" s="162"/>
      <c r="AC361" s="162"/>
      <c r="AD361" s="164"/>
      <c r="AE361" s="163"/>
      <c r="AF361" s="155"/>
      <c r="AG361" s="161"/>
      <c r="AH361" s="161"/>
      <c r="AI361" s="161"/>
      <c r="AJ361" s="162"/>
      <c r="AK361" s="162"/>
      <c r="AL361" s="164"/>
      <c r="AM361" s="163"/>
      <c r="AN361" s="155"/>
      <c r="AO361" s="161"/>
      <c r="AP361" s="161"/>
      <c r="AQ361" s="161"/>
      <c r="AR361" s="162"/>
      <c r="AS361" s="162"/>
      <c r="AT361" s="164"/>
      <c r="AU361" s="163"/>
    </row>
    <row r="362" spans="1:47" ht="15.95" customHeight="1" x14ac:dyDescent="0.2">
      <c r="A362" s="629"/>
      <c r="B362" s="629"/>
      <c r="C362" s="629"/>
      <c r="D362" s="630"/>
      <c r="E362" s="630"/>
      <c r="F362" s="631"/>
      <c r="G362" s="628" t="s">
        <v>169</v>
      </c>
      <c r="H362" s="113"/>
      <c r="I362" s="129"/>
      <c r="J362" s="129"/>
      <c r="K362" s="129"/>
      <c r="L362" s="130"/>
      <c r="M362" s="162"/>
      <c r="N362" s="162"/>
      <c r="O362" s="163"/>
      <c r="Q362" s="161"/>
      <c r="R362" s="161"/>
      <c r="S362" s="161"/>
      <c r="T362" s="162"/>
      <c r="U362" s="162"/>
      <c r="V362" s="164"/>
      <c r="W362" s="163"/>
      <c r="X362" s="155"/>
      <c r="Y362" s="161"/>
      <c r="Z362" s="161"/>
      <c r="AA362" s="161"/>
      <c r="AB362" s="162"/>
      <c r="AC362" s="162"/>
      <c r="AD362" s="164"/>
      <c r="AE362" s="163"/>
      <c r="AF362" s="155"/>
      <c r="AG362" s="161"/>
      <c r="AH362" s="161"/>
      <c r="AI362" s="161"/>
      <c r="AJ362" s="162"/>
      <c r="AK362" s="162"/>
      <c r="AL362" s="164"/>
      <c r="AM362" s="163"/>
      <c r="AN362" s="155"/>
      <c r="AO362" s="161"/>
      <c r="AP362" s="161"/>
      <c r="AQ362" s="161"/>
      <c r="AR362" s="162"/>
      <c r="AS362" s="162"/>
      <c r="AT362" s="164"/>
      <c r="AU362" s="163"/>
    </row>
    <row r="363" spans="1:47" ht="15.95" customHeight="1" x14ac:dyDescent="0.2">
      <c r="A363" s="629"/>
      <c r="B363" s="629"/>
      <c r="C363" s="629"/>
      <c r="D363" s="630"/>
      <c r="E363" s="630"/>
      <c r="F363" s="631"/>
      <c r="G363" s="628" t="s">
        <v>169</v>
      </c>
      <c r="H363" s="113"/>
      <c r="I363" s="129"/>
      <c r="J363" s="129"/>
      <c r="K363" s="129"/>
      <c r="L363" s="130"/>
      <c r="M363" s="162"/>
      <c r="N363" s="162"/>
      <c r="O363" s="163"/>
      <c r="Q363" s="161"/>
      <c r="R363" s="161"/>
      <c r="S363" s="161"/>
      <c r="T363" s="162"/>
      <c r="U363" s="162"/>
      <c r="V363" s="164"/>
      <c r="W363" s="163"/>
      <c r="X363" s="155"/>
      <c r="Y363" s="161"/>
      <c r="Z363" s="161"/>
      <c r="AA363" s="161"/>
      <c r="AB363" s="162"/>
      <c r="AC363" s="162"/>
      <c r="AD363" s="164"/>
      <c r="AE363" s="163"/>
      <c r="AF363" s="155"/>
      <c r="AG363" s="161"/>
      <c r="AH363" s="161"/>
      <c r="AI363" s="161"/>
      <c r="AJ363" s="162"/>
      <c r="AK363" s="162"/>
      <c r="AL363" s="164"/>
      <c r="AM363" s="163"/>
      <c r="AN363" s="155"/>
      <c r="AO363" s="161"/>
      <c r="AP363" s="161"/>
      <c r="AQ363" s="161"/>
      <c r="AR363" s="162"/>
      <c r="AS363" s="162"/>
      <c r="AT363" s="164"/>
      <c r="AU363" s="163"/>
    </row>
    <row r="364" spans="1:47" ht="15.95" customHeight="1" x14ac:dyDescent="0.2">
      <c r="A364" s="629"/>
      <c r="B364" s="629"/>
      <c r="C364" s="629"/>
      <c r="D364" s="630"/>
      <c r="E364" s="630"/>
      <c r="F364" s="631"/>
      <c r="G364" s="628" t="s">
        <v>169</v>
      </c>
      <c r="H364" s="113"/>
      <c r="I364" s="129"/>
      <c r="J364" s="129"/>
      <c r="K364" s="129"/>
      <c r="L364" s="130"/>
      <c r="M364" s="162"/>
      <c r="N364" s="162"/>
      <c r="O364" s="163"/>
      <c r="Q364" s="161"/>
      <c r="R364" s="161"/>
      <c r="S364" s="161"/>
      <c r="T364" s="162"/>
      <c r="U364" s="162"/>
      <c r="V364" s="164"/>
      <c r="W364" s="163"/>
      <c r="X364" s="155"/>
      <c r="Y364" s="161"/>
      <c r="Z364" s="161"/>
      <c r="AA364" s="161"/>
      <c r="AB364" s="162"/>
      <c r="AC364" s="162"/>
      <c r="AD364" s="164"/>
      <c r="AE364" s="163"/>
      <c r="AF364" s="155"/>
      <c r="AG364" s="161"/>
      <c r="AH364" s="161"/>
      <c r="AI364" s="161"/>
      <c r="AJ364" s="162"/>
      <c r="AK364" s="162"/>
      <c r="AL364" s="164"/>
      <c r="AM364" s="163"/>
      <c r="AN364" s="155"/>
      <c r="AO364" s="161"/>
      <c r="AP364" s="161"/>
      <c r="AQ364" s="161"/>
      <c r="AR364" s="162"/>
      <c r="AS364" s="162"/>
      <c r="AT364" s="164"/>
      <c r="AU364" s="163"/>
    </row>
    <row r="365" spans="1:47" ht="15.95" customHeight="1" x14ac:dyDescent="0.2">
      <c r="A365" s="629"/>
      <c r="B365" s="629"/>
      <c r="C365" s="629"/>
      <c r="D365" s="630"/>
      <c r="E365" s="630"/>
      <c r="F365" s="631"/>
      <c r="G365" s="628" t="s">
        <v>169</v>
      </c>
      <c r="H365" s="113"/>
      <c r="I365" s="129"/>
      <c r="J365" s="129"/>
      <c r="K365" s="129"/>
      <c r="L365" s="130"/>
      <c r="M365" s="162"/>
      <c r="N365" s="162"/>
      <c r="O365" s="163"/>
      <c r="Q365" s="161"/>
      <c r="R365" s="161"/>
      <c r="S365" s="161"/>
      <c r="T365" s="162"/>
      <c r="U365" s="162"/>
      <c r="V365" s="164"/>
      <c r="W365" s="163"/>
      <c r="X365" s="155"/>
      <c r="Y365" s="161"/>
      <c r="Z365" s="161"/>
      <c r="AA365" s="161"/>
      <c r="AB365" s="162"/>
      <c r="AC365" s="162"/>
      <c r="AD365" s="164"/>
      <c r="AE365" s="163"/>
      <c r="AF365" s="155"/>
      <c r="AG365" s="161"/>
      <c r="AH365" s="161"/>
      <c r="AI365" s="161"/>
      <c r="AJ365" s="162"/>
      <c r="AK365" s="162"/>
      <c r="AL365" s="164"/>
      <c r="AM365" s="163"/>
      <c r="AN365" s="155"/>
      <c r="AO365" s="161"/>
      <c r="AP365" s="161"/>
      <c r="AQ365" s="161"/>
      <c r="AR365" s="162"/>
      <c r="AS365" s="162"/>
      <c r="AT365" s="164"/>
      <c r="AU365" s="163"/>
    </row>
    <row r="366" spans="1:47" ht="15.95" customHeight="1" x14ac:dyDescent="0.2">
      <c r="A366" s="629"/>
      <c r="B366" s="629"/>
      <c r="C366" s="629"/>
      <c r="D366" s="630"/>
      <c r="E366" s="630"/>
      <c r="F366" s="631"/>
      <c r="G366" s="628" t="s">
        <v>169</v>
      </c>
      <c r="H366" s="113"/>
      <c r="I366" s="129"/>
      <c r="J366" s="129"/>
      <c r="K366" s="129"/>
      <c r="L366" s="130"/>
      <c r="M366" s="162"/>
      <c r="N366" s="162"/>
      <c r="O366" s="163"/>
      <c r="Q366" s="161"/>
      <c r="R366" s="161"/>
      <c r="S366" s="161"/>
      <c r="T366" s="162"/>
      <c r="U366" s="162"/>
      <c r="V366" s="164"/>
      <c r="W366" s="163"/>
      <c r="X366" s="155"/>
      <c r="Y366" s="161"/>
      <c r="Z366" s="161"/>
      <c r="AA366" s="161"/>
      <c r="AB366" s="162"/>
      <c r="AC366" s="162"/>
      <c r="AD366" s="164"/>
      <c r="AE366" s="163"/>
      <c r="AF366" s="155"/>
      <c r="AG366" s="161"/>
      <c r="AH366" s="161"/>
      <c r="AI366" s="161"/>
      <c r="AJ366" s="162"/>
      <c r="AK366" s="162"/>
      <c r="AL366" s="164"/>
      <c r="AM366" s="163"/>
      <c r="AN366" s="155"/>
      <c r="AO366" s="161"/>
      <c r="AP366" s="161"/>
      <c r="AQ366" s="161"/>
      <c r="AR366" s="162"/>
      <c r="AS366" s="162"/>
      <c r="AT366" s="164"/>
      <c r="AU366" s="163"/>
    </row>
    <row r="367" spans="1:47" ht="15.95" customHeight="1" x14ac:dyDescent="0.2">
      <c r="A367" s="629"/>
      <c r="B367" s="629"/>
      <c r="C367" s="629"/>
      <c r="D367" s="630"/>
      <c r="E367" s="630"/>
      <c r="F367" s="631"/>
      <c r="G367" s="628" t="s">
        <v>169</v>
      </c>
      <c r="H367" s="113"/>
      <c r="I367" s="129"/>
      <c r="J367" s="129"/>
      <c r="K367" s="129"/>
      <c r="L367" s="130"/>
      <c r="M367" s="162"/>
      <c r="N367" s="162"/>
      <c r="O367" s="163"/>
      <c r="Q367" s="161"/>
      <c r="R367" s="161"/>
      <c r="S367" s="161"/>
      <c r="T367" s="162"/>
      <c r="U367" s="162"/>
      <c r="V367" s="164"/>
      <c r="W367" s="163"/>
      <c r="X367" s="155"/>
      <c r="Y367" s="161"/>
      <c r="Z367" s="161"/>
      <c r="AA367" s="161"/>
      <c r="AB367" s="162"/>
      <c r="AC367" s="162"/>
      <c r="AD367" s="164"/>
      <c r="AE367" s="163"/>
      <c r="AF367" s="155"/>
      <c r="AG367" s="161"/>
      <c r="AH367" s="161"/>
      <c r="AI367" s="161"/>
      <c r="AJ367" s="162"/>
      <c r="AK367" s="162"/>
      <c r="AL367" s="164"/>
      <c r="AM367" s="163"/>
      <c r="AN367" s="155"/>
      <c r="AO367" s="161"/>
      <c r="AP367" s="161"/>
      <c r="AQ367" s="161"/>
      <c r="AR367" s="162"/>
      <c r="AS367" s="162"/>
      <c r="AT367" s="164"/>
      <c r="AU367" s="163"/>
    </row>
    <row r="368" spans="1:47" ht="15.95" customHeight="1" x14ac:dyDescent="0.2">
      <c r="A368" s="629"/>
      <c r="B368" s="629"/>
      <c r="C368" s="629"/>
      <c r="D368" s="630"/>
      <c r="E368" s="630"/>
      <c r="F368" s="631"/>
      <c r="G368" s="628" t="s">
        <v>169</v>
      </c>
      <c r="H368" s="113"/>
      <c r="I368" s="129"/>
      <c r="J368" s="129"/>
      <c r="K368" s="129"/>
      <c r="L368" s="130"/>
      <c r="M368" s="162"/>
      <c r="N368" s="162"/>
      <c r="O368" s="163"/>
      <c r="Q368" s="161"/>
      <c r="R368" s="161"/>
      <c r="S368" s="161"/>
      <c r="T368" s="162"/>
      <c r="U368" s="162"/>
      <c r="V368" s="164"/>
      <c r="W368" s="163"/>
      <c r="X368" s="155"/>
      <c r="Y368" s="161"/>
      <c r="Z368" s="161"/>
      <c r="AA368" s="161"/>
      <c r="AB368" s="162"/>
      <c r="AC368" s="162"/>
      <c r="AD368" s="164"/>
      <c r="AE368" s="163"/>
      <c r="AF368" s="155"/>
      <c r="AG368" s="161"/>
      <c r="AH368" s="161"/>
      <c r="AI368" s="161"/>
      <c r="AJ368" s="162"/>
      <c r="AK368" s="162"/>
      <c r="AL368" s="164"/>
      <c r="AM368" s="163"/>
      <c r="AN368" s="155"/>
      <c r="AO368" s="161"/>
      <c r="AP368" s="161"/>
      <c r="AQ368" s="161"/>
      <c r="AR368" s="162"/>
      <c r="AS368" s="162"/>
      <c r="AT368" s="164"/>
      <c r="AU368" s="163"/>
    </row>
    <row r="369" spans="1:47" ht="15.95" customHeight="1" x14ac:dyDescent="0.2">
      <c r="A369" s="629"/>
      <c r="B369" s="629"/>
      <c r="C369" s="629"/>
      <c r="D369" s="630"/>
      <c r="E369" s="630"/>
      <c r="F369" s="631"/>
      <c r="G369" s="628" t="s">
        <v>169</v>
      </c>
      <c r="H369" s="113"/>
      <c r="I369" s="129"/>
      <c r="J369" s="129"/>
      <c r="K369" s="129"/>
      <c r="L369" s="130"/>
      <c r="M369" s="162"/>
      <c r="N369" s="162"/>
      <c r="O369" s="163"/>
      <c r="Q369" s="161"/>
      <c r="R369" s="161"/>
      <c r="S369" s="161"/>
      <c r="T369" s="162"/>
      <c r="U369" s="162"/>
      <c r="V369" s="164"/>
      <c r="W369" s="163"/>
      <c r="X369" s="155"/>
      <c r="Y369" s="161"/>
      <c r="Z369" s="161"/>
      <c r="AA369" s="161"/>
      <c r="AB369" s="162"/>
      <c r="AC369" s="162"/>
      <c r="AD369" s="164"/>
      <c r="AE369" s="163"/>
      <c r="AF369" s="155"/>
      <c r="AG369" s="161"/>
      <c r="AH369" s="161"/>
      <c r="AI369" s="161"/>
      <c r="AJ369" s="162"/>
      <c r="AK369" s="162"/>
      <c r="AL369" s="164"/>
      <c r="AM369" s="163"/>
      <c r="AN369" s="155"/>
      <c r="AO369" s="161"/>
      <c r="AP369" s="161"/>
      <c r="AQ369" s="161"/>
      <c r="AR369" s="162"/>
      <c r="AS369" s="162"/>
      <c r="AT369" s="164"/>
      <c r="AU369" s="163"/>
    </row>
    <row r="370" spans="1:47" ht="15.95" customHeight="1" x14ac:dyDescent="0.2">
      <c r="A370" s="629"/>
      <c r="B370" s="629"/>
      <c r="C370" s="629"/>
      <c r="D370" s="630"/>
      <c r="E370" s="630"/>
      <c r="F370" s="631"/>
      <c r="G370" s="628" t="s">
        <v>169</v>
      </c>
      <c r="H370" s="113"/>
      <c r="I370" s="129"/>
      <c r="J370" s="129"/>
      <c r="K370" s="129"/>
      <c r="L370" s="130"/>
      <c r="M370" s="162"/>
      <c r="N370" s="162"/>
      <c r="O370" s="163"/>
      <c r="Q370" s="161"/>
      <c r="R370" s="161"/>
      <c r="S370" s="161"/>
      <c r="T370" s="162"/>
      <c r="U370" s="162"/>
      <c r="V370" s="164"/>
      <c r="W370" s="163"/>
      <c r="X370" s="155"/>
      <c r="Y370" s="161"/>
      <c r="Z370" s="161"/>
      <c r="AA370" s="161"/>
      <c r="AB370" s="162"/>
      <c r="AC370" s="162"/>
      <c r="AD370" s="164"/>
      <c r="AE370" s="163"/>
      <c r="AF370" s="155"/>
      <c r="AG370" s="161"/>
      <c r="AH370" s="161"/>
      <c r="AI370" s="161"/>
      <c r="AJ370" s="162"/>
      <c r="AK370" s="162"/>
      <c r="AL370" s="164"/>
      <c r="AM370" s="163"/>
      <c r="AN370" s="155"/>
      <c r="AO370" s="161"/>
      <c r="AP370" s="161"/>
      <c r="AQ370" s="161"/>
      <c r="AR370" s="162"/>
      <c r="AS370" s="162"/>
      <c r="AT370" s="164"/>
      <c r="AU370" s="163"/>
    </row>
    <row r="371" spans="1:47" ht="15.95" customHeight="1" x14ac:dyDescent="0.2">
      <c r="A371" s="629"/>
      <c r="B371" s="629"/>
      <c r="C371" s="629"/>
      <c r="D371" s="630"/>
      <c r="E371" s="630"/>
      <c r="F371" s="631"/>
      <c r="G371" s="628" t="s">
        <v>169</v>
      </c>
      <c r="H371" s="113"/>
      <c r="I371" s="129"/>
      <c r="J371" s="129"/>
      <c r="K371" s="129"/>
      <c r="L371" s="130"/>
      <c r="M371" s="162"/>
      <c r="N371" s="162"/>
      <c r="O371" s="163"/>
      <c r="Q371" s="161"/>
      <c r="R371" s="161"/>
      <c r="S371" s="161"/>
      <c r="T371" s="162"/>
      <c r="U371" s="162"/>
      <c r="V371" s="164"/>
      <c r="W371" s="163"/>
      <c r="X371" s="155"/>
      <c r="Y371" s="161"/>
      <c r="Z371" s="161"/>
      <c r="AA371" s="161"/>
      <c r="AB371" s="162"/>
      <c r="AC371" s="162"/>
      <c r="AD371" s="164"/>
      <c r="AE371" s="163"/>
      <c r="AF371" s="155"/>
      <c r="AG371" s="161"/>
      <c r="AH371" s="161"/>
      <c r="AI371" s="161"/>
      <c r="AJ371" s="162"/>
      <c r="AK371" s="162"/>
      <c r="AL371" s="164"/>
      <c r="AM371" s="163"/>
      <c r="AN371" s="155"/>
      <c r="AO371" s="161"/>
      <c r="AP371" s="161"/>
      <c r="AQ371" s="161"/>
      <c r="AR371" s="162"/>
      <c r="AS371" s="162"/>
      <c r="AT371" s="164"/>
      <c r="AU371" s="163"/>
    </row>
    <row r="372" spans="1:47" ht="15.95" customHeight="1" x14ac:dyDescent="0.2">
      <c r="A372" s="629"/>
      <c r="B372" s="629"/>
      <c r="C372" s="629"/>
      <c r="D372" s="630"/>
      <c r="E372" s="630"/>
      <c r="F372" s="631"/>
      <c r="G372" s="628" t="s">
        <v>169</v>
      </c>
      <c r="H372" s="113"/>
      <c r="I372" s="129"/>
      <c r="J372" s="129"/>
      <c r="K372" s="129"/>
      <c r="L372" s="130"/>
      <c r="M372" s="162"/>
      <c r="N372" s="162"/>
      <c r="O372" s="163"/>
      <c r="Q372" s="161"/>
      <c r="R372" s="161"/>
      <c r="S372" s="161"/>
      <c r="T372" s="162"/>
      <c r="U372" s="162"/>
      <c r="V372" s="164"/>
      <c r="W372" s="163"/>
      <c r="X372" s="155"/>
      <c r="Y372" s="161"/>
      <c r="Z372" s="161"/>
      <c r="AA372" s="161"/>
      <c r="AB372" s="162"/>
      <c r="AC372" s="162"/>
      <c r="AD372" s="164"/>
      <c r="AE372" s="163"/>
      <c r="AF372" s="155"/>
      <c r="AG372" s="161"/>
      <c r="AH372" s="161"/>
      <c r="AI372" s="161"/>
      <c r="AJ372" s="162"/>
      <c r="AK372" s="162"/>
      <c r="AL372" s="164"/>
      <c r="AM372" s="163"/>
      <c r="AN372" s="155"/>
      <c r="AO372" s="161"/>
      <c r="AP372" s="161"/>
      <c r="AQ372" s="161"/>
      <c r="AR372" s="162"/>
      <c r="AS372" s="162"/>
      <c r="AT372" s="164"/>
      <c r="AU372" s="163"/>
    </row>
    <row r="373" spans="1:47" ht="15.95" customHeight="1" x14ac:dyDescent="0.2">
      <c r="A373" s="629"/>
      <c r="B373" s="629"/>
      <c r="C373" s="629"/>
      <c r="D373" s="630"/>
      <c r="E373" s="630"/>
      <c r="F373" s="631"/>
      <c r="G373" s="628" t="s">
        <v>169</v>
      </c>
      <c r="H373" s="113"/>
      <c r="I373" s="129"/>
      <c r="J373" s="129"/>
      <c r="K373" s="129"/>
      <c r="L373" s="130"/>
      <c r="M373" s="162"/>
      <c r="N373" s="162"/>
      <c r="O373" s="163"/>
      <c r="Q373" s="161"/>
      <c r="R373" s="161"/>
      <c r="S373" s="161"/>
      <c r="T373" s="162"/>
      <c r="U373" s="162"/>
      <c r="V373" s="164"/>
      <c r="W373" s="163"/>
      <c r="X373" s="155"/>
      <c r="Y373" s="161"/>
      <c r="Z373" s="161"/>
      <c r="AA373" s="161"/>
      <c r="AB373" s="162"/>
      <c r="AC373" s="162"/>
      <c r="AD373" s="164"/>
      <c r="AE373" s="163"/>
      <c r="AF373" s="155"/>
      <c r="AG373" s="161"/>
      <c r="AH373" s="161"/>
      <c r="AI373" s="161"/>
      <c r="AJ373" s="162"/>
      <c r="AK373" s="162"/>
      <c r="AL373" s="164"/>
      <c r="AM373" s="163"/>
      <c r="AN373" s="155"/>
      <c r="AO373" s="161"/>
      <c r="AP373" s="161"/>
      <c r="AQ373" s="161"/>
      <c r="AR373" s="162"/>
      <c r="AS373" s="162"/>
      <c r="AT373" s="164"/>
      <c r="AU373" s="163"/>
    </row>
    <row r="374" spans="1:47" ht="15.95" customHeight="1" x14ac:dyDescent="0.2">
      <c r="A374" s="629"/>
      <c r="B374" s="629"/>
      <c r="C374" s="629"/>
      <c r="D374" s="630"/>
      <c r="E374" s="630"/>
      <c r="F374" s="631"/>
      <c r="G374" s="628" t="s">
        <v>169</v>
      </c>
      <c r="H374" s="113"/>
      <c r="I374" s="129"/>
      <c r="J374" s="129"/>
      <c r="K374" s="129"/>
      <c r="L374" s="130"/>
      <c r="M374" s="162"/>
      <c r="N374" s="162"/>
      <c r="O374" s="163"/>
      <c r="Q374" s="161"/>
      <c r="R374" s="161"/>
      <c r="S374" s="161"/>
      <c r="T374" s="162"/>
      <c r="U374" s="162"/>
      <c r="V374" s="164"/>
      <c r="W374" s="163"/>
      <c r="X374" s="155"/>
      <c r="Y374" s="161"/>
      <c r="Z374" s="161"/>
      <c r="AA374" s="161"/>
      <c r="AB374" s="162"/>
      <c r="AC374" s="162"/>
      <c r="AD374" s="164"/>
      <c r="AE374" s="163"/>
      <c r="AF374" s="155"/>
      <c r="AG374" s="161"/>
      <c r="AH374" s="161"/>
      <c r="AI374" s="161"/>
      <c r="AJ374" s="162"/>
      <c r="AK374" s="162"/>
      <c r="AL374" s="164"/>
      <c r="AM374" s="163"/>
      <c r="AN374" s="155"/>
      <c r="AO374" s="161"/>
      <c r="AP374" s="161"/>
      <c r="AQ374" s="161"/>
      <c r="AR374" s="162"/>
      <c r="AS374" s="162"/>
      <c r="AT374" s="164"/>
      <c r="AU374" s="163"/>
    </row>
    <row r="375" spans="1:47" ht="15.95" customHeight="1" x14ac:dyDescent="0.2">
      <c r="A375" s="629"/>
      <c r="B375" s="629"/>
      <c r="C375" s="629"/>
      <c r="D375" s="630"/>
      <c r="E375" s="630"/>
      <c r="F375" s="631"/>
      <c r="G375" s="628" t="s">
        <v>169</v>
      </c>
      <c r="H375" s="113"/>
      <c r="I375" s="129"/>
      <c r="J375" s="129"/>
      <c r="K375" s="129"/>
      <c r="L375" s="130"/>
      <c r="M375" s="162"/>
      <c r="N375" s="162"/>
      <c r="O375" s="163"/>
      <c r="Q375" s="161"/>
      <c r="R375" s="161"/>
      <c r="S375" s="161"/>
      <c r="T375" s="162"/>
      <c r="U375" s="162"/>
      <c r="V375" s="164"/>
      <c r="W375" s="163"/>
      <c r="X375" s="155"/>
      <c r="Y375" s="161"/>
      <c r="Z375" s="161"/>
      <c r="AA375" s="161"/>
      <c r="AB375" s="162"/>
      <c r="AC375" s="162"/>
      <c r="AD375" s="164"/>
      <c r="AE375" s="163"/>
      <c r="AF375" s="155"/>
      <c r="AG375" s="161"/>
      <c r="AH375" s="161"/>
      <c r="AI375" s="161"/>
      <c r="AJ375" s="162"/>
      <c r="AK375" s="162"/>
      <c r="AL375" s="164"/>
      <c r="AM375" s="163"/>
      <c r="AN375" s="155"/>
      <c r="AO375" s="161"/>
      <c r="AP375" s="161"/>
      <c r="AQ375" s="161"/>
      <c r="AR375" s="162"/>
      <c r="AS375" s="162"/>
      <c r="AT375" s="164"/>
      <c r="AU375" s="163"/>
    </row>
    <row r="376" spans="1:47" ht="15.95" customHeight="1" x14ac:dyDescent="0.2">
      <c r="A376" s="629"/>
      <c r="B376" s="629"/>
      <c r="C376" s="629"/>
      <c r="D376" s="630"/>
      <c r="E376" s="630"/>
      <c r="F376" s="631"/>
      <c r="G376" s="628" t="s">
        <v>169</v>
      </c>
      <c r="H376" s="113"/>
      <c r="I376" s="129"/>
      <c r="J376" s="129"/>
      <c r="K376" s="129"/>
      <c r="L376" s="130"/>
      <c r="M376" s="162"/>
      <c r="N376" s="162"/>
      <c r="O376" s="163"/>
      <c r="Q376" s="161"/>
      <c r="R376" s="161"/>
      <c r="S376" s="161"/>
      <c r="T376" s="162"/>
      <c r="U376" s="162"/>
      <c r="V376" s="164"/>
      <c r="W376" s="163"/>
      <c r="X376" s="155"/>
      <c r="Y376" s="161"/>
      <c r="Z376" s="161"/>
      <c r="AA376" s="161"/>
      <c r="AB376" s="162"/>
      <c r="AC376" s="162"/>
      <c r="AD376" s="164"/>
      <c r="AE376" s="163"/>
      <c r="AF376" s="155"/>
      <c r="AG376" s="161"/>
      <c r="AH376" s="161"/>
      <c r="AI376" s="161"/>
      <c r="AJ376" s="162"/>
      <c r="AK376" s="162"/>
      <c r="AL376" s="164"/>
      <c r="AM376" s="163"/>
      <c r="AN376" s="155"/>
      <c r="AO376" s="161"/>
      <c r="AP376" s="161"/>
      <c r="AQ376" s="161"/>
      <c r="AR376" s="162"/>
      <c r="AS376" s="162"/>
      <c r="AT376" s="164"/>
      <c r="AU376" s="163"/>
    </row>
    <row r="377" spans="1:47" ht="15.95" customHeight="1" x14ac:dyDescent="0.2">
      <c r="A377" s="629"/>
      <c r="B377" s="629"/>
      <c r="C377" s="629"/>
      <c r="D377" s="630"/>
      <c r="E377" s="630"/>
      <c r="F377" s="631"/>
      <c r="G377" s="628" t="s">
        <v>169</v>
      </c>
      <c r="H377" s="113"/>
      <c r="I377" s="129"/>
      <c r="J377" s="129"/>
      <c r="K377" s="129"/>
      <c r="L377" s="130"/>
      <c r="M377" s="162"/>
      <c r="N377" s="162"/>
      <c r="O377" s="163"/>
      <c r="Q377" s="161"/>
      <c r="R377" s="161"/>
      <c r="S377" s="161"/>
      <c r="T377" s="162"/>
      <c r="U377" s="162"/>
      <c r="V377" s="164"/>
      <c r="W377" s="163"/>
      <c r="X377" s="155"/>
      <c r="Y377" s="161"/>
      <c r="Z377" s="161"/>
      <c r="AA377" s="161"/>
      <c r="AB377" s="162"/>
      <c r="AC377" s="162"/>
      <c r="AD377" s="164"/>
      <c r="AE377" s="163"/>
      <c r="AF377" s="155"/>
      <c r="AG377" s="161"/>
      <c r="AH377" s="161"/>
      <c r="AI377" s="161"/>
      <c r="AJ377" s="162"/>
      <c r="AK377" s="162"/>
      <c r="AL377" s="164"/>
      <c r="AM377" s="163"/>
      <c r="AN377" s="155"/>
      <c r="AO377" s="161"/>
      <c r="AP377" s="161"/>
      <c r="AQ377" s="161"/>
      <c r="AR377" s="162"/>
      <c r="AS377" s="162"/>
      <c r="AT377" s="164"/>
      <c r="AU377" s="163"/>
    </row>
    <row r="378" spans="1:47" ht="15.95" customHeight="1" x14ac:dyDescent="0.2">
      <c r="A378" s="629"/>
      <c r="B378" s="629"/>
      <c r="C378" s="629"/>
      <c r="D378" s="630"/>
      <c r="E378" s="630"/>
      <c r="F378" s="631"/>
      <c r="G378" s="628" t="s">
        <v>169</v>
      </c>
      <c r="H378" s="113"/>
      <c r="I378" s="129"/>
      <c r="J378" s="129"/>
      <c r="K378" s="129"/>
      <c r="L378" s="130"/>
      <c r="M378" s="162"/>
      <c r="N378" s="162"/>
      <c r="O378" s="163"/>
      <c r="Q378" s="161"/>
      <c r="R378" s="161"/>
      <c r="S378" s="161"/>
      <c r="T378" s="162"/>
      <c r="U378" s="162"/>
      <c r="V378" s="164"/>
      <c r="W378" s="163"/>
      <c r="X378" s="155"/>
      <c r="Y378" s="161"/>
      <c r="Z378" s="161"/>
      <c r="AA378" s="161"/>
      <c r="AB378" s="162"/>
      <c r="AC378" s="162"/>
      <c r="AD378" s="164"/>
      <c r="AE378" s="163"/>
      <c r="AF378" s="155"/>
      <c r="AG378" s="161"/>
      <c r="AH378" s="161"/>
      <c r="AI378" s="161"/>
      <c r="AJ378" s="162"/>
      <c r="AK378" s="162"/>
      <c r="AL378" s="164"/>
      <c r="AM378" s="163"/>
      <c r="AN378" s="155"/>
      <c r="AO378" s="161"/>
      <c r="AP378" s="161"/>
      <c r="AQ378" s="161"/>
      <c r="AR378" s="162"/>
      <c r="AS378" s="162"/>
      <c r="AT378" s="164"/>
      <c r="AU378" s="163"/>
    </row>
    <row r="379" spans="1:47" ht="15.95" customHeight="1" x14ac:dyDescent="0.2">
      <c r="A379" s="629"/>
      <c r="B379" s="629"/>
      <c r="C379" s="629"/>
      <c r="D379" s="630"/>
      <c r="E379" s="630"/>
      <c r="F379" s="631"/>
      <c r="G379" s="628" t="s">
        <v>169</v>
      </c>
      <c r="H379" s="113"/>
      <c r="I379" s="129"/>
      <c r="J379" s="129"/>
      <c r="K379" s="129"/>
      <c r="L379" s="130"/>
      <c r="M379" s="162"/>
      <c r="N379" s="162"/>
      <c r="O379" s="163"/>
      <c r="Q379" s="161"/>
      <c r="R379" s="161"/>
      <c r="S379" s="161"/>
      <c r="T379" s="162"/>
      <c r="U379" s="162"/>
      <c r="V379" s="164"/>
      <c r="W379" s="163"/>
      <c r="X379" s="155"/>
      <c r="Y379" s="161"/>
      <c r="Z379" s="161"/>
      <c r="AA379" s="161"/>
      <c r="AB379" s="162"/>
      <c r="AC379" s="162"/>
      <c r="AD379" s="164"/>
      <c r="AE379" s="163"/>
      <c r="AF379" s="155"/>
      <c r="AG379" s="161"/>
      <c r="AH379" s="161"/>
      <c r="AI379" s="161"/>
      <c r="AJ379" s="162"/>
      <c r="AK379" s="162"/>
      <c r="AL379" s="164"/>
      <c r="AM379" s="163"/>
      <c r="AN379" s="155"/>
      <c r="AO379" s="161"/>
      <c r="AP379" s="161"/>
      <c r="AQ379" s="161"/>
      <c r="AR379" s="162"/>
      <c r="AS379" s="162"/>
      <c r="AT379" s="164"/>
      <c r="AU379" s="163"/>
    </row>
    <row r="380" spans="1:47" ht="15.95" customHeight="1" x14ac:dyDescent="0.2">
      <c r="A380" s="629"/>
      <c r="B380" s="629"/>
      <c r="C380" s="629"/>
      <c r="D380" s="630"/>
      <c r="E380" s="630"/>
      <c r="F380" s="631"/>
      <c r="G380" s="628" t="s">
        <v>169</v>
      </c>
      <c r="H380" s="113"/>
      <c r="I380" s="129"/>
      <c r="J380" s="129"/>
      <c r="K380" s="129"/>
      <c r="L380" s="130"/>
      <c r="M380" s="162"/>
      <c r="N380" s="162"/>
      <c r="O380" s="163"/>
      <c r="Q380" s="161"/>
      <c r="R380" s="161"/>
      <c r="S380" s="161"/>
      <c r="T380" s="162"/>
      <c r="U380" s="162"/>
      <c r="V380" s="164"/>
      <c r="W380" s="163"/>
      <c r="X380" s="155"/>
      <c r="Y380" s="161"/>
      <c r="Z380" s="161"/>
      <c r="AA380" s="161"/>
      <c r="AB380" s="162"/>
      <c r="AC380" s="162"/>
      <c r="AD380" s="164"/>
      <c r="AE380" s="163"/>
      <c r="AF380" s="155"/>
      <c r="AG380" s="161"/>
      <c r="AH380" s="161"/>
      <c r="AI380" s="161"/>
      <c r="AJ380" s="162"/>
      <c r="AK380" s="162"/>
      <c r="AL380" s="164"/>
      <c r="AM380" s="163"/>
      <c r="AN380" s="155"/>
      <c r="AO380" s="161"/>
      <c r="AP380" s="161"/>
      <c r="AQ380" s="161"/>
      <c r="AR380" s="162"/>
      <c r="AS380" s="162"/>
      <c r="AT380" s="164"/>
      <c r="AU380" s="163"/>
    </row>
    <row r="381" spans="1:47" ht="15.95" customHeight="1" x14ac:dyDescent="0.2">
      <c r="A381" s="629"/>
      <c r="B381" s="629"/>
      <c r="C381" s="629"/>
      <c r="D381" s="630"/>
      <c r="E381" s="630"/>
      <c r="F381" s="631"/>
      <c r="G381" s="628" t="s">
        <v>169</v>
      </c>
      <c r="H381" s="113"/>
      <c r="I381" s="129"/>
      <c r="J381" s="129"/>
      <c r="K381" s="129"/>
      <c r="L381" s="130"/>
      <c r="M381" s="162"/>
      <c r="N381" s="162"/>
      <c r="O381" s="163"/>
      <c r="Q381" s="161"/>
      <c r="R381" s="161"/>
      <c r="S381" s="161"/>
      <c r="T381" s="162"/>
      <c r="U381" s="162"/>
      <c r="V381" s="164"/>
      <c r="W381" s="163"/>
      <c r="X381" s="155"/>
      <c r="Y381" s="161"/>
      <c r="Z381" s="161"/>
      <c r="AA381" s="161"/>
      <c r="AB381" s="162"/>
      <c r="AC381" s="162"/>
      <c r="AD381" s="164"/>
      <c r="AE381" s="163"/>
      <c r="AF381" s="155"/>
      <c r="AG381" s="161"/>
      <c r="AH381" s="161"/>
      <c r="AI381" s="161"/>
      <c r="AJ381" s="162"/>
      <c r="AK381" s="162"/>
      <c r="AL381" s="164"/>
      <c r="AM381" s="163"/>
      <c r="AN381" s="155"/>
      <c r="AO381" s="161"/>
      <c r="AP381" s="161"/>
      <c r="AQ381" s="161"/>
      <c r="AR381" s="162"/>
      <c r="AS381" s="162"/>
      <c r="AT381" s="164"/>
      <c r="AU381" s="163"/>
    </row>
    <row r="382" spans="1:47" ht="15.95" customHeight="1" x14ac:dyDescent="0.2">
      <c r="A382" s="629"/>
      <c r="B382" s="629"/>
      <c r="C382" s="629"/>
      <c r="D382" s="630"/>
      <c r="E382" s="630"/>
      <c r="F382" s="631"/>
      <c r="G382" s="628" t="s">
        <v>169</v>
      </c>
      <c r="H382" s="113"/>
      <c r="I382" s="129"/>
      <c r="J382" s="129"/>
      <c r="K382" s="129"/>
      <c r="L382" s="130"/>
      <c r="M382" s="162"/>
      <c r="N382" s="162"/>
      <c r="O382" s="163"/>
      <c r="Q382" s="161"/>
      <c r="R382" s="161"/>
      <c r="S382" s="161"/>
      <c r="T382" s="162"/>
      <c r="U382" s="162"/>
      <c r="V382" s="164"/>
      <c r="W382" s="163"/>
      <c r="X382" s="155"/>
      <c r="Y382" s="161"/>
      <c r="Z382" s="161"/>
      <c r="AA382" s="161"/>
      <c r="AB382" s="162"/>
      <c r="AC382" s="162"/>
      <c r="AD382" s="164"/>
      <c r="AE382" s="163"/>
      <c r="AF382" s="155"/>
      <c r="AG382" s="161"/>
      <c r="AH382" s="161"/>
      <c r="AI382" s="161"/>
      <c r="AJ382" s="162"/>
      <c r="AK382" s="162"/>
      <c r="AL382" s="164"/>
      <c r="AM382" s="163"/>
      <c r="AN382" s="155"/>
      <c r="AO382" s="161"/>
      <c r="AP382" s="161"/>
      <c r="AQ382" s="161"/>
      <c r="AR382" s="162"/>
      <c r="AS382" s="162"/>
      <c r="AT382" s="164"/>
      <c r="AU382" s="163"/>
    </row>
    <row r="383" spans="1:47" ht="15.95" customHeight="1" x14ac:dyDescent="0.2">
      <c r="A383" s="629"/>
      <c r="B383" s="629"/>
      <c r="C383" s="629"/>
      <c r="D383" s="630"/>
      <c r="E383" s="630"/>
      <c r="F383" s="631"/>
      <c r="G383" s="628" t="s">
        <v>169</v>
      </c>
      <c r="H383" s="113"/>
      <c r="I383" s="129"/>
      <c r="J383" s="129"/>
      <c r="K383" s="129"/>
      <c r="L383" s="130"/>
      <c r="M383" s="162"/>
      <c r="N383" s="162"/>
      <c r="O383" s="163"/>
      <c r="Q383" s="161"/>
      <c r="R383" s="161"/>
      <c r="S383" s="161"/>
      <c r="T383" s="162"/>
      <c r="U383" s="162"/>
      <c r="V383" s="164"/>
      <c r="W383" s="163"/>
      <c r="X383" s="155"/>
      <c r="Y383" s="161"/>
      <c r="Z383" s="161"/>
      <c r="AA383" s="161"/>
      <c r="AB383" s="162"/>
      <c r="AC383" s="162"/>
      <c r="AD383" s="164"/>
      <c r="AE383" s="163"/>
      <c r="AF383" s="155"/>
      <c r="AG383" s="161"/>
      <c r="AH383" s="161"/>
      <c r="AI383" s="161"/>
      <c r="AJ383" s="162"/>
      <c r="AK383" s="162"/>
      <c r="AL383" s="164"/>
      <c r="AM383" s="163"/>
      <c r="AN383" s="155"/>
      <c r="AO383" s="161"/>
      <c r="AP383" s="161"/>
      <c r="AQ383" s="161"/>
      <c r="AR383" s="162"/>
      <c r="AS383" s="162"/>
      <c r="AT383" s="164"/>
      <c r="AU383" s="163"/>
    </row>
    <row r="384" spans="1:47" ht="15.95" customHeight="1" x14ac:dyDescent="0.2">
      <c r="A384" s="629"/>
      <c r="B384" s="629"/>
      <c r="C384" s="629"/>
      <c r="D384" s="630"/>
      <c r="E384" s="630"/>
      <c r="F384" s="631"/>
      <c r="G384" s="628" t="s">
        <v>169</v>
      </c>
      <c r="H384" s="113"/>
      <c r="I384" s="129"/>
      <c r="J384" s="129"/>
      <c r="K384" s="129"/>
      <c r="L384" s="130"/>
      <c r="M384" s="162"/>
      <c r="N384" s="162"/>
      <c r="O384" s="163"/>
      <c r="Q384" s="161"/>
      <c r="R384" s="161"/>
      <c r="S384" s="161"/>
      <c r="T384" s="162"/>
      <c r="U384" s="162"/>
      <c r="V384" s="164"/>
      <c r="W384" s="163"/>
      <c r="X384" s="155"/>
      <c r="Y384" s="161"/>
      <c r="Z384" s="161"/>
      <c r="AA384" s="161"/>
      <c r="AB384" s="162"/>
      <c r="AC384" s="162"/>
      <c r="AD384" s="164"/>
      <c r="AE384" s="163"/>
      <c r="AF384" s="155"/>
      <c r="AG384" s="161"/>
      <c r="AH384" s="161"/>
      <c r="AI384" s="161"/>
      <c r="AJ384" s="162"/>
      <c r="AK384" s="162"/>
      <c r="AL384" s="164"/>
      <c r="AM384" s="163"/>
      <c r="AN384" s="155"/>
      <c r="AO384" s="161"/>
      <c r="AP384" s="161"/>
      <c r="AQ384" s="161"/>
      <c r="AR384" s="162"/>
      <c r="AS384" s="162"/>
      <c r="AT384" s="164"/>
      <c r="AU384" s="163"/>
    </row>
    <row r="385" spans="1:47" ht="15.95" customHeight="1" x14ac:dyDescent="0.2">
      <c r="A385" s="629"/>
      <c r="B385" s="629"/>
      <c r="C385" s="629"/>
      <c r="D385" s="630"/>
      <c r="E385" s="630"/>
      <c r="F385" s="631"/>
      <c r="G385" s="628" t="s">
        <v>169</v>
      </c>
      <c r="H385" s="113"/>
      <c r="I385" s="129"/>
      <c r="J385" s="129"/>
      <c r="K385" s="129"/>
      <c r="L385" s="130"/>
      <c r="M385" s="162"/>
      <c r="N385" s="162"/>
      <c r="O385" s="163"/>
      <c r="Q385" s="161"/>
      <c r="R385" s="161"/>
      <c r="S385" s="161"/>
      <c r="T385" s="162"/>
      <c r="U385" s="162"/>
      <c r="V385" s="164"/>
      <c r="W385" s="163"/>
      <c r="X385" s="155"/>
      <c r="Y385" s="161"/>
      <c r="Z385" s="161"/>
      <c r="AA385" s="161"/>
      <c r="AB385" s="162"/>
      <c r="AC385" s="162"/>
      <c r="AD385" s="164"/>
      <c r="AE385" s="163"/>
      <c r="AF385" s="155"/>
      <c r="AG385" s="161"/>
      <c r="AH385" s="161"/>
      <c r="AI385" s="161"/>
      <c r="AJ385" s="162"/>
      <c r="AK385" s="162"/>
      <c r="AL385" s="164"/>
      <c r="AM385" s="163"/>
      <c r="AN385" s="155"/>
      <c r="AO385" s="161"/>
      <c r="AP385" s="161"/>
      <c r="AQ385" s="161"/>
      <c r="AR385" s="162"/>
      <c r="AS385" s="162"/>
      <c r="AT385" s="164"/>
      <c r="AU385" s="163"/>
    </row>
    <row r="386" spans="1:47" ht="15.95" customHeight="1" x14ac:dyDescent="0.2">
      <c r="A386" s="629"/>
      <c r="B386" s="629"/>
      <c r="C386" s="629"/>
      <c r="D386" s="630"/>
      <c r="E386" s="630"/>
      <c r="F386" s="631"/>
      <c r="G386" s="628" t="s">
        <v>169</v>
      </c>
      <c r="H386" s="113"/>
      <c r="I386" s="129"/>
      <c r="J386" s="129"/>
      <c r="K386" s="129"/>
      <c r="L386" s="130"/>
      <c r="M386" s="162"/>
      <c r="N386" s="162"/>
      <c r="O386" s="163"/>
      <c r="Q386" s="161"/>
      <c r="R386" s="161"/>
      <c r="S386" s="161"/>
      <c r="T386" s="162"/>
      <c r="U386" s="162"/>
      <c r="V386" s="164"/>
      <c r="W386" s="163"/>
      <c r="X386" s="155"/>
      <c r="Y386" s="161"/>
      <c r="Z386" s="161"/>
      <c r="AA386" s="161"/>
      <c r="AB386" s="162"/>
      <c r="AC386" s="162"/>
      <c r="AD386" s="164"/>
      <c r="AE386" s="163"/>
      <c r="AF386" s="155"/>
      <c r="AG386" s="161"/>
      <c r="AH386" s="161"/>
      <c r="AI386" s="161"/>
      <c r="AJ386" s="162"/>
      <c r="AK386" s="162"/>
      <c r="AL386" s="164"/>
      <c r="AM386" s="163"/>
      <c r="AN386" s="155"/>
      <c r="AO386" s="161"/>
      <c r="AP386" s="161"/>
      <c r="AQ386" s="161"/>
      <c r="AR386" s="162"/>
      <c r="AS386" s="162"/>
      <c r="AT386" s="164"/>
      <c r="AU386" s="163"/>
    </row>
    <row r="387" spans="1:47" ht="15.95" customHeight="1" x14ac:dyDescent="0.2">
      <c r="A387" s="629"/>
      <c r="B387" s="629"/>
      <c r="C387" s="629"/>
      <c r="D387" s="630"/>
      <c r="E387" s="630"/>
      <c r="F387" s="631"/>
      <c r="G387" s="628" t="s">
        <v>169</v>
      </c>
      <c r="H387" s="113"/>
      <c r="I387" s="129"/>
      <c r="J387" s="129"/>
      <c r="K387" s="129"/>
      <c r="L387" s="130"/>
      <c r="M387" s="162"/>
      <c r="N387" s="162"/>
      <c r="O387" s="163"/>
      <c r="Q387" s="161"/>
      <c r="R387" s="161"/>
      <c r="S387" s="161"/>
      <c r="T387" s="162"/>
      <c r="U387" s="162"/>
      <c r="V387" s="164"/>
      <c r="W387" s="163"/>
      <c r="X387" s="155"/>
      <c r="Y387" s="161"/>
      <c r="Z387" s="161"/>
      <c r="AA387" s="161"/>
      <c r="AB387" s="162"/>
      <c r="AC387" s="162"/>
      <c r="AD387" s="164"/>
      <c r="AE387" s="163"/>
      <c r="AF387" s="155"/>
      <c r="AG387" s="161"/>
      <c r="AH387" s="161"/>
      <c r="AI387" s="161"/>
      <c r="AJ387" s="162"/>
      <c r="AK387" s="162"/>
      <c r="AL387" s="164"/>
      <c r="AM387" s="163"/>
      <c r="AN387" s="155"/>
      <c r="AO387" s="161"/>
      <c r="AP387" s="161"/>
      <c r="AQ387" s="161"/>
      <c r="AR387" s="162"/>
      <c r="AS387" s="162"/>
      <c r="AT387" s="164"/>
      <c r="AU387" s="163"/>
    </row>
    <row r="388" spans="1:47" ht="15.95" customHeight="1" x14ac:dyDescent="0.2">
      <c r="A388" s="629"/>
      <c r="B388" s="629"/>
      <c r="C388" s="629"/>
      <c r="D388" s="630"/>
      <c r="E388" s="630"/>
      <c r="F388" s="631"/>
      <c r="G388" s="628" t="s">
        <v>169</v>
      </c>
      <c r="H388" s="113"/>
      <c r="I388" s="129"/>
      <c r="J388" s="129"/>
      <c r="K388" s="129"/>
      <c r="L388" s="130"/>
      <c r="M388" s="162"/>
      <c r="N388" s="162"/>
      <c r="O388" s="163"/>
      <c r="Q388" s="161"/>
      <c r="R388" s="161"/>
      <c r="S388" s="161"/>
      <c r="T388" s="162"/>
      <c r="U388" s="162"/>
      <c r="V388" s="164"/>
      <c r="W388" s="163"/>
      <c r="X388" s="155"/>
      <c r="Y388" s="161"/>
      <c r="Z388" s="161"/>
      <c r="AA388" s="161"/>
      <c r="AB388" s="162"/>
      <c r="AC388" s="162"/>
      <c r="AD388" s="164"/>
      <c r="AE388" s="163"/>
      <c r="AF388" s="155"/>
      <c r="AG388" s="161"/>
      <c r="AH388" s="161"/>
      <c r="AI388" s="161"/>
      <c r="AJ388" s="162"/>
      <c r="AK388" s="162"/>
      <c r="AL388" s="164"/>
      <c r="AM388" s="163"/>
      <c r="AN388" s="155"/>
      <c r="AO388" s="161"/>
      <c r="AP388" s="161"/>
      <c r="AQ388" s="161"/>
      <c r="AR388" s="162"/>
      <c r="AS388" s="162"/>
      <c r="AT388" s="164"/>
      <c r="AU388" s="163"/>
    </row>
    <row r="389" spans="1:47" ht="15.95" customHeight="1" x14ac:dyDescent="0.2">
      <c r="A389" s="629"/>
      <c r="B389" s="629"/>
      <c r="C389" s="629"/>
      <c r="D389" s="630"/>
      <c r="E389" s="630"/>
      <c r="F389" s="631"/>
      <c r="G389" s="628" t="s">
        <v>169</v>
      </c>
      <c r="H389" s="113"/>
      <c r="I389" s="129"/>
      <c r="J389" s="129"/>
      <c r="K389" s="129"/>
      <c r="L389" s="130"/>
      <c r="M389" s="162"/>
      <c r="N389" s="162"/>
      <c r="O389" s="163"/>
      <c r="Q389" s="161"/>
      <c r="R389" s="161"/>
      <c r="S389" s="161"/>
      <c r="T389" s="162"/>
      <c r="U389" s="162"/>
      <c r="V389" s="164"/>
      <c r="W389" s="163"/>
      <c r="X389" s="155"/>
      <c r="Y389" s="161"/>
      <c r="Z389" s="161"/>
      <c r="AA389" s="161"/>
      <c r="AB389" s="162"/>
      <c r="AC389" s="162"/>
      <c r="AD389" s="164"/>
      <c r="AE389" s="163"/>
      <c r="AF389" s="155"/>
      <c r="AG389" s="161"/>
      <c r="AH389" s="161"/>
      <c r="AI389" s="161"/>
      <c r="AJ389" s="162"/>
      <c r="AK389" s="162"/>
      <c r="AL389" s="164"/>
      <c r="AM389" s="163"/>
      <c r="AN389" s="155"/>
      <c r="AO389" s="161"/>
      <c r="AP389" s="161"/>
      <c r="AQ389" s="161"/>
      <c r="AR389" s="162"/>
      <c r="AS389" s="162"/>
      <c r="AT389" s="164"/>
      <c r="AU389" s="163"/>
    </row>
    <row r="390" spans="1:47" ht="15.95" customHeight="1" x14ac:dyDescent="0.2">
      <c r="A390" s="629"/>
      <c r="B390" s="629"/>
      <c r="C390" s="629"/>
      <c r="D390" s="630"/>
      <c r="E390" s="630"/>
      <c r="F390" s="631"/>
      <c r="G390" s="628" t="s">
        <v>169</v>
      </c>
      <c r="H390" s="113"/>
      <c r="I390" s="129"/>
      <c r="J390" s="129"/>
      <c r="K390" s="129"/>
      <c r="L390" s="130"/>
      <c r="M390" s="162"/>
      <c r="N390" s="162"/>
      <c r="O390" s="163"/>
      <c r="Q390" s="161"/>
      <c r="R390" s="161"/>
      <c r="S390" s="161"/>
      <c r="T390" s="162"/>
      <c r="U390" s="162"/>
      <c r="V390" s="164"/>
      <c r="W390" s="163"/>
      <c r="X390" s="155"/>
      <c r="Y390" s="161"/>
      <c r="Z390" s="161"/>
      <c r="AA390" s="161"/>
      <c r="AB390" s="162"/>
      <c r="AC390" s="162"/>
      <c r="AD390" s="164"/>
      <c r="AE390" s="163"/>
      <c r="AF390" s="155"/>
      <c r="AG390" s="161"/>
      <c r="AH390" s="161"/>
      <c r="AI390" s="161"/>
      <c r="AJ390" s="162"/>
      <c r="AK390" s="162"/>
      <c r="AL390" s="164"/>
      <c r="AM390" s="163"/>
      <c r="AN390" s="155"/>
      <c r="AO390" s="161"/>
      <c r="AP390" s="161"/>
      <c r="AQ390" s="161"/>
      <c r="AR390" s="162"/>
      <c r="AS390" s="162"/>
      <c r="AT390" s="164"/>
      <c r="AU390" s="163"/>
    </row>
    <row r="391" spans="1:47" ht="15.95" customHeight="1" x14ac:dyDescent="0.2">
      <c r="A391" s="629"/>
      <c r="B391" s="629"/>
      <c r="C391" s="629"/>
      <c r="D391" s="630"/>
      <c r="E391" s="630"/>
      <c r="F391" s="631"/>
      <c r="G391" s="628" t="s">
        <v>169</v>
      </c>
      <c r="H391" s="113"/>
      <c r="I391" s="129"/>
      <c r="J391" s="129"/>
      <c r="K391" s="129"/>
      <c r="L391" s="130"/>
      <c r="M391" s="162"/>
      <c r="N391" s="162"/>
      <c r="O391" s="163"/>
      <c r="Q391" s="161"/>
      <c r="R391" s="161"/>
      <c r="S391" s="161"/>
      <c r="T391" s="162"/>
      <c r="U391" s="162"/>
      <c r="V391" s="164"/>
      <c r="W391" s="163"/>
      <c r="X391" s="155"/>
      <c r="Y391" s="161"/>
      <c r="Z391" s="161"/>
      <c r="AA391" s="161"/>
      <c r="AB391" s="162"/>
      <c r="AC391" s="162"/>
      <c r="AD391" s="164"/>
      <c r="AE391" s="163"/>
      <c r="AF391" s="155"/>
      <c r="AG391" s="161"/>
      <c r="AH391" s="161"/>
      <c r="AI391" s="161"/>
      <c r="AJ391" s="162"/>
      <c r="AK391" s="162"/>
      <c r="AL391" s="164"/>
      <c r="AM391" s="163"/>
      <c r="AN391" s="155"/>
      <c r="AO391" s="161"/>
      <c r="AP391" s="161"/>
      <c r="AQ391" s="161"/>
      <c r="AR391" s="162"/>
      <c r="AS391" s="162"/>
      <c r="AT391" s="164"/>
      <c r="AU391" s="163"/>
    </row>
    <row r="392" spans="1:47" ht="15.95" customHeight="1" x14ac:dyDescent="0.2">
      <c r="A392" s="629"/>
      <c r="B392" s="629"/>
      <c r="C392" s="629"/>
      <c r="D392" s="630"/>
      <c r="E392" s="630"/>
      <c r="F392" s="631"/>
      <c r="G392" s="628" t="s">
        <v>169</v>
      </c>
      <c r="H392" s="113"/>
      <c r="I392" s="129"/>
      <c r="J392" s="129"/>
      <c r="K392" s="129"/>
      <c r="L392" s="130"/>
      <c r="M392" s="162"/>
      <c r="N392" s="162"/>
      <c r="O392" s="163"/>
      <c r="Q392" s="161"/>
      <c r="R392" s="161"/>
      <c r="S392" s="161"/>
      <c r="T392" s="162"/>
      <c r="U392" s="162"/>
      <c r="V392" s="164"/>
      <c r="W392" s="163"/>
      <c r="X392" s="155"/>
      <c r="Y392" s="161"/>
      <c r="Z392" s="161"/>
      <c r="AA392" s="161"/>
      <c r="AB392" s="162"/>
      <c r="AC392" s="162"/>
      <c r="AD392" s="164"/>
      <c r="AE392" s="163"/>
      <c r="AF392" s="155"/>
      <c r="AG392" s="161"/>
      <c r="AH392" s="161"/>
      <c r="AI392" s="161"/>
      <c r="AJ392" s="162"/>
      <c r="AK392" s="162"/>
      <c r="AL392" s="164"/>
      <c r="AM392" s="163"/>
      <c r="AN392" s="155"/>
      <c r="AO392" s="161"/>
      <c r="AP392" s="161"/>
      <c r="AQ392" s="161"/>
      <c r="AR392" s="162"/>
      <c r="AS392" s="162"/>
      <c r="AT392" s="164"/>
      <c r="AU392" s="163"/>
    </row>
    <row r="393" spans="1:47" ht="15.95" customHeight="1" x14ac:dyDescent="0.2">
      <c r="A393" s="629"/>
      <c r="B393" s="629"/>
      <c r="C393" s="629"/>
      <c r="D393" s="630"/>
      <c r="E393" s="630"/>
      <c r="F393" s="631"/>
      <c r="G393" s="628" t="s">
        <v>169</v>
      </c>
      <c r="H393" s="113"/>
      <c r="I393" s="129"/>
      <c r="J393" s="129"/>
      <c r="K393" s="129"/>
      <c r="L393" s="130"/>
      <c r="M393" s="162"/>
      <c r="N393" s="162"/>
      <c r="O393" s="163"/>
      <c r="Q393" s="161"/>
      <c r="R393" s="161"/>
      <c r="S393" s="161"/>
      <c r="T393" s="162"/>
      <c r="U393" s="162"/>
      <c r="V393" s="164"/>
      <c r="W393" s="163"/>
      <c r="X393" s="155"/>
      <c r="Y393" s="161"/>
      <c r="Z393" s="161"/>
      <c r="AA393" s="161"/>
      <c r="AB393" s="162"/>
      <c r="AC393" s="162"/>
      <c r="AD393" s="164"/>
      <c r="AE393" s="163"/>
      <c r="AF393" s="155"/>
      <c r="AG393" s="161"/>
      <c r="AH393" s="161"/>
      <c r="AI393" s="161"/>
      <c r="AJ393" s="162"/>
      <c r="AK393" s="162"/>
      <c r="AL393" s="164"/>
      <c r="AM393" s="163"/>
      <c r="AN393" s="155"/>
      <c r="AO393" s="161"/>
      <c r="AP393" s="161"/>
      <c r="AQ393" s="161"/>
      <c r="AR393" s="162"/>
      <c r="AS393" s="162"/>
      <c r="AT393" s="164"/>
      <c r="AU393" s="163"/>
    </row>
    <row r="394" spans="1:47" ht="15.95" customHeight="1" x14ac:dyDescent="0.2">
      <c r="A394" s="629"/>
      <c r="B394" s="629"/>
      <c r="C394" s="629"/>
      <c r="D394" s="630"/>
      <c r="E394" s="630"/>
      <c r="F394" s="631"/>
      <c r="G394" s="628" t="s">
        <v>169</v>
      </c>
      <c r="H394" s="113"/>
      <c r="I394" s="129"/>
      <c r="J394" s="129"/>
      <c r="K394" s="129"/>
      <c r="L394" s="130"/>
      <c r="M394" s="162"/>
      <c r="N394" s="162"/>
      <c r="O394" s="163"/>
      <c r="Q394" s="161"/>
      <c r="R394" s="161"/>
      <c r="S394" s="161"/>
      <c r="T394" s="162"/>
      <c r="U394" s="162"/>
      <c r="V394" s="164"/>
      <c r="W394" s="163"/>
      <c r="X394" s="155"/>
      <c r="Y394" s="161"/>
      <c r="Z394" s="161"/>
      <c r="AA394" s="161"/>
      <c r="AB394" s="162"/>
      <c r="AC394" s="162"/>
      <c r="AD394" s="164"/>
      <c r="AE394" s="163"/>
      <c r="AF394" s="155"/>
      <c r="AG394" s="161"/>
      <c r="AH394" s="161"/>
      <c r="AI394" s="161"/>
      <c r="AJ394" s="162"/>
      <c r="AK394" s="162"/>
      <c r="AL394" s="164"/>
      <c r="AM394" s="163"/>
      <c r="AN394" s="155"/>
      <c r="AO394" s="161"/>
      <c r="AP394" s="161"/>
      <c r="AQ394" s="161"/>
      <c r="AR394" s="162"/>
      <c r="AS394" s="162"/>
      <c r="AT394" s="164"/>
      <c r="AU394" s="163"/>
    </row>
    <row r="395" spans="1:47" ht="15.95" customHeight="1" x14ac:dyDescent="0.2">
      <c r="A395" s="629"/>
      <c r="B395" s="629"/>
      <c r="C395" s="629"/>
      <c r="D395" s="630"/>
      <c r="E395" s="630"/>
      <c r="F395" s="631"/>
      <c r="G395" s="628" t="s">
        <v>169</v>
      </c>
      <c r="H395" s="113"/>
      <c r="I395" s="129"/>
      <c r="J395" s="129"/>
      <c r="K395" s="129"/>
      <c r="L395" s="130"/>
      <c r="M395" s="162"/>
      <c r="N395" s="162"/>
      <c r="O395" s="163"/>
      <c r="Q395" s="161"/>
      <c r="R395" s="161"/>
      <c r="S395" s="161"/>
      <c r="T395" s="162"/>
      <c r="U395" s="162"/>
      <c r="V395" s="164"/>
      <c r="W395" s="163"/>
      <c r="X395" s="155"/>
      <c r="Y395" s="161"/>
      <c r="Z395" s="161"/>
      <c r="AA395" s="161"/>
      <c r="AB395" s="162"/>
      <c r="AC395" s="162"/>
      <c r="AD395" s="164"/>
      <c r="AE395" s="163"/>
      <c r="AF395" s="155"/>
      <c r="AG395" s="161"/>
      <c r="AH395" s="161"/>
      <c r="AI395" s="161"/>
      <c r="AJ395" s="162"/>
      <c r="AK395" s="162"/>
      <c r="AL395" s="164"/>
      <c r="AM395" s="163"/>
      <c r="AN395" s="155"/>
      <c r="AO395" s="161"/>
      <c r="AP395" s="161"/>
      <c r="AQ395" s="161"/>
      <c r="AR395" s="162"/>
      <c r="AS395" s="162"/>
      <c r="AT395" s="164"/>
      <c r="AU395" s="163"/>
    </row>
    <row r="396" spans="1:47" ht="15.95" customHeight="1" x14ac:dyDescent="0.2">
      <c r="A396" s="629"/>
      <c r="B396" s="629"/>
      <c r="C396" s="629"/>
      <c r="D396" s="630"/>
      <c r="E396" s="630"/>
      <c r="F396" s="631"/>
      <c r="G396" s="628" t="s">
        <v>169</v>
      </c>
      <c r="H396" s="113"/>
      <c r="I396" s="129"/>
      <c r="J396" s="129"/>
      <c r="K396" s="129"/>
      <c r="L396" s="130"/>
      <c r="M396" s="162"/>
      <c r="N396" s="162"/>
      <c r="O396" s="163"/>
      <c r="Q396" s="161"/>
      <c r="R396" s="161"/>
      <c r="S396" s="161"/>
      <c r="T396" s="162"/>
      <c r="U396" s="162"/>
      <c r="V396" s="164"/>
      <c r="W396" s="163"/>
      <c r="X396" s="155"/>
      <c r="Y396" s="161"/>
      <c r="Z396" s="161"/>
      <c r="AA396" s="161"/>
      <c r="AB396" s="162"/>
      <c r="AC396" s="162"/>
      <c r="AD396" s="164"/>
      <c r="AE396" s="163"/>
      <c r="AF396" s="155"/>
      <c r="AG396" s="161"/>
      <c r="AH396" s="161"/>
      <c r="AI396" s="161"/>
      <c r="AJ396" s="162"/>
      <c r="AK396" s="162"/>
      <c r="AL396" s="164"/>
      <c r="AM396" s="163"/>
      <c r="AN396" s="155"/>
      <c r="AO396" s="161"/>
      <c r="AP396" s="161"/>
      <c r="AQ396" s="161"/>
      <c r="AR396" s="162"/>
      <c r="AS396" s="162"/>
      <c r="AT396" s="164"/>
      <c r="AU396" s="163"/>
    </row>
    <row r="397" spans="1:47" ht="15.95" customHeight="1" x14ac:dyDescent="0.2">
      <c r="A397" s="629"/>
      <c r="B397" s="629"/>
      <c r="C397" s="629"/>
      <c r="D397" s="630"/>
      <c r="E397" s="630"/>
      <c r="F397" s="631"/>
      <c r="G397" s="628" t="s">
        <v>169</v>
      </c>
      <c r="H397" s="113"/>
      <c r="I397" s="129"/>
      <c r="J397" s="129"/>
      <c r="K397" s="129"/>
      <c r="L397" s="130"/>
      <c r="M397" s="162"/>
      <c r="N397" s="162"/>
      <c r="O397" s="163"/>
      <c r="Q397" s="161"/>
      <c r="R397" s="161"/>
      <c r="S397" s="161"/>
      <c r="T397" s="162"/>
      <c r="U397" s="162"/>
      <c r="V397" s="164"/>
      <c r="W397" s="163"/>
      <c r="X397" s="155"/>
      <c r="Y397" s="161"/>
      <c r="Z397" s="161"/>
      <c r="AA397" s="161"/>
      <c r="AB397" s="162"/>
      <c r="AC397" s="162"/>
      <c r="AD397" s="164"/>
      <c r="AE397" s="163"/>
      <c r="AF397" s="155"/>
      <c r="AG397" s="161"/>
      <c r="AH397" s="161"/>
      <c r="AI397" s="161"/>
      <c r="AJ397" s="162"/>
      <c r="AK397" s="162"/>
      <c r="AL397" s="164"/>
      <c r="AM397" s="163"/>
      <c r="AN397" s="155"/>
      <c r="AO397" s="161"/>
      <c r="AP397" s="161"/>
      <c r="AQ397" s="161"/>
      <c r="AR397" s="162"/>
      <c r="AS397" s="162"/>
      <c r="AT397" s="164"/>
      <c r="AU397" s="163"/>
    </row>
    <row r="398" spans="1:47" ht="15.95" customHeight="1" x14ac:dyDescent="0.2">
      <c r="A398" s="629"/>
      <c r="B398" s="629"/>
      <c r="C398" s="629"/>
      <c r="D398" s="630"/>
      <c r="E398" s="630"/>
      <c r="F398" s="631"/>
      <c r="G398" s="628" t="s">
        <v>169</v>
      </c>
      <c r="H398" s="113"/>
      <c r="I398" s="129"/>
      <c r="J398" s="129"/>
      <c r="K398" s="129"/>
      <c r="L398" s="130"/>
      <c r="M398" s="162"/>
      <c r="N398" s="162"/>
      <c r="O398" s="163"/>
      <c r="Q398" s="161"/>
      <c r="R398" s="161"/>
      <c r="S398" s="161"/>
      <c r="T398" s="162"/>
      <c r="U398" s="162"/>
      <c r="V398" s="164"/>
      <c r="W398" s="163"/>
      <c r="X398" s="155"/>
      <c r="Y398" s="161"/>
      <c r="Z398" s="161"/>
      <c r="AA398" s="161"/>
      <c r="AB398" s="162"/>
      <c r="AC398" s="162"/>
      <c r="AD398" s="164"/>
      <c r="AE398" s="163"/>
      <c r="AF398" s="155"/>
      <c r="AG398" s="161"/>
      <c r="AH398" s="161"/>
      <c r="AI398" s="161"/>
      <c r="AJ398" s="162"/>
      <c r="AK398" s="162"/>
      <c r="AL398" s="164"/>
      <c r="AM398" s="163"/>
      <c r="AN398" s="155"/>
      <c r="AO398" s="161"/>
      <c r="AP398" s="161"/>
      <c r="AQ398" s="161"/>
      <c r="AR398" s="162"/>
      <c r="AS398" s="162"/>
      <c r="AT398" s="164"/>
      <c r="AU398" s="163"/>
    </row>
    <row r="399" spans="1:47" ht="15.95" customHeight="1" x14ac:dyDescent="0.2">
      <c r="A399" s="629"/>
      <c r="B399" s="629"/>
      <c r="C399" s="629"/>
      <c r="D399" s="630"/>
      <c r="E399" s="630"/>
      <c r="F399" s="631"/>
      <c r="G399" s="628" t="s">
        <v>169</v>
      </c>
      <c r="H399" s="113"/>
      <c r="I399" s="129"/>
      <c r="J399" s="129"/>
      <c r="K399" s="129"/>
      <c r="L399" s="130"/>
      <c r="M399" s="162"/>
      <c r="N399" s="162"/>
      <c r="O399" s="163"/>
      <c r="Q399" s="161"/>
      <c r="R399" s="161"/>
      <c r="S399" s="161"/>
      <c r="T399" s="162"/>
      <c r="U399" s="162"/>
      <c r="V399" s="164"/>
      <c r="W399" s="163"/>
      <c r="X399" s="155"/>
      <c r="Y399" s="161"/>
      <c r="Z399" s="161"/>
      <c r="AA399" s="161"/>
      <c r="AB399" s="162"/>
      <c r="AC399" s="162"/>
      <c r="AD399" s="164"/>
      <c r="AE399" s="163"/>
      <c r="AF399" s="155"/>
      <c r="AG399" s="161"/>
      <c r="AH399" s="161"/>
      <c r="AI399" s="161"/>
      <c r="AJ399" s="162"/>
      <c r="AK399" s="162"/>
      <c r="AL399" s="164"/>
      <c r="AM399" s="163"/>
      <c r="AN399" s="155"/>
      <c r="AO399" s="161"/>
      <c r="AP399" s="161"/>
      <c r="AQ399" s="161"/>
      <c r="AR399" s="162"/>
      <c r="AS399" s="162"/>
      <c r="AT399" s="164"/>
      <c r="AU399" s="163"/>
    </row>
    <row r="400" spans="1:47" ht="15.95" customHeight="1" x14ac:dyDescent="0.2">
      <c r="A400" s="629"/>
      <c r="B400" s="629"/>
      <c r="C400" s="629"/>
      <c r="D400" s="630"/>
      <c r="E400" s="630"/>
      <c r="F400" s="631"/>
      <c r="G400" s="628" t="s">
        <v>169</v>
      </c>
      <c r="H400" s="113"/>
      <c r="I400" s="129"/>
      <c r="J400" s="129"/>
      <c r="K400" s="129"/>
      <c r="L400" s="130"/>
      <c r="M400" s="162"/>
      <c r="N400" s="162"/>
      <c r="O400" s="163"/>
      <c r="Q400" s="161"/>
      <c r="R400" s="161"/>
      <c r="S400" s="161"/>
      <c r="T400" s="162"/>
      <c r="U400" s="162"/>
      <c r="V400" s="164"/>
      <c r="W400" s="163"/>
      <c r="X400" s="155"/>
      <c r="Y400" s="161"/>
      <c r="Z400" s="161"/>
      <c r="AA400" s="161"/>
      <c r="AB400" s="162"/>
      <c r="AC400" s="162"/>
      <c r="AD400" s="164"/>
      <c r="AE400" s="163"/>
      <c r="AF400" s="155"/>
      <c r="AG400" s="161"/>
      <c r="AH400" s="161"/>
      <c r="AI400" s="161"/>
      <c r="AJ400" s="162"/>
      <c r="AK400" s="162"/>
      <c r="AL400" s="164"/>
      <c r="AM400" s="163"/>
      <c r="AN400" s="155"/>
      <c r="AO400" s="161"/>
      <c r="AP400" s="161"/>
      <c r="AQ400" s="161"/>
      <c r="AR400" s="162"/>
      <c r="AS400" s="162"/>
      <c r="AT400" s="164"/>
      <c r="AU400" s="163"/>
    </row>
    <row r="401" spans="1:47" ht="15.95" customHeight="1" x14ac:dyDescent="0.2">
      <c r="A401" s="629"/>
      <c r="B401" s="629"/>
      <c r="C401" s="629"/>
      <c r="D401" s="630"/>
      <c r="E401" s="630"/>
      <c r="F401" s="631"/>
      <c r="G401" s="628" t="s">
        <v>169</v>
      </c>
      <c r="H401" s="113"/>
      <c r="I401" s="129"/>
      <c r="J401" s="129"/>
      <c r="K401" s="129"/>
      <c r="L401" s="130"/>
      <c r="M401" s="162"/>
      <c r="N401" s="162"/>
      <c r="O401" s="163"/>
      <c r="Q401" s="161"/>
      <c r="R401" s="161"/>
      <c r="S401" s="161"/>
      <c r="T401" s="162"/>
      <c r="U401" s="162"/>
      <c r="V401" s="164"/>
      <c r="W401" s="163"/>
      <c r="X401" s="155"/>
      <c r="Y401" s="161"/>
      <c r="Z401" s="161"/>
      <c r="AA401" s="161"/>
      <c r="AB401" s="162"/>
      <c r="AC401" s="162"/>
      <c r="AD401" s="164"/>
      <c r="AE401" s="163"/>
      <c r="AF401" s="155"/>
      <c r="AG401" s="161"/>
      <c r="AH401" s="161"/>
      <c r="AI401" s="161"/>
      <c r="AJ401" s="162"/>
      <c r="AK401" s="162"/>
      <c r="AL401" s="164"/>
      <c r="AM401" s="163"/>
      <c r="AN401" s="155"/>
      <c r="AO401" s="161"/>
      <c r="AP401" s="161"/>
      <c r="AQ401" s="161"/>
      <c r="AR401" s="162"/>
      <c r="AS401" s="162"/>
      <c r="AT401" s="164"/>
      <c r="AU401" s="163"/>
    </row>
    <row r="402" spans="1:47" ht="15.95" customHeight="1" x14ac:dyDescent="0.2">
      <c r="A402" s="629"/>
      <c r="B402" s="629"/>
      <c r="C402" s="629"/>
      <c r="D402" s="630"/>
      <c r="E402" s="630"/>
      <c r="F402" s="631"/>
      <c r="G402" s="628" t="s">
        <v>169</v>
      </c>
      <c r="H402" s="113"/>
      <c r="I402" s="129"/>
      <c r="J402" s="129"/>
      <c r="K402" s="129"/>
      <c r="L402" s="130"/>
      <c r="M402" s="162"/>
      <c r="N402" s="162"/>
      <c r="O402" s="163"/>
      <c r="Q402" s="161"/>
      <c r="R402" s="161"/>
      <c r="S402" s="161"/>
      <c r="T402" s="162"/>
      <c r="U402" s="162"/>
      <c r="V402" s="164"/>
      <c r="W402" s="163"/>
      <c r="X402" s="155"/>
      <c r="Y402" s="161"/>
      <c r="Z402" s="161"/>
      <c r="AA402" s="161"/>
      <c r="AB402" s="162"/>
      <c r="AC402" s="162"/>
      <c r="AD402" s="164"/>
      <c r="AE402" s="163"/>
      <c r="AF402" s="155"/>
      <c r="AG402" s="161"/>
      <c r="AH402" s="161"/>
      <c r="AI402" s="161"/>
      <c r="AJ402" s="162"/>
      <c r="AK402" s="162"/>
      <c r="AL402" s="164"/>
      <c r="AM402" s="163"/>
      <c r="AN402" s="155"/>
      <c r="AO402" s="161"/>
      <c r="AP402" s="161"/>
      <c r="AQ402" s="161"/>
      <c r="AR402" s="162"/>
      <c r="AS402" s="162"/>
      <c r="AT402" s="164"/>
      <c r="AU402" s="163"/>
    </row>
    <row r="403" spans="1:47" ht="15.95" customHeight="1" x14ac:dyDescent="0.2">
      <c r="A403" s="629"/>
      <c r="B403" s="629"/>
      <c r="C403" s="629"/>
      <c r="D403" s="630"/>
      <c r="E403" s="630"/>
      <c r="F403" s="631"/>
      <c r="G403" s="628" t="s">
        <v>169</v>
      </c>
      <c r="H403" s="113"/>
      <c r="I403" s="129"/>
      <c r="J403" s="129"/>
      <c r="K403" s="129"/>
      <c r="L403" s="130"/>
      <c r="M403" s="162"/>
      <c r="N403" s="162"/>
      <c r="O403" s="163"/>
      <c r="Q403" s="161"/>
      <c r="R403" s="161"/>
      <c r="S403" s="161"/>
      <c r="T403" s="162"/>
      <c r="U403" s="162"/>
      <c r="V403" s="164"/>
      <c r="W403" s="163"/>
      <c r="X403" s="155"/>
      <c r="Y403" s="161"/>
      <c r="Z403" s="161"/>
      <c r="AA403" s="161"/>
      <c r="AB403" s="162"/>
      <c r="AC403" s="162"/>
      <c r="AD403" s="164"/>
      <c r="AE403" s="163"/>
      <c r="AF403" s="155"/>
      <c r="AG403" s="161"/>
      <c r="AH403" s="161"/>
      <c r="AI403" s="161"/>
      <c r="AJ403" s="162"/>
      <c r="AK403" s="162"/>
      <c r="AL403" s="164"/>
      <c r="AM403" s="163"/>
      <c r="AN403" s="155"/>
      <c r="AO403" s="161"/>
      <c r="AP403" s="161"/>
      <c r="AQ403" s="161"/>
      <c r="AR403" s="162"/>
      <c r="AS403" s="162"/>
      <c r="AT403" s="164"/>
      <c r="AU403" s="163"/>
    </row>
    <row r="404" spans="1:47" ht="15.95" customHeight="1" x14ac:dyDescent="0.2">
      <c r="A404" s="629"/>
      <c r="B404" s="629"/>
      <c r="C404" s="629"/>
      <c r="D404" s="630"/>
      <c r="E404" s="630"/>
      <c r="F404" s="631"/>
      <c r="G404" s="628" t="s">
        <v>169</v>
      </c>
      <c r="H404" s="113"/>
      <c r="I404" s="129"/>
      <c r="J404" s="129"/>
      <c r="K404" s="129"/>
      <c r="L404" s="130"/>
      <c r="M404" s="162"/>
      <c r="N404" s="162"/>
      <c r="O404" s="163"/>
      <c r="Q404" s="161"/>
      <c r="R404" s="161"/>
      <c r="S404" s="161"/>
      <c r="T404" s="162"/>
      <c r="U404" s="162"/>
      <c r="V404" s="164"/>
      <c r="W404" s="163"/>
      <c r="X404" s="155"/>
      <c r="Y404" s="161"/>
      <c r="Z404" s="161"/>
      <c r="AA404" s="161"/>
      <c r="AB404" s="162"/>
      <c r="AC404" s="162"/>
      <c r="AD404" s="164"/>
      <c r="AE404" s="163"/>
      <c r="AF404" s="155"/>
      <c r="AG404" s="161"/>
      <c r="AH404" s="161"/>
      <c r="AI404" s="161"/>
      <c r="AJ404" s="162"/>
      <c r="AK404" s="162"/>
      <c r="AL404" s="164"/>
      <c r="AM404" s="163"/>
      <c r="AN404" s="155"/>
      <c r="AO404" s="161"/>
      <c r="AP404" s="161"/>
      <c r="AQ404" s="161"/>
      <c r="AR404" s="162"/>
      <c r="AS404" s="162"/>
      <c r="AT404" s="164"/>
      <c r="AU404" s="163"/>
    </row>
    <row r="405" spans="1:47" ht="15.95" customHeight="1" x14ac:dyDescent="0.2">
      <c r="A405" s="629"/>
      <c r="B405" s="629"/>
      <c r="C405" s="629"/>
      <c r="D405" s="630"/>
      <c r="E405" s="630"/>
      <c r="F405" s="631"/>
      <c r="G405" s="628" t="s">
        <v>169</v>
      </c>
      <c r="H405" s="113"/>
      <c r="I405" s="129"/>
      <c r="J405" s="129"/>
      <c r="K405" s="129"/>
      <c r="L405" s="130"/>
      <c r="M405" s="162"/>
      <c r="N405" s="162"/>
      <c r="O405" s="163"/>
      <c r="Q405" s="161"/>
      <c r="R405" s="161"/>
      <c r="S405" s="161"/>
      <c r="T405" s="162"/>
      <c r="U405" s="162"/>
      <c r="V405" s="164"/>
      <c r="W405" s="163"/>
      <c r="X405" s="155"/>
      <c r="Y405" s="161"/>
      <c r="Z405" s="161"/>
      <c r="AA405" s="161"/>
      <c r="AB405" s="162"/>
      <c r="AC405" s="162"/>
      <c r="AD405" s="164"/>
      <c r="AE405" s="163"/>
      <c r="AF405" s="155"/>
      <c r="AG405" s="161"/>
      <c r="AH405" s="161"/>
      <c r="AI405" s="161"/>
      <c r="AJ405" s="162"/>
      <c r="AK405" s="162"/>
      <c r="AL405" s="164"/>
      <c r="AM405" s="163"/>
      <c r="AN405" s="155"/>
      <c r="AO405" s="161"/>
      <c r="AP405" s="161"/>
      <c r="AQ405" s="161"/>
      <c r="AR405" s="162"/>
      <c r="AS405" s="162"/>
      <c r="AT405" s="164"/>
      <c r="AU405" s="163"/>
    </row>
    <row r="406" spans="1:47" ht="15.95" customHeight="1" x14ac:dyDescent="0.2">
      <c r="A406" s="629"/>
      <c r="B406" s="629"/>
      <c r="C406" s="629"/>
      <c r="D406" s="630"/>
      <c r="E406" s="630"/>
      <c r="F406" s="631"/>
      <c r="G406" s="628" t="s">
        <v>169</v>
      </c>
      <c r="H406" s="113"/>
      <c r="I406" s="129"/>
      <c r="J406" s="129"/>
      <c r="K406" s="129"/>
      <c r="L406" s="130"/>
      <c r="M406" s="162"/>
      <c r="N406" s="162"/>
      <c r="O406" s="163"/>
      <c r="Q406" s="161"/>
      <c r="R406" s="161"/>
      <c r="S406" s="161"/>
      <c r="T406" s="162"/>
      <c r="U406" s="162"/>
      <c r="V406" s="164"/>
      <c r="W406" s="163"/>
      <c r="X406" s="155"/>
      <c r="Y406" s="161"/>
      <c r="Z406" s="161"/>
      <c r="AA406" s="161"/>
      <c r="AB406" s="162"/>
      <c r="AC406" s="162"/>
      <c r="AD406" s="164"/>
      <c r="AE406" s="163"/>
      <c r="AF406" s="155"/>
      <c r="AG406" s="161"/>
      <c r="AH406" s="161"/>
      <c r="AI406" s="161"/>
      <c r="AJ406" s="162"/>
      <c r="AK406" s="162"/>
      <c r="AL406" s="164"/>
      <c r="AM406" s="163"/>
      <c r="AN406" s="155"/>
      <c r="AO406" s="161"/>
      <c r="AP406" s="161"/>
      <c r="AQ406" s="161"/>
      <c r="AR406" s="162"/>
      <c r="AS406" s="162"/>
      <c r="AT406" s="164"/>
      <c r="AU406" s="163"/>
    </row>
    <row r="407" spans="1:47" ht="15.95" customHeight="1" x14ac:dyDescent="0.2">
      <c r="A407" s="629"/>
      <c r="B407" s="629"/>
      <c r="C407" s="629"/>
      <c r="D407" s="630"/>
      <c r="E407" s="630"/>
      <c r="F407" s="631"/>
      <c r="G407" s="628" t="s">
        <v>169</v>
      </c>
      <c r="H407" s="113"/>
      <c r="I407" s="129"/>
      <c r="J407" s="129"/>
      <c r="K407" s="129"/>
      <c r="L407" s="130"/>
      <c r="M407" s="162"/>
      <c r="N407" s="162"/>
      <c r="O407" s="163"/>
      <c r="Q407" s="161"/>
      <c r="R407" s="161"/>
      <c r="S407" s="161"/>
      <c r="T407" s="162"/>
      <c r="U407" s="162"/>
      <c r="V407" s="164"/>
      <c r="W407" s="163"/>
      <c r="X407" s="155"/>
      <c r="Y407" s="161"/>
      <c r="Z407" s="161"/>
      <c r="AA407" s="161"/>
      <c r="AB407" s="162"/>
      <c r="AC407" s="162"/>
      <c r="AD407" s="164"/>
      <c r="AE407" s="163"/>
      <c r="AF407" s="155"/>
      <c r="AG407" s="161"/>
      <c r="AH407" s="161"/>
      <c r="AI407" s="161"/>
      <c r="AJ407" s="162"/>
      <c r="AK407" s="162"/>
      <c r="AL407" s="164"/>
      <c r="AM407" s="163"/>
      <c r="AN407" s="155"/>
      <c r="AO407" s="161"/>
      <c r="AP407" s="161"/>
      <c r="AQ407" s="161"/>
      <c r="AR407" s="162"/>
      <c r="AS407" s="162"/>
      <c r="AT407" s="164"/>
      <c r="AU407" s="163"/>
    </row>
    <row r="408" spans="1:47" ht="15.95" customHeight="1" x14ac:dyDescent="0.2">
      <c r="A408" s="629"/>
      <c r="B408" s="629"/>
      <c r="C408" s="629"/>
      <c r="D408" s="630"/>
      <c r="E408" s="630"/>
      <c r="F408" s="631"/>
      <c r="G408" s="628" t="s">
        <v>169</v>
      </c>
      <c r="H408" s="113"/>
      <c r="I408" s="129"/>
      <c r="J408" s="129"/>
      <c r="K408" s="129"/>
      <c r="L408" s="130"/>
      <c r="M408" s="162"/>
      <c r="N408" s="162"/>
      <c r="O408" s="163"/>
      <c r="Q408" s="161"/>
      <c r="R408" s="161"/>
      <c r="S408" s="161"/>
      <c r="T408" s="162"/>
      <c r="U408" s="162"/>
      <c r="V408" s="164"/>
      <c r="W408" s="163"/>
      <c r="X408" s="155"/>
      <c r="Y408" s="161"/>
      <c r="Z408" s="161"/>
      <c r="AA408" s="161"/>
      <c r="AB408" s="162"/>
      <c r="AC408" s="162"/>
      <c r="AD408" s="164"/>
      <c r="AE408" s="163"/>
      <c r="AF408" s="155"/>
      <c r="AG408" s="161"/>
      <c r="AH408" s="161"/>
      <c r="AI408" s="161"/>
      <c r="AJ408" s="162"/>
      <c r="AK408" s="162"/>
      <c r="AL408" s="164"/>
      <c r="AM408" s="163"/>
      <c r="AN408" s="155"/>
      <c r="AO408" s="161"/>
      <c r="AP408" s="161"/>
      <c r="AQ408" s="161"/>
      <c r="AR408" s="162"/>
      <c r="AS408" s="162"/>
      <c r="AT408" s="164"/>
      <c r="AU408" s="163"/>
    </row>
    <row r="409" spans="1:47" ht="15.95" customHeight="1" x14ac:dyDescent="0.2">
      <c r="A409" s="629"/>
      <c r="B409" s="629"/>
      <c r="C409" s="629"/>
      <c r="D409" s="630"/>
      <c r="E409" s="630"/>
      <c r="F409" s="631"/>
      <c r="G409" s="628" t="s">
        <v>169</v>
      </c>
      <c r="H409" s="113"/>
      <c r="I409" s="129"/>
      <c r="J409" s="129"/>
      <c r="K409" s="129"/>
      <c r="L409" s="130"/>
      <c r="M409" s="162"/>
      <c r="N409" s="162"/>
      <c r="O409" s="163"/>
      <c r="Q409" s="161"/>
      <c r="R409" s="161"/>
      <c r="S409" s="161"/>
      <c r="T409" s="162"/>
      <c r="U409" s="162"/>
      <c r="V409" s="164"/>
      <c r="W409" s="163"/>
      <c r="X409" s="155"/>
      <c r="Y409" s="161"/>
      <c r="Z409" s="161"/>
      <c r="AA409" s="161"/>
      <c r="AB409" s="162"/>
      <c r="AC409" s="162"/>
      <c r="AD409" s="164"/>
      <c r="AE409" s="163"/>
      <c r="AF409" s="155"/>
      <c r="AG409" s="161"/>
      <c r="AH409" s="161"/>
      <c r="AI409" s="161"/>
      <c r="AJ409" s="162"/>
      <c r="AK409" s="162"/>
      <c r="AL409" s="164"/>
      <c r="AM409" s="163"/>
      <c r="AN409" s="155"/>
      <c r="AO409" s="161"/>
      <c r="AP409" s="161"/>
      <c r="AQ409" s="161"/>
      <c r="AR409" s="162"/>
      <c r="AS409" s="162"/>
      <c r="AT409" s="164"/>
      <c r="AU409" s="163"/>
    </row>
    <row r="410" spans="1:47" ht="15.95" customHeight="1" x14ac:dyDescent="0.2">
      <c r="A410" s="629"/>
      <c r="B410" s="629"/>
      <c r="C410" s="629"/>
      <c r="D410" s="630"/>
      <c r="E410" s="630"/>
      <c r="F410" s="631"/>
      <c r="G410" s="628" t="s">
        <v>169</v>
      </c>
      <c r="H410" s="113"/>
      <c r="I410" s="129"/>
      <c r="J410" s="129"/>
      <c r="K410" s="129"/>
      <c r="L410" s="130"/>
      <c r="M410" s="162"/>
      <c r="N410" s="162"/>
      <c r="O410" s="163"/>
      <c r="Q410" s="161"/>
      <c r="R410" s="161"/>
      <c r="S410" s="161"/>
      <c r="T410" s="162"/>
      <c r="U410" s="162"/>
      <c r="V410" s="164"/>
      <c r="W410" s="163"/>
      <c r="X410" s="155"/>
      <c r="Y410" s="161"/>
      <c r="Z410" s="161"/>
      <c r="AA410" s="161"/>
      <c r="AB410" s="162"/>
      <c r="AC410" s="162"/>
      <c r="AD410" s="164"/>
      <c r="AE410" s="163"/>
      <c r="AF410" s="155"/>
      <c r="AG410" s="161"/>
      <c r="AH410" s="161"/>
      <c r="AI410" s="161"/>
      <c r="AJ410" s="162"/>
      <c r="AK410" s="162"/>
      <c r="AL410" s="164"/>
      <c r="AM410" s="163"/>
      <c r="AN410" s="155"/>
      <c r="AO410" s="161"/>
      <c r="AP410" s="161"/>
      <c r="AQ410" s="161"/>
      <c r="AR410" s="162"/>
      <c r="AS410" s="162"/>
      <c r="AT410" s="164"/>
      <c r="AU410" s="163"/>
    </row>
    <row r="411" spans="1:47" ht="15.95" customHeight="1" x14ac:dyDescent="0.2">
      <c r="A411" s="629"/>
      <c r="B411" s="629"/>
      <c r="C411" s="629"/>
      <c r="D411" s="630"/>
      <c r="E411" s="630"/>
      <c r="F411" s="631"/>
      <c r="G411" s="628" t="s">
        <v>169</v>
      </c>
      <c r="H411" s="113"/>
      <c r="I411" s="129"/>
      <c r="J411" s="129"/>
      <c r="K411" s="129"/>
      <c r="L411" s="130"/>
      <c r="M411" s="162"/>
      <c r="N411" s="162"/>
      <c r="O411" s="163"/>
      <c r="Q411" s="161"/>
      <c r="R411" s="161"/>
      <c r="S411" s="161"/>
      <c r="T411" s="162"/>
      <c r="U411" s="162"/>
      <c r="V411" s="164"/>
      <c r="W411" s="163"/>
      <c r="X411" s="155"/>
      <c r="Y411" s="161"/>
      <c r="Z411" s="161"/>
      <c r="AA411" s="161"/>
      <c r="AB411" s="162"/>
      <c r="AC411" s="162"/>
      <c r="AD411" s="164"/>
      <c r="AE411" s="163"/>
      <c r="AF411" s="155"/>
      <c r="AG411" s="161"/>
      <c r="AH411" s="161"/>
      <c r="AI411" s="161"/>
      <c r="AJ411" s="162"/>
      <c r="AK411" s="162"/>
      <c r="AL411" s="164"/>
      <c r="AM411" s="163"/>
      <c r="AN411" s="155"/>
      <c r="AO411" s="161"/>
      <c r="AP411" s="161"/>
      <c r="AQ411" s="161"/>
      <c r="AR411" s="162"/>
      <c r="AS411" s="162"/>
      <c r="AT411" s="164"/>
      <c r="AU411" s="163"/>
    </row>
    <row r="412" spans="1:47" ht="15.95" customHeight="1" x14ac:dyDescent="0.2">
      <c r="A412" s="629"/>
      <c r="B412" s="629"/>
      <c r="C412" s="629"/>
      <c r="D412" s="630"/>
      <c r="E412" s="630"/>
      <c r="F412" s="631"/>
      <c r="G412" s="628" t="s">
        <v>169</v>
      </c>
      <c r="H412" s="113"/>
      <c r="I412" s="129"/>
      <c r="J412" s="129"/>
      <c r="K412" s="129"/>
      <c r="L412" s="130"/>
      <c r="M412" s="162"/>
      <c r="N412" s="162"/>
      <c r="O412" s="163"/>
      <c r="Q412" s="161"/>
      <c r="R412" s="161"/>
      <c r="S412" s="161"/>
      <c r="T412" s="162"/>
      <c r="U412" s="162"/>
      <c r="V412" s="164"/>
      <c r="W412" s="163"/>
      <c r="X412" s="155"/>
      <c r="Y412" s="161"/>
      <c r="Z412" s="161"/>
      <c r="AA412" s="161"/>
      <c r="AB412" s="162"/>
      <c r="AC412" s="162"/>
      <c r="AD412" s="164"/>
      <c r="AE412" s="163"/>
      <c r="AF412" s="155"/>
      <c r="AG412" s="161"/>
      <c r="AH412" s="161"/>
      <c r="AI412" s="161"/>
      <c r="AJ412" s="162"/>
      <c r="AK412" s="162"/>
      <c r="AL412" s="164"/>
      <c r="AM412" s="163"/>
      <c r="AN412" s="155"/>
      <c r="AO412" s="161"/>
      <c r="AP412" s="161"/>
      <c r="AQ412" s="161"/>
      <c r="AR412" s="162"/>
      <c r="AS412" s="162"/>
      <c r="AT412" s="164"/>
      <c r="AU412" s="163"/>
    </row>
    <row r="413" spans="1:47" ht="15.95" customHeight="1" x14ac:dyDescent="0.2">
      <c r="A413" s="629"/>
      <c r="B413" s="629"/>
      <c r="C413" s="629"/>
      <c r="D413" s="630"/>
      <c r="E413" s="630"/>
      <c r="F413" s="631"/>
      <c r="G413" s="628" t="s">
        <v>169</v>
      </c>
      <c r="H413" s="113"/>
      <c r="I413" s="129"/>
      <c r="J413" s="129"/>
      <c r="K413" s="129"/>
      <c r="L413" s="130"/>
      <c r="M413" s="162"/>
      <c r="N413" s="162"/>
      <c r="O413" s="163"/>
      <c r="Q413" s="161"/>
      <c r="R413" s="161"/>
      <c r="S413" s="161"/>
      <c r="T413" s="162"/>
      <c r="U413" s="162"/>
      <c r="V413" s="164"/>
      <c r="W413" s="163"/>
      <c r="X413" s="155"/>
      <c r="Y413" s="161"/>
      <c r="Z413" s="161"/>
      <c r="AA413" s="161"/>
      <c r="AB413" s="162"/>
      <c r="AC413" s="162"/>
      <c r="AD413" s="164"/>
      <c r="AE413" s="163"/>
      <c r="AF413" s="155"/>
      <c r="AG413" s="161"/>
      <c r="AH413" s="161"/>
      <c r="AI413" s="161"/>
      <c r="AJ413" s="162"/>
      <c r="AK413" s="162"/>
      <c r="AL413" s="164"/>
      <c r="AM413" s="163"/>
      <c r="AN413" s="155"/>
      <c r="AO413" s="161"/>
      <c r="AP413" s="161"/>
      <c r="AQ413" s="161"/>
      <c r="AR413" s="162"/>
      <c r="AS413" s="162"/>
      <c r="AT413" s="164"/>
      <c r="AU413" s="163"/>
    </row>
    <row r="414" spans="1:47" ht="15.95" customHeight="1" x14ac:dyDescent="0.2">
      <c r="A414" s="629"/>
      <c r="B414" s="629"/>
      <c r="C414" s="629"/>
      <c r="D414" s="630"/>
      <c r="E414" s="630"/>
      <c r="F414" s="631"/>
      <c r="G414" s="628" t="s">
        <v>169</v>
      </c>
      <c r="H414" s="113"/>
      <c r="I414" s="129"/>
      <c r="J414" s="129"/>
      <c r="K414" s="129"/>
      <c r="L414" s="130"/>
      <c r="M414" s="162"/>
      <c r="N414" s="162"/>
      <c r="O414" s="163"/>
      <c r="Q414" s="161"/>
      <c r="R414" s="161"/>
      <c r="S414" s="161"/>
      <c r="T414" s="162"/>
      <c r="U414" s="162"/>
      <c r="V414" s="164"/>
      <c r="W414" s="163"/>
      <c r="X414" s="155"/>
      <c r="Y414" s="161"/>
      <c r="Z414" s="161"/>
      <c r="AA414" s="161"/>
      <c r="AB414" s="162"/>
      <c r="AC414" s="162"/>
      <c r="AD414" s="164"/>
      <c r="AE414" s="163"/>
      <c r="AF414" s="155"/>
      <c r="AG414" s="161"/>
      <c r="AH414" s="161"/>
      <c r="AI414" s="161"/>
      <c r="AJ414" s="162"/>
      <c r="AK414" s="162"/>
      <c r="AL414" s="164"/>
      <c r="AM414" s="163"/>
      <c r="AN414" s="155"/>
      <c r="AO414" s="161"/>
      <c r="AP414" s="161"/>
      <c r="AQ414" s="161"/>
      <c r="AR414" s="162"/>
      <c r="AS414" s="162"/>
      <c r="AT414" s="164"/>
      <c r="AU414" s="163"/>
    </row>
    <row r="415" spans="1:47" ht="15.95" customHeight="1" x14ac:dyDescent="0.2">
      <c r="A415" s="629"/>
      <c r="B415" s="629"/>
      <c r="C415" s="629"/>
      <c r="D415" s="630"/>
      <c r="E415" s="630"/>
      <c r="F415" s="631"/>
      <c r="G415" s="628" t="s">
        <v>169</v>
      </c>
      <c r="H415" s="113"/>
      <c r="I415" s="129"/>
      <c r="J415" s="129"/>
      <c r="K415" s="129"/>
      <c r="L415" s="130"/>
      <c r="M415" s="162"/>
      <c r="N415" s="162"/>
      <c r="O415" s="163"/>
      <c r="Q415" s="161"/>
      <c r="R415" s="161"/>
      <c r="S415" s="161"/>
      <c r="T415" s="162"/>
      <c r="U415" s="162"/>
      <c r="V415" s="164"/>
      <c r="W415" s="163"/>
      <c r="X415" s="155"/>
      <c r="Y415" s="161"/>
      <c r="Z415" s="161"/>
      <c r="AA415" s="161"/>
      <c r="AB415" s="162"/>
      <c r="AC415" s="162"/>
      <c r="AD415" s="164"/>
      <c r="AE415" s="163"/>
      <c r="AF415" s="155"/>
      <c r="AG415" s="161"/>
      <c r="AH415" s="161"/>
      <c r="AI415" s="161"/>
      <c r="AJ415" s="162"/>
      <c r="AK415" s="162"/>
      <c r="AL415" s="164"/>
      <c r="AM415" s="163"/>
      <c r="AN415" s="155"/>
      <c r="AO415" s="161"/>
      <c r="AP415" s="161"/>
      <c r="AQ415" s="161"/>
      <c r="AR415" s="162"/>
      <c r="AS415" s="162"/>
      <c r="AT415" s="164"/>
      <c r="AU415" s="163"/>
    </row>
    <row r="416" spans="1:47" ht="15.95" customHeight="1" x14ac:dyDescent="0.2">
      <c r="A416" s="629"/>
      <c r="B416" s="629"/>
      <c r="C416" s="629"/>
      <c r="D416" s="630"/>
      <c r="E416" s="630"/>
      <c r="F416" s="631"/>
      <c r="G416" s="628" t="s">
        <v>169</v>
      </c>
      <c r="H416" s="113"/>
      <c r="I416" s="129"/>
      <c r="J416" s="129"/>
      <c r="K416" s="129"/>
      <c r="L416" s="130"/>
      <c r="M416" s="162"/>
      <c r="N416" s="162"/>
      <c r="O416" s="163"/>
      <c r="Q416" s="161"/>
      <c r="R416" s="161"/>
      <c r="S416" s="161"/>
      <c r="T416" s="162"/>
      <c r="U416" s="162"/>
      <c r="V416" s="164"/>
      <c r="W416" s="163"/>
      <c r="X416" s="155"/>
      <c r="Y416" s="161"/>
      <c r="Z416" s="161"/>
      <c r="AA416" s="161"/>
      <c r="AB416" s="162"/>
      <c r="AC416" s="162"/>
      <c r="AD416" s="164"/>
      <c r="AE416" s="163"/>
      <c r="AF416" s="155"/>
      <c r="AG416" s="161"/>
      <c r="AH416" s="161"/>
      <c r="AI416" s="161"/>
      <c r="AJ416" s="162"/>
      <c r="AK416" s="162"/>
      <c r="AL416" s="164"/>
      <c r="AM416" s="163"/>
      <c r="AN416" s="155"/>
      <c r="AO416" s="161"/>
      <c r="AP416" s="161"/>
      <c r="AQ416" s="161"/>
      <c r="AR416" s="162"/>
      <c r="AS416" s="162"/>
      <c r="AT416" s="164"/>
      <c r="AU416" s="163"/>
    </row>
    <row r="417" spans="1:47" ht="15.95" customHeight="1" x14ac:dyDescent="0.2">
      <c r="A417" s="629"/>
      <c r="B417" s="629"/>
      <c r="C417" s="629"/>
      <c r="D417" s="630"/>
      <c r="E417" s="630"/>
      <c r="F417" s="631"/>
      <c r="G417" s="628" t="s">
        <v>169</v>
      </c>
      <c r="H417" s="113"/>
      <c r="I417" s="129"/>
      <c r="J417" s="129"/>
      <c r="K417" s="129"/>
      <c r="L417" s="130"/>
      <c r="M417" s="162"/>
      <c r="N417" s="162"/>
      <c r="O417" s="163"/>
      <c r="Q417" s="161"/>
      <c r="R417" s="161"/>
      <c r="S417" s="161"/>
      <c r="T417" s="162"/>
      <c r="U417" s="162"/>
      <c r="V417" s="164"/>
      <c r="W417" s="163"/>
      <c r="X417" s="155"/>
      <c r="Y417" s="161"/>
      <c r="Z417" s="161"/>
      <c r="AA417" s="161"/>
      <c r="AB417" s="162"/>
      <c r="AC417" s="162"/>
      <c r="AD417" s="164"/>
      <c r="AE417" s="163"/>
      <c r="AF417" s="155"/>
      <c r="AG417" s="161"/>
      <c r="AH417" s="161"/>
      <c r="AI417" s="161"/>
      <c r="AJ417" s="162"/>
      <c r="AK417" s="162"/>
      <c r="AL417" s="164"/>
      <c r="AM417" s="163"/>
      <c r="AN417" s="155"/>
      <c r="AO417" s="161"/>
      <c r="AP417" s="161"/>
      <c r="AQ417" s="161"/>
      <c r="AR417" s="162"/>
      <c r="AS417" s="162"/>
      <c r="AT417" s="164"/>
      <c r="AU417" s="163"/>
    </row>
    <row r="418" spans="1:47" ht="15.95" customHeight="1" x14ac:dyDescent="0.2">
      <c r="A418" s="629"/>
      <c r="B418" s="629"/>
      <c r="C418" s="629"/>
      <c r="D418" s="630"/>
      <c r="E418" s="630"/>
      <c r="F418" s="631"/>
      <c r="G418" s="628" t="s">
        <v>169</v>
      </c>
      <c r="H418" s="113"/>
      <c r="I418" s="129"/>
      <c r="J418" s="129"/>
      <c r="K418" s="129"/>
      <c r="L418" s="130"/>
      <c r="M418" s="162"/>
      <c r="N418" s="162"/>
      <c r="O418" s="163"/>
      <c r="Q418" s="161"/>
      <c r="R418" s="161"/>
      <c r="S418" s="161"/>
      <c r="T418" s="162"/>
      <c r="U418" s="162"/>
      <c r="V418" s="164"/>
      <c r="W418" s="163"/>
      <c r="X418" s="155"/>
      <c r="Y418" s="161"/>
      <c r="Z418" s="161"/>
      <c r="AA418" s="161"/>
      <c r="AB418" s="162"/>
      <c r="AC418" s="162"/>
      <c r="AD418" s="164"/>
      <c r="AE418" s="163"/>
      <c r="AF418" s="155"/>
      <c r="AG418" s="161"/>
      <c r="AH418" s="161"/>
      <c r="AI418" s="161"/>
      <c r="AJ418" s="162"/>
      <c r="AK418" s="162"/>
      <c r="AL418" s="164"/>
      <c r="AM418" s="163"/>
      <c r="AN418" s="155"/>
      <c r="AO418" s="161"/>
      <c r="AP418" s="161"/>
      <c r="AQ418" s="161"/>
      <c r="AR418" s="162"/>
      <c r="AS418" s="162"/>
      <c r="AT418" s="164"/>
      <c r="AU418" s="163"/>
    </row>
    <row r="419" spans="1:47" ht="15.95" customHeight="1" x14ac:dyDescent="0.2">
      <c r="A419" s="629"/>
      <c r="B419" s="629"/>
      <c r="C419" s="629"/>
      <c r="D419" s="630"/>
      <c r="E419" s="630"/>
      <c r="F419" s="631"/>
      <c r="G419" s="628" t="s">
        <v>169</v>
      </c>
      <c r="H419" s="113"/>
      <c r="I419" s="129"/>
      <c r="J419" s="129"/>
      <c r="K419" s="129"/>
      <c r="L419" s="130"/>
      <c r="M419" s="162"/>
      <c r="N419" s="162"/>
      <c r="O419" s="163"/>
      <c r="Q419" s="161"/>
      <c r="R419" s="161"/>
      <c r="S419" s="161"/>
      <c r="T419" s="162"/>
      <c r="U419" s="162"/>
      <c r="V419" s="164"/>
      <c r="W419" s="163"/>
      <c r="X419" s="155"/>
      <c r="Y419" s="161"/>
      <c r="Z419" s="161"/>
      <c r="AA419" s="161"/>
      <c r="AB419" s="162"/>
      <c r="AC419" s="162"/>
      <c r="AD419" s="164"/>
      <c r="AE419" s="163"/>
      <c r="AF419" s="155"/>
      <c r="AG419" s="161"/>
      <c r="AH419" s="161"/>
      <c r="AI419" s="161"/>
      <c r="AJ419" s="162"/>
      <c r="AK419" s="162"/>
      <c r="AL419" s="164"/>
      <c r="AM419" s="163"/>
      <c r="AN419" s="155"/>
      <c r="AO419" s="161"/>
      <c r="AP419" s="161"/>
      <c r="AQ419" s="161"/>
      <c r="AR419" s="162"/>
      <c r="AS419" s="162"/>
      <c r="AT419" s="164"/>
      <c r="AU419" s="163"/>
    </row>
    <row r="420" spans="1:47" ht="15.95" customHeight="1" x14ac:dyDescent="0.2">
      <c r="A420" s="629"/>
      <c r="B420" s="629"/>
      <c r="C420" s="629"/>
      <c r="D420" s="630"/>
      <c r="E420" s="630"/>
      <c r="F420" s="631"/>
      <c r="G420" s="628" t="s">
        <v>169</v>
      </c>
      <c r="H420" s="113"/>
      <c r="I420" s="129"/>
      <c r="J420" s="129"/>
      <c r="K420" s="129"/>
      <c r="L420" s="130"/>
      <c r="M420" s="162"/>
      <c r="N420" s="162"/>
      <c r="O420" s="163"/>
      <c r="Q420" s="161"/>
      <c r="R420" s="161"/>
      <c r="S420" s="161"/>
      <c r="T420" s="162"/>
      <c r="U420" s="162"/>
      <c r="V420" s="164"/>
      <c r="W420" s="163"/>
      <c r="X420" s="155"/>
      <c r="Y420" s="161"/>
      <c r="Z420" s="161"/>
      <c r="AA420" s="161"/>
      <c r="AB420" s="162"/>
      <c r="AC420" s="162"/>
      <c r="AD420" s="164"/>
      <c r="AE420" s="163"/>
      <c r="AF420" s="155"/>
      <c r="AG420" s="161"/>
      <c r="AH420" s="161"/>
      <c r="AI420" s="161"/>
      <c r="AJ420" s="162"/>
      <c r="AK420" s="162"/>
      <c r="AL420" s="164"/>
      <c r="AM420" s="163"/>
      <c r="AN420" s="155"/>
      <c r="AO420" s="161"/>
      <c r="AP420" s="161"/>
      <c r="AQ420" s="161"/>
      <c r="AR420" s="162"/>
      <c r="AS420" s="162"/>
      <c r="AT420" s="164"/>
      <c r="AU420" s="163"/>
    </row>
    <row r="421" spans="1:47" ht="15.95" customHeight="1" x14ac:dyDescent="0.2">
      <c r="A421" s="629"/>
      <c r="B421" s="629"/>
      <c r="C421" s="629"/>
      <c r="D421" s="630"/>
      <c r="E421" s="630"/>
      <c r="F421" s="631"/>
      <c r="G421" s="628" t="s">
        <v>169</v>
      </c>
      <c r="H421" s="113"/>
      <c r="I421" s="129"/>
      <c r="J421" s="129"/>
      <c r="K421" s="129"/>
      <c r="L421" s="130"/>
      <c r="M421" s="162"/>
      <c r="N421" s="162"/>
      <c r="O421" s="163"/>
      <c r="Q421" s="161"/>
      <c r="R421" s="161"/>
      <c r="S421" s="161"/>
      <c r="T421" s="162"/>
      <c r="U421" s="162"/>
      <c r="V421" s="164"/>
      <c r="W421" s="163"/>
      <c r="X421" s="155"/>
      <c r="Y421" s="161"/>
      <c r="Z421" s="161"/>
      <c r="AA421" s="161"/>
      <c r="AB421" s="162"/>
      <c r="AC421" s="162"/>
      <c r="AD421" s="164"/>
      <c r="AE421" s="163"/>
      <c r="AF421" s="155"/>
      <c r="AG421" s="161"/>
      <c r="AH421" s="161"/>
      <c r="AI421" s="161"/>
      <c r="AJ421" s="162"/>
      <c r="AK421" s="162"/>
      <c r="AL421" s="164"/>
      <c r="AM421" s="163"/>
      <c r="AN421" s="155"/>
      <c r="AO421" s="161"/>
      <c r="AP421" s="161"/>
      <c r="AQ421" s="161"/>
      <c r="AR421" s="162"/>
      <c r="AS421" s="162"/>
      <c r="AT421" s="164"/>
      <c r="AU421" s="163"/>
    </row>
    <row r="422" spans="1:47" ht="15.95" customHeight="1" x14ac:dyDescent="0.2">
      <c r="A422" s="629"/>
      <c r="B422" s="629"/>
      <c r="C422" s="629"/>
      <c r="D422" s="630"/>
      <c r="E422" s="630"/>
      <c r="F422" s="631"/>
      <c r="G422" s="628" t="s">
        <v>169</v>
      </c>
      <c r="H422" s="113"/>
      <c r="I422" s="129"/>
      <c r="J422" s="129"/>
      <c r="K422" s="129"/>
      <c r="L422" s="130"/>
      <c r="M422" s="162"/>
      <c r="N422" s="162"/>
      <c r="O422" s="163"/>
      <c r="Q422" s="161"/>
      <c r="R422" s="161"/>
      <c r="S422" s="161"/>
      <c r="T422" s="162"/>
      <c r="U422" s="162"/>
      <c r="V422" s="164"/>
      <c r="W422" s="163"/>
      <c r="X422" s="155"/>
      <c r="Y422" s="161"/>
      <c r="Z422" s="161"/>
      <c r="AA422" s="161"/>
      <c r="AB422" s="162"/>
      <c r="AC422" s="162"/>
      <c r="AD422" s="164"/>
      <c r="AE422" s="163"/>
      <c r="AF422" s="155"/>
      <c r="AG422" s="161"/>
      <c r="AH422" s="161"/>
      <c r="AI422" s="161"/>
      <c r="AJ422" s="162"/>
      <c r="AK422" s="162"/>
      <c r="AL422" s="164"/>
      <c r="AM422" s="163"/>
      <c r="AN422" s="155"/>
      <c r="AO422" s="161"/>
      <c r="AP422" s="161"/>
      <c r="AQ422" s="161"/>
      <c r="AR422" s="162"/>
      <c r="AS422" s="162"/>
      <c r="AT422" s="164"/>
      <c r="AU422" s="163"/>
    </row>
    <row r="423" spans="1:47" ht="15.95" customHeight="1" x14ac:dyDescent="0.2">
      <c r="A423" s="629"/>
      <c r="B423" s="629"/>
      <c r="C423" s="629"/>
      <c r="D423" s="630"/>
      <c r="E423" s="630"/>
      <c r="F423" s="631"/>
      <c r="G423" s="628" t="s">
        <v>169</v>
      </c>
      <c r="H423" s="113"/>
      <c r="I423" s="129"/>
      <c r="J423" s="129"/>
      <c r="K423" s="129"/>
      <c r="L423" s="130"/>
      <c r="M423" s="162"/>
      <c r="N423" s="162"/>
      <c r="O423" s="163"/>
      <c r="Q423" s="161"/>
      <c r="R423" s="161"/>
      <c r="S423" s="161"/>
      <c r="T423" s="162"/>
      <c r="U423" s="162"/>
      <c r="V423" s="164"/>
      <c r="W423" s="163"/>
      <c r="X423" s="155"/>
      <c r="Y423" s="161"/>
      <c r="Z423" s="161"/>
      <c r="AA423" s="161"/>
      <c r="AB423" s="162"/>
      <c r="AC423" s="162"/>
      <c r="AD423" s="164"/>
      <c r="AE423" s="163"/>
      <c r="AF423" s="155"/>
      <c r="AG423" s="161"/>
      <c r="AH423" s="161"/>
      <c r="AI423" s="161"/>
      <c r="AJ423" s="162"/>
      <c r="AK423" s="162"/>
      <c r="AL423" s="164"/>
      <c r="AM423" s="163"/>
      <c r="AN423" s="155"/>
      <c r="AO423" s="161"/>
      <c r="AP423" s="161"/>
      <c r="AQ423" s="161"/>
      <c r="AR423" s="162"/>
      <c r="AS423" s="162"/>
      <c r="AT423" s="164"/>
      <c r="AU423" s="163"/>
    </row>
    <row r="424" spans="1:47" ht="15.95" customHeight="1" x14ac:dyDescent="0.2">
      <c r="A424" s="629"/>
      <c r="B424" s="629"/>
      <c r="C424" s="629"/>
      <c r="D424" s="630"/>
      <c r="E424" s="630"/>
      <c r="F424" s="631"/>
      <c r="G424" s="628" t="s">
        <v>169</v>
      </c>
      <c r="H424" s="113"/>
      <c r="I424" s="129"/>
      <c r="J424" s="129"/>
      <c r="K424" s="129"/>
      <c r="L424" s="130"/>
      <c r="M424" s="162"/>
      <c r="N424" s="162"/>
      <c r="O424" s="163"/>
      <c r="Q424" s="161"/>
      <c r="R424" s="161"/>
      <c r="S424" s="161"/>
      <c r="T424" s="162"/>
      <c r="U424" s="162"/>
      <c r="V424" s="164"/>
      <c r="W424" s="163"/>
      <c r="X424" s="155"/>
      <c r="Y424" s="161"/>
      <c r="Z424" s="161"/>
      <c r="AA424" s="161"/>
      <c r="AB424" s="162"/>
      <c r="AC424" s="162"/>
      <c r="AD424" s="164"/>
      <c r="AE424" s="163"/>
      <c r="AF424" s="155"/>
      <c r="AG424" s="161"/>
      <c r="AH424" s="161"/>
      <c r="AI424" s="161"/>
      <c r="AJ424" s="162"/>
      <c r="AK424" s="162"/>
      <c r="AL424" s="164"/>
      <c r="AM424" s="163"/>
      <c r="AN424" s="155"/>
      <c r="AO424" s="161"/>
      <c r="AP424" s="161"/>
      <c r="AQ424" s="161"/>
      <c r="AR424" s="162"/>
      <c r="AS424" s="162"/>
      <c r="AT424" s="164"/>
      <c r="AU424" s="163"/>
    </row>
    <row r="425" spans="1:47" ht="15.95" customHeight="1" x14ac:dyDescent="0.2">
      <c r="A425" s="629"/>
      <c r="B425" s="629"/>
      <c r="C425" s="629"/>
      <c r="D425" s="630"/>
      <c r="E425" s="630"/>
      <c r="F425" s="631"/>
      <c r="G425" s="628" t="s">
        <v>169</v>
      </c>
      <c r="H425" s="113"/>
      <c r="I425" s="129"/>
      <c r="J425" s="129"/>
      <c r="K425" s="129"/>
      <c r="L425" s="130"/>
      <c r="M425" s="162"/>
      <c r="N425" s="162"/>
      <c r="O425" s="163"/>
      <c r="Q425" s="161"/>
      <c r="R425" s="161"/>
      <c r="S425" s="161"/>
      <c r="T425" s="162"/>
      <c r="U425" s="162"/>
      <c r="V425" s="164"/>
      <c r="W425" s="163"/>
      <c r="X425" s="155"/>
      <c r="Y425" s="161"/>
      <c r="Z425" s="161"/>
      <c r="AA425" s="161"/>
      <c r="AB425" s="162"/>
      <c r="AC425" s="162"/>
      <c r="AD425" s="164"/>
      <c r="AE425" s="163"/>
      <c r="AF425" s="155"/>
      <c r="AG425" s="161"/>
      <c r="AH425" s="161"/>
      <c r="AI425" s="161"/>
      <c r="AJ425" s="162"/>
      <c r="AK425" s="162"/>
      <c r="AL425" s="164"/>
      <c r="AM425" s="163"/>
      <c r="AN425" s="155"/>
      <c r="AO425" s="161"/>
      <c r="AP425" s="161"/>
      <c r="AQ425" s="161"/>
      <c r="AR425" s="162"/>
      <c r="AS425" s="162"/>
      <c r="AT425" s="164"/>
      <c r="AU425" s="163"/>
    </row>
    <row r="426" spans="1:47" x14ac:dyDescent="0.2">
      <c r="A426" s="632"/>
      <c r="B426" s="632"/>
      <c r="C426" s="632"/>
      <c r="D426" s="632"/>
      <c r="E426" s="632"/>
      <c r="F426" s="633"/>
      <c r="G426" s="632"/>
      <c r="I426" s="106"/>
      <c r="J426" s="106"/>
      <c r="K426" s="106"/>
      <c r="L426" s="106"/>
      <c r="M426" s="155"/>
      <c r="N426" s="155"/>
      <c r="O426" s="155"/>
      <c r="Q426" s="155"/>
      <c r="R426" s="155"/>
      <c r="S426" s="155"/>
      <c r="T426" s="155"/>
      <c r="U426" s="155"/>
      <c r="V426" s="156"/>
      <c r="W426" s="155"/>
      <c r="X426" s="155"/>
      <c r="Y426" s="155"/>
      <c r="Z426" s="155"/>
      <c r="AA426" s="155"/>
      <c r="AB426" s="155"/>
      <c r="AC426" s="155"/>
      <c r="AD426" s="156"/>
      <c r="AE426" s="155"/>
      <c r="AF426" s="155"/>
      <c r="AG426" s="155"/>
      <c r="AH426" s="155"/>
      <c r="AI426" s="155"/>
      <c r="AJ426" s="155"/>
      <c r="AK426" s="155"/>
      <c r="AL426" s="156"/>
      <c r="AM426" s="155"/>
      <c r="AN426" s="155"/>
      <c r="AO426" s="155"/>
      <c r="AP426" s="155"/>
      <c r="AQ426" s="155"/>
      <c r="AR426" s="155"/>
      <c r="AS426" s="155"/>
      <c r="AT426" s="156"/>
      <c r="AU426" s="155"/>
    </row>
    <row r="427" spans="1:47" x14ac:dyDescent="0.2">
      <c r="A427" s="632"/>
      <c r="B427" s="632"/>
      <c r="C427" s="632"/>
      <c r="D427" s="632"/>
      <c r="E427" s="632"/>
      <c r="F427" s="633"/>
      <c r="G427" s="632"/>
      <c r="I427" s="106"/>
      <c r="J427" s="106"/>
      <c r="K427" s="106"/>
      <c r="L427" s="106"/>
      <c r="M427" s="155"/>
      <c r="N427" s="155"/>
      <c r="O427" s="155"/>
      <c r="Q427" s="155"/>
      <c r="R427" s="155"/>
      <c r="S427" s="155"/>
      <c r="T427" s="155"/>
      <c r="U427" s="155"/>
      <c r="V427" s="156"/>
      <c r="W427" s="155"/>
      <c r="X427" s="155"/>
      <c r="Y427" s="155"/>
      <c r="Z427" s="155"/>
      <c r="AA427" s="155"/>
      <c r="AB427" s="155"/>
      <c r="AC427" s="155"/>
      <c r="AD427" s="156"/>
      <c r="AE427" s="155"/>
      <c r="AF427" s="155"/>
      <c r="AG427" s="155"/>
      <c r="AH427" s="155"/>
      <c r="AI427" s="155"/>
      <c r="AJ427" s="155"/>
      <c r="AK427" s="155"/>
      <c r="AL427" s="156"/>
      <c r="AM427" s="155"/>
      <c r="AN427" s="155"/>
      <c r="AO427" s="155"/>
      <c r="AP427" s="155"/>
      <c r="AQ427" s="155"/>
      <c r="AR427" s="155"/>
      <c r="AS427" s="155"/>
      <c r="AT427" s="156"/>
      <c r="AU427" s="155"/>
    </row>
    <row r="428" spans="1:47" ht="13.5" x14ac:dyDescent="0.2">
      <c r="A428" s="632"/>
      <c r="B428" s="632"/>
      <c r="C428" s="1223" t="s">
        <v>169</v>
      </c>
      <c r="D428" s="1223"/>
      <c r="E428" s="634"/>
      <c r="F428" s="635"/>
      <c r="G428" s="626">
        <f>SUM(G107:G427)</f>
        <v>0</v>
      </c>
      <c r="H428" s="119"/>
      <c r="I428" s="106"/>
      <c r="J428" s="106"/>
      <c r="K428" s="1198"/>
      <c r="L428" s="1198"/>
      <c r="M428" s="165"/>
      <c r="N428" s="165"/>
      <c r="O428" s="166"/>
      <c r="Q428" s="155"/>
      <c r="R428" s="155"/>
      <c r="S428" s="1211"/>
      <c r="T428" s="1211"/>
      <c r="U428" s="165"/>
      <c r="V428" s="167"/>
      <c r="W428" s="166"/>
      <c r="X428" s="155"/>
      <c r="Y428" s="155"/>
      <c r="Z428" s="155"/>
      <c r="AA428" s="1211"/>
      <c r="AB428" s="1211"/>
      <c r="AC428" s="165"/>
      <c r="AD428" s="167"/>
      <c r="AE428" s="166"/>
      <c r="AF428" s="155"/>
      <c r="AG428" s="155"/>
      <c r="AH428" s="155"/>
      <c r="AI428" s="1211"/>
      <c r="AJ428" s="1211"/>
      <c r="AK428" s="165"/>
      <c r="AL428" s="167"/>
      <c r="AM428" s="166"/>
      <c r="AN428" s="155"/>
      <c r="AO428" s="155"/>
      <c r="AP428" s="155"/>
      <c r="AQ428" s="1211"/>
      <c r="AR428" s="1211"/>
      <c r="AS428" s="165"/>
      <c r="AT428" s="167"/>
      <c r="AU428" s="166"/>
    </row>
    <row r="429" spans="1:47" x14ac:dyDescent="0.2">
      <c r="A429" s="632"/>
      <c r="B429" s="632"/>
      <c r="C429" s="632"/>
      <c r="D429" s="632"/>
      <c r="E429" s="632"/>
      <c r="F429" s="633"/>
      <c r="G429" s="632"/>
      <c r="I429" s="106"/>
      <c r="J429" s="106"/>
      <c r="K429" s="106"/>
      <c r="L429" s="106"/>
      <c r="M429" s="155"/>
      <c r="N429" s="155"/>
      <c r="O429" s="155"/>
      <c r="Q429" s="155"/>
      <c r="R429" s="155"/>
      <c r="S429" s="155"/>
      <c r="T429" s="155"/>
      <c r="U429" s="155"/>
      <c r="V429" s="155"/>
      <c r="W429" s="155"/>
      <c r="X429" s="155"/>
      <c r="Y429" s="155"/>
      <c r="Z429" s="155"/>
      <c r="AA429" s="155"/>
      <c r="AB429" s="155"/>
      <c r="AC429" s="155"/>
      <c r="AD429" s="155"/>
      <c r="AE429" s="155"/>
      <c r="AF429" s="155"/>
      <c r="AG429" s="155"/>
      <c r="AH429" s="155"/>
      <c r="AI429" s="155"/>
      <c r="AJ429" s="155"/>
      <c r="AK429" s="155"/>
      <c r="AL429" s="155"/>
      <c r="AM429" s="155"/>
      <c r="AN429" s="155"/>
      <c r="AO429" s="155"/>
      <c r="AP429" s="155"/>
      <c r="AQ429" s="155"/>
      <c r="AR429" s="155"/>
      <c r="AS429" s="155"/>
      <c r="AT429" s="155"/>
      <c r="AU429" s="155"/>
    </row>
    <row r="430" spans="1:47" x14ac:dyDescent="0.2">
      <c r="I430" s="106"/>
      <c r="J430" s="106"/>
      <c r="K430" s="106"/>
      <c r="L430" s="106"/>
      <c r="M430" s="155"/>
      <c r="N430" s="155"/>
      <c r="O430" s="155"/>
      <c r="Q430" s="155"/>
      <c r="R430" s="155"/>
      <c r="S430" s="155"/>
      <c r="T430" s="155"/>
      <c r="U430" s="155"/>
      <c r="V430" s="155"/>
      <c r="W430" s="155"/>
      <c r="X430" s="155"/>
      <c r="Y430" s="155"/>
      <c r="Z430" s="155"/>
      <c r="AA430" s="155"/>
      <c r="AB430" s="155"/>
      <c r="AC430" s="155"/>
      <c r="AD430" s="155"/>
      <c r="AE430" s="155"/>
      <c r="AF430" s="155"/>
      <c r="AG430" s="155"/>
      <c r="AH430" s="155"/>
      <c r="AI430" s="155"/>
      <c r="AJ430" s="155"/>
      <c r="AK430" s="155"/>
      <c r="AL430" s="155"/>
      <c r="AM430" s="155"/>
      <c r="AN430" s="155"/>
      <c r="AO430" s="155"/>
      <c r="AP430" s="155"/>
      <c r="AQ430" s="155"/>
      <c r="AR430" s="155"/>
      <c r="AS430" s="155"/>
      <c r="AT430" s="155"/>
      <c r="AU430" s="155"/>
    </row>
    <row r="431" spans="1:47" x14ac:dyDescent="0.2">
      <c r="I431" s="106"/>
      <c r="J431" s="106"/>
      <c r="K431" s="106"/>
      <c r="L431" s="106"/>
      <c r="M431" s="155"/>
      <c r="N431" s="155"/>
      <c r="O431" s="155"/>
    </row>
    <row r="461" spans="5:7" ht="13.5" thickBot="1" x14ac:dyDescent="0.25"/>
    <row r="462" spans="5:7" ht="13.5" thickBot="1" x14ac:dyDescent="0.25">
      <c r="E462" s="1228" t="s">
        <v>232</v>
      </c>
      <c r="F462" s="1229"/>
      <c r="G462" s="637">
        <f>+G428+O428</f>
        <v>0</v>
      </c>
    </row>
  </sheetData>
  <protectedRanges>
    <protectedRange sqref="AO107:AT425" name="Rango7"/>
    <protectedRange sqref="Y107:AD425" name="Rango5"/>
    <protectedRange sqref="I107:N425" name="Rango3"/>
    <protectedRange sqref="Q107:V424" name="Rango4"/>
    <protectedRange sqref="AG107:AL425" name="Rango6"/>
  </protectedRanges>
  <mergeCells count="60">
    <mergeCell ref="A49:C49"/>
    <mergeCell ref="A50:C50"/>
    <mergeCell ref="A87:C87"/>
    <mergeCell ref="A90:C90"/>
    <mergeCell ref="A98:C98"/>
    <mergeCell ref="AQ103:AR103"/>
    <mergeCell ref="A99:C99"/>
    <mergeCell ref="A103:C103"/>
    <mergeCell ref="K103:L103"/>
    <mergeCell ref="S103:T103"/>
    <mergeCell ref="AA103:AB103"/>
    <mergeCell ref="AI103:AJ103"/>
    <mergeCell ref="E462:F462"/>
    <mergeCell ref="A52:C52"/>
    <mergeCell ref="A60:C60"/>
    <mergeCell ref="A62:D62"/>
    <mergeCell ref="A63:C63"/>
    <mergeCell ref="A64:C64"/>
    <mergeCell ref="A88:C88"/>
    <mergeCell ref="A61:C61"/>
    <mergeCell ref="A73:C73"/>
    <mergeCell ref="A74:C74"/>
    <mergeCell ref="A75:C75"/>
    <mergeCell ref="A76:C76"/>
    <mergeCell ref="A77:C77"/>
    <mergeCell ref="A78:C78"/>
    <mergeCell ref="A106:F106"/>
    <mergeCell ref="A107:F107"/>
    <mergeCell ref="K428:L428"/>
    <mergeCell ref="A19:E19"/>
    <mergeCell ref="B20:H20"/>
    <mergeCell ref="A21:E21"/>
    <mergeCell ref="B22:H22"/>
    <mergeCell ref="A23:D23"/>
    <mergeCell ref="A29:C29"/>
    <mergeCell ref="A34:C34"/>
    <mergeCell ref="A35:C35"/>
    <mergeCell ref="A36:C36"/>
    <mergeCell ref="A37:C37"/>
    <mergeCell ref="A38:C38"/>
    <mergeCell ref="A39:C39"/>
    <mergeCell ref="A40:C40"/>
    <mergeCell ref="A67:C67"/>
    <mergeCell ref="A72:C72"/>
    <mergeCell ref="AQ428:AR428"/>
    <mergeCell ref="Y22:AE22"/>
    <mergeCell ref="A51:C51"/>
    <mergeCell ref="A26:C26"/>
    <mergeCell ref="AO22:AU22"/>
    <mergeCell ref="A28:C28"/>
    <mergeCell ref="AA428:AB428"/>
    <mergeCell ref="AG22:AM22"/>
    <mergeCell ref="Q22:W22"/>
    <mergeCell ref="S428:T428"/>
    <mergeCell ref="A89:C89"/>
    <mergeCell ref="A24:D24"/>
    <mergeCell ref="A25:C25"/>
    <mergeCell ref="AI428:AJ428"/>
    <mergeCell ref="C428:D428"/>
    <mergeCell ref="A66:C66"/>
  </mergeCells>
  <phoneticPr fontId="27" type="noConversion"/>
  <dataValidations disablePrompts="1" count="1">
    <dataValidation type="list" allowBlank="1" showInputMessage="1" showErrorMessage="1" sqref="H2:H17">
      <formula1>$CC$2:$CC$18</formula1>
    </dataValidation>
  </dataValidations>
  <pageMargins left="0.19685039370078741" right="0.19685039370078741" top="0.39370078740157483" bottom="0.19685039370078741" header="0" footer="0"/>
  <pageSetup scale="5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C253"/>
  <sheetViews>
    <sheetView workbookViewId="0">
      <selection activeCell="D25" sqref="D25"/>
    </sheetView>
  </sheetViews>
  <sheetFormatPr baseColWidth="10" defaultRowHeight="12.75" x14ac:dyDescent="0.2"/>
  <cols>
    <col min="1" max="1" width="11" customWidth="1"/>
    <col min="2" max="2" width="28.42578125" customWidth="1"/>
    <col min="3" max="3" width="14.28515625" style="277" customWidth="1"/>
    <col min="4" max="13" width="12.7109375" style="277" customWidth="1"/>
    <col min="14" max="14" width="12.85546875" style="277" customWidth="1"/>
    <col min="15" max="81" width="11.42578125" style="237"/>
  </cols>
  <sheetData>
    <row r="1" spans="1:14" x14ac:dyDescent="0.2">
      <c r="A1" s="237"/>
      <c r="B1" s="237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</row>
    <row r="2" spans="1:14" ht="20.25" customHeight="1" x14ac:dyDescent="0.25">
      <c r="A2" s="1255" t="s">
        <v>462</v>
      </c>
      <c r="B2" s="1255"/>
      <c r="C2" s="1255"/>
      <c r="D2" s="1255"/>
      <c r="E2" s="1255"/>
      <c r="F2" s="1255"/>
      <c r="G2" s="1255"/>
      <c r="H2" s="1255"/>
      <c r="I2" s="1255"/>
      <c r="J2" s="1255"/>
      <c r="K2" s="1255"/>
      <c r="L2" s="1255"/>
      <c r="M2" s="1255"/>
      <c r="N2" s="1255"/>
    </row>
    <row r="3" spans="1:14" ht="20.25" customHeight="1" x14ac:dyDescent="0.25">
      <c r="A3" s="1254" t="str">
        <f>+PRESUPUESTO!B2</f>
        <v>MEDICINA PREGRADO</v>
      </c>
      <c r="B3" s="1254"/>
      <c r="C3" s="1254"/>
      <c r="D3" s="1254"/>
      <c r="E3" s="1254"/>
      <c r="F3" s="1254"/>
      <c r="G3" s="1254"/>
      <c r="H3" s="1254"/>
      <c r="I3" s="1254"/>
      <c r="J3" s="1254"/>
      <c r="K3" s="1254"/>
      <c r="L3" s="1254"/>
      <c r="M3" s="1254"/>
      <c r="N3" s="1254"/>
    </row>
    <row r="4" spans="1:14" ht="20.25" customHeight="1" thickBot="1" x14ac:dyDescent="0.3">
      <c r="A4" s="1256">
        <v>2018</v>
      </c>
      <c r="B4" s="1256"/>
      <c r="C4" s="1256"/>
      <c r="D4" s="1256"/>
      <c r="E4" s="1256"/>
      <c r="F4" s="1256"/>
      <c r="G4" s="1256"/>
      <c r="H4" s="1256"/>
      <c r="I4" s="1256"/>
      <c r="J4" s="1256"/>
      <c r="K4" s="1256"/>
      <c r="L4" s="1256"/>
      <c r="M4" s="1256"/>
      <c r="N4" s="1256"/>
    </row>
    <row r="5" spans="1:14" ht="12.75" customHeight="1" x14ac:dyDescent="0.2">
      <c r="A5" s="1257" t="s">
        <v>440</v>
      </c>
      <c r="B5" s="1259" t="s">
        <v>441</v>
      </c>
      <c r="C5" s="1249" t="s">
        <v>773</v>
      </c>
      <c r="D5" s="1249" t="s">
        <v>773</v>
      </c>
      <c r="E5" s="1249" t="s">
        <v>773</v>
      </c>
      <c r="F5" s="1249" t="s">
        <v>773</v>
      </c>
      <c r="G5" s="1249" t="s">
        <v>773</v>
      </c>
      <c r="H5" s="1249" t="s">
        <v>773</v>
      </c>
      <c r="I5" s="1249" t="s">
        <v>773</v>
      </c>
      <c r="J5" s="1249" t="s">
        <v>773</v>
      </c>
      <c r="K5" s="1249" t="s">
        <v>773</v>
      </c>
      <c r="L5" s="1249" t="s">
        <v>773</v>
      </c>
      <c r="M5" s="1249" t="s">
        <v>773</v>
      </c>
      <c r="N5" s="1249" t="s">
        <v>869</v>
      </c>
    </row>
    <row r="6" spans="1:14" ht="42" customHeight="1" thickBot="1" x14ac:dyDescent="0.25">
      <c r="A6" s="1258"/>
      <c r="B6" s="1260"/>
      <c r="C6" s="1250"/>
      <c r="D6" s="1250"/>
      <c r="E6" s="1250"/>
      <c r="F6" s="1250"/>
      <c r="G6" s="1250"/>
      <c r="H6" s="1250"/>
      <c r="I6" s="1250"/>
      <c r="J6" s="1250"/>
      <c r="K6" s="1250"/>
      <c r="L6" s="1250"/>
      <c r="M6" s="1250"/>
      <c r="N6" s="1250"/>
    </row>
    <row r="7" spans="1:14" ht="13.5" thickBot="1" x14ac:dyDescent="0.25">
      <c r="A7" s="1251" t="s">
        <v>0</v>
      </c>
      <c r="B7" s="1252"/>
      <c r="C7" s="267"/>
      <c r="D7" s="267"/>
      <c r="E7" s="267"/>
      <c r="F7" s="267"/>
      <c r="G7" s="267"/>
      <c r="H7" s="267"/>
      <c r="I7" s="267"/>
      <c r="J7" s="267"/>
      <c r="K7" s="267"/>
      <c r="L7" s="267"/>
      <c r="M7" s="267"/>
      <c r="N7" s="268"/>
    </row>
    <row r="8" spans="1:14" x14ac:dyDescent="0.2">
      <c r="A8" s="249"/>
      <c r="B8" s="245" t="s">
        <v>464</v>
      </c>
      <c r="C8" s="568"/>
      <c r="D8" s="269"/>
      <c r="E8" s="269"/>
      <c r="F8" s="269"/>
      <c r="G8" s="269"/>
      <c r="H8" s="269"/>
      <c r="I8" s="269"/>
      <c r="J8" s="269"/>
      <c r="K8" s="269"/>
      <c r="L8" s="269"/>
      <c r="M8" s="269"/>
      <c r="N8" s="270">
        <f>SUM(C8:M8)</f>
        <v>0</v>
      </c>
    </row>
    <row r="9" spans="1:14" ht="13.5" thickBot="1" x14ac:dyDescent="0.25">
      <c r="A9" s="1253" t="s">
        <v>444</v>
      </c>
      <c r="B9" s="1252"/>
      <c r="C9" s="271">
        <f t="shared" ref="C9:M9" si="0">SUM(C8:C8)</f>
        <v>0</v>
      </c>
      <c r="D9" s="271">
        <f t="shared" si="0"/>
        <v>0</v>
      </c>
      <c r="E9" s="271">
        <f t="shared" si="0"/>
        <v>0</v>
      </c>
      <c r="F9" s="271">
        <f t="shared" si="0"/>
        <v>0</v>
      </c>
      <c r="G9" s="271">
        <f t="shared" si="0"/>
        <v>0</v>
      </c>
      <c r="H9" s="271">
        <f t="shared" si="0"/>
        <v>0</v>
      </c>
      <c r="I9" s="271">
        <f t="shared" si="0"/>
        <v>0</v>
      </c>
      <c r="J9" s="271">
        <f t="shared" si="0"/>
        <v>0</v>
      </c>
      <c r="K9" s="271">
        <f t="shared" si="0"/>
        <v>0</v>
      </c>
      <c r="L9" s="271">
        <f t="shared" si="0"/>
        <v>0</v>
      </c>
      <c r="M9" s="271">
        <f t="shared" si="0"/>
        <v>0</v>
      </c>
      <c r="N9" s="268">
        <f>SUM(C9:M9)</f>
        <v>0</v>
      </c>
    </row>
    <row r="10" spans="1:14" ht="13.5" thickBot="1" x14ac:dyDescent="0.25">
      <c r="A10" s="247"/>
      <c r="B10" s="244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</row>
    <row r="11" spans="1:14" ht="13.5" thickBot="1" x14ac:dyDescent="0.25">
      <c r="A11" s="1253" t="s">
        <v>445</v>
      </c>
      <c r="B11" s="1252"/>
      <c r="C11" s="272"/>
      <c r="D11" s="272"/>
      <c r="E11" s="272"/>
      <c r="F11" s="272"/>
      <c r="G11" s="272"/>
      <c r="H11" s="272"/>
      <c r="I11" s="272"/>
      <c r="J11" s="272"/>
      <c r="K11" s="272"/>
      <c r="L11" s="272"/>
      <c r="M11" s="272"/>
      <c r="N11" s="268"/>
    </row>
    <row r="12" spans="1:14" x14ac:dyDescent="0.2">
      <c r="A12" s="241">
        <v>5110950000</v>
      </c>
      <c r="B12" s="245" t="s">
        <v>223</v>
      </c>
      <c r="C12" s="269"/>
      <c r="D12" s="269"/>
      <c r="E12" s="269"/>
      <c r="F12" s="269"/>
      <c r="G12" s="269"/>
      <c r="H12" s="269"/>
      <c r="I12" s="269"/>
      <c r="J12" s="269"/>
      <c r="K12" s="269"/>
      <c r="L12" s="269"/>
      <c r="M12" s="269"/>
      <c r="N12" s="270">
        <f t="shared" ref="N12:N25" si="1">SUM(C12:M12)</f>
        <v>0</v>
      </c>
    </row>
    <row r="13" spans="1:14" x14ac:dyDescent="0.2">
      <c r="A13" s="242">
        <v>5120100000</v>
      </c>
      <c r="B13" s="245" t="s">
        <v>446</v>
      </c>
      <c r="C13" s="269"/>
      <c r="D13" s="269"/>
      <c r="E13" s="269"/>
      <c r="F13" s="269"/>
      <c r="G13" s="269"/>
      <c r="H13" s="269"/>
      <c r="I13" s="269"/>
      <c r="J13" s="269"/>
      <c r="K13" s="269"/>
      <c r="L13" s="269"/>
      <c r="M13" s="269"/>
      <c r="N13" s="270">
        <f t="shared" si="1"/>
        <v>0</v>
      </c>
    </row>
    <row r="14" spans="1:14" x14ac:dyDescent="0.2">
      <c r="A14" s="242">
        <v>5130100000</v>
      </c>
      <c r="B14" s="245" t="s">
        <v>447</v>
      </c>
      <c r="C14" s="269"/>
      <c r="D14" s="269"/>
      <c r="E14" s="269"/>
      <c r="F14" s="269"/>
      <c r="G14" s="269"/>
      <c r="H14" s="269"/>
      <c r="I14" s="269"/>
      <c r="J14" s="269"/>
      <c r="K14" s="269"/>
      <c r="L14" s="269"/>
      <c r="M14" s="269"/>
      <c r="N14" s="270">
        <f t="shared" si="1"/>
        <v>0</v>
      </c>
    </row>
    <row r="15" spans="1:14" x14ac:dyDescent="0.2">
      <c r="A15" s="242">
        <v>5135400000</v>
      </c>
      <c r="B15" s="245" t="s">
        <v>448</v>
      </c>
      <c r="C15" s="269"/>
      <c r="D15" s="269"/>
      <c r="E15" s="269"/>
      <c r="F15" s="269"/>
      <c r="G15" s="269"/>
      <c r="H15" s="269"/>
      <c r="I15" s="269"/>
      <c r="J15" s="269"/>
      <c r="K15" s="269"/>
      <c r="L15" s="269"/>
      <c r="M15" s="269"/>
      <c r="N15" s="270">
        <f t="shared" si="1"/>
        <v>0</v>
      </c>
    </row>
    <row r="16" spans="1:14" x14ac:dyDescent="0.2">
      <c r="A16" s="242">
        <v>5135950500</v>
      </c>
      <c r="B16" s="245" t="s">
        <v>449</v>
      </c>
      <c r="C16" s="269"/>
      <c r="D16" s="269"/>
      <c r="E16" s="325"/>
      <c r="F16" s="325"/>
      <c r="G16" s="325"/>
      <c r="H16" s="325"/>
      <c r="I16" s="325"/>
      <c r="J16" s="269"/>
      <c r="K16" s="269"/>
      <c r="L16" s="269"/>
      <c r="M16" s="269"/>
      <c r="N16" s="270">
        <f t="shared" si="1"/>
        <v>0</v>
      </c>
    </row>
    <row r="17" spans="1:14" x14ac:dyDescent="0.2">
      <c r="A17" s="242">
        <v>5155050000</v>
      </c>
      <c r="B17" s="245" t="s">
        <v>420</v>
      </c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70">
        <f t="shared" si="1"/>
        <v>0</v>
      </c>
    </row>
    <row r="18" spans="1:14" x14ac:dyDescent="0.2">
      <c r="A18" s="242">
        <v>5155150000</v>
      </c>
      <c r="B18" s="245" t="s">
        <v>233</v>
      </c>
      <c r="C18" s="269"/>
      <c r="D18" s="269"/>
      <c r="E18" s="269"/>
      <c r="F18" s="269"/>
      <c r="G18" s="269"/>
      <c r="H18" s="269"/>
      <c r="I18" s="269"/>
      <c r="J18" s="269"/>
      <c r="K18" s="269"/>
      <c r="L18" s="269"/>
      <c r="M18" s="269"/>
      <c r="N18" s="270">
        <f t="shared" si="1"/>
        <v>0</v>
      </c>
    </row>
    <row r="19" spans="1:14" x14ac:dyDescent="0.2">
      <c r="A19" s="242">
        <v>5195200000</v>
      </c>
      <c r="B19" s="245" t="s">
        <v>452</v>
      </c>
      <c r="C19" s="269"/>
      <c r="D19" s="269"/>
      <c r="E19" s="269"/>
      <c r="F19" s="269"/>
      <c r="G19" s="269"/>
      <c r="H19" s="269"/>
      <c r="I19" s="269"/>
      <c r="J19" s="269"/>
      <c r="K19" s="269"/>
      <c r="L19" s="269"/>
      <c r="M19" s="269"/>
      <c r="N19" s="270">
        <f t="shared" si="1"/>
        <v>0</v>
      </c>
    </row>
    <row r="20" spans="1:14" x14ac:dyDescent="0.2">
      <c r="A20" s="242">
        <v>5195300000</v>
      </c>
      <c r="B20" s="245" t="s">
        <v>453</v>
      </c>
      <c r="C20" s="269"/>
      <c r="D20" s="269"/>
      <c r="E20" s="269"/>
      <c r="F20" s="269"/>
      <c r="G20" s="269"/>
      <c r="H20" s="269"/>
      <c r="I20" s="269"/>
      <c r="J20" s="269"/>
      <c r="K20" s="269"/>
      <c r="L20" s="269"/>
      <c r="M20" s="269"/>
      <c r="N20" s="270">
        <f t="shared" si="1"/>
        <v>0</v>
      </c>
    </row>
    <row r="21" spans="1:14" x14ac:dyDescent="0.2">
      <c r="A21" s="242">
        <v>5195450000</v>
      </c>
      <c r="B21" s="245" t="s">
        <v>454</v>
      </c>
      <c r="C21" s="269"/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70">
        <f t="shared" si="1"/>
        <v>0</v>
      </c>
    </row>
    <row r="22" spans="1:14" x14ac:dyDescent="0.2">
      <c r="A22" s="242">
        <v>5195950200</v>
      </c>
      <c r="B22" s="245" t="s">
        <v>455</v>
      </c>
      <c r="C22" s="269"/>
      <c r="D22" s="269"/>
      <c r="E22" s="269"/>
      <c r="F22" s="269"/>
      <c r="G22" s="269"/>
      <c r="H22" s="269"/>
      <c r="I22" s="269"/>
      <c r="J22" s="269"/>
      <c r="K22" s="269"/>
      <c r="L22" s="269"/>
      <c r="M22" s="269"/>
      <c r="N22" s="270">
        <f t="shared" si="1"/>
        <v>0</v>
      </c>
    </row>
    <row r="23" spans="1:14" x14ac:dyDescent="0.2">
      <c r="A23" s="242">
        <v>5195951600</v>
      </c>
      <c r="B23" s="246" t="s">
        <v>456</v>
      </c>
      <c r="C23" s="269"/>
      <c r="D23" s="269"/>
      <c r="E23" s="269"/>
      <c r="F23" s="269"/>
      <c r="G23" s="269"/>
      <c r="H23" s="269"/>
      <c r="I23" s="269"/>
      <c r="J23" s="269"/>
      <c r="K23" s="269"/>
      <c r="L23" s="269"/>
      <c r="M23" s="269"/>
      <c r="N23" s="270">
        <f t="shared" si="1"/>
        <v>0</v>
      </c>
    </row>
    <row r="24" spans="1:14" x14ac:dyDescent="0.2">
      <c r="A24" s="242">
        <v>5395950000</v>
      </c>
      <c r="B24" s="246" t="s">
        <v>457</v>
      </c>
      <c r="C24" s="269"/>
      <c r="D24" s="269"/>
      <c r="E24" s="269"/>
      <c r="F24" s="269"/>
      <c r="G24" s="269"/>
      <c r="H24" s="269"/>
      <c r="I24" s="269"/>
      <c r="J24" s="269"/>
      <c r="K24" s="269"/>
      <c r="L24" s="269"/>
      <c r="M24" s="269"/>
      <c r="N24" s="270">
        <f t="shared" si="1"/>
        <v>0</v>
      </c>
    </row>
    <row r="25" spans="1:14" ht="13.5" thickBot="1" x14ac:dyDescent="0.25">
      <c r="A25" s="243"/>
      <c r="B25" s="246" t="s">
        <v>459</v>
      </c>
      <c r="C25" s="554">
        <f t="shared" ref="C25:M25" si="2">+C9*0.15</f>
        <v>0</v>
      </c>
      <c r="D25" s="554">
        <f t="shared" si="2"/>
        <v>0</v>
      </c>
      <c r="E25" s="554">
        <f t="shared" si="2"/>
        <v>0</v>
      </c>
      <c r="F25" s="554">
        <f t="shared" si="2"/>
        <v>0</v>
      </c>
      <c r="G25" s="554">
        <f t="shared" si="2"/>
        <v>0</v>
      </c>
      <c r="H25" s="554">
        <f t="shared" si="2"/>
        <v>0</v>
      </c>
      <c r="I25" s="554">
        <f t="shared" si="2"/>
        <v>0</v>
      </c>
      <c r="J25" s="554">
        <f t="shared" si="2"/>
        <v>0</v>
      </c>
      <c r="K25" s="554">
        <f t="shared" si="2"/>
        <v>0</v>
      </c>
      <c r="L25" s="554">
        <f t="shared" si="2"/>
        <v>0</v>
      </c>
      <c r="M25" s="554">
        <f t="shared" si="2"/>
        <v>0</v>
      </c>
      <c r="N25" s="270">
        <f t="shared" si="1"/>
        <v>0</v>
      </c>
    </row>
    <row r="26" spans="1:14" ht="13.5" thickBot="1" x14ac:dyDescent="0.25">
      <c r="A26" s="1253" t="s">
        <v>458</v>
      </c>
      <c r="B26" s="1252"/>
      <c r="C26" s="272">
        <f t="shared" ref="C26:M26" si="3">SUM(C12:C25)</f>
        <v>0</v>
      </c>
      <c r="D26" s="272">
        <f t="shared" si="3"/>
        <v>0</v>
      </c>
      <c r="E26" s="272">
        <f t="shared" si="3"/>
        <v>0</v>
      </c>
      <c r="F26" s="272">
        <f t="shared" si="3"/>
        <v>0</v>
      </c>
      <c r="G26" s="272">
        <f t="shared" si="3"/>
        <v>0</v>
      </c>
      <c r="H26" s="272">
        <f t="shared" si="3"/>
        <v>0</v>
      </c>
      <c r="I26" s="272">
        <f t="shared" si="3"/>
        <v>0</v>
      </c>
      <c r="J26" s="272">
        <f t="shared" si="3"/>
        <v>0</v>
      </c>
      <c r="K26" s="272">
        <f t="shared" si="3"/>
        <v>0</v>
      </c>
      <c r="L26" s="272">
        <f t="shared" si="3"/>
        <v>0</v>
      </c>
      <c r="M26" s="272">
        <f t="shared" si="3"/>
        <v>0</v>
      </c>
      <c r="N26" s="268">
        <f>SUM(C26:M26)</f>
        <v>0</v>
      </c>
    </row>
    <row r="27" spans="1:14" ht="13.5" thickBot="1" x14ac:dyDescent="0.25">
      <c r="A27" s="247"/>
      <c r="B27" s="248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</row>
    <row r="28" spans="1:14" ht="13.5" thickBot="1" x14ac:dyDescent="0.25">
      <c r="A28" s="1247" t="s">
        <v>460</v>
      </c>
      <c r="B28" s="1248"/>
      <c r="C28" s="274">
        <f t="shared" ref="C28:M28" si="4">+C9-C26</f>
        <v>0</v>
      </c>
      <c r="D28" s="274">
        <f t="shared" si="4"/>
        <v>0</v>
      </c>
      <c r="E28" s="274">
        <f t="shared" si="4"/>
        <v>0</v>
      </c>
      <c r="F28" s="274">
        <f t="shared" si="4"/>
        <v>0</v>
      </c>
      <c r="G28" s="274">
        <f t="shared" si="4"/>
        <v>0</v>
      </c>
      <c r="H28" s="274">
        <f t="shared" si="4"/>
        <v>0</v>
      </c>
      <c r="I28" s="274">
        <f t="shared" si="4"/>
        <v>0</v>
      </c>
      <c r="J28" s="274">
        <f t="shared" si="4"/>
        <v>0</v>
      </c>
      <c r="K28" s="274">
        <f t="shared" si="4"/>
        <v>0</v>
      </c>
      <c r="L28" s="274">
        <f t="shared" si="4"/>
        <v>0</v>
      </c>
      <c r="M28" s="274">
        <f t="shared" si="4"/>
        <v>0</v>
      </c>
      <c r="N28" s="275">
        <f>SUM(C28:M28)</f>
        <v>0</v>
      </c>
    </row>
    <row r="29" spans="1:14" x14ac:dyDescent="0.2">
      <c r="A29" s="237"/>
      <c r="B29" s="237"/>
      <c r="C29" s="266"/>
      <c r="D29" s="266"/>
      <c r="E29" s="266"/>
      <c r="F29" s="266"/>
      <c r="G29" s="266"/>
      <c r="H29" s="266"/>
      <c r="I29" s="266"/>
      <c r="J29" s="266"/>
      <c r="K29" s="266"/>
      <c r="L29" s="266"/>
      <c r="M29" s="266"/>
      <c r="N29" s="266"/>
    </row>
    <row r="30" spans="1:14" x14ac:dyDescent="0.2">
      <c r="A30" s="251" t="s">
        <v>465</v>
      </c>
      <c r="B30" s="252"/>
      <c r="C30" s="276"/>
      <c r="D30" s="276"/>
      <c r="E30" s="276"/>
      <c r="F30" s="276"/>
      <c r="G30" s="276"/>
      <c r="H30" s="276"/>
      <c r="I30" s="276"/>
      <c r="J30" s="276"/>
      <c r="K30" s="276"/>
      <c r="L30" s="276"/>
      <c r="M30" s="276"/>
      <c r="N30" s="266"/>
    </row>
    <row r="31" spans="1:14" s="237" customFormat="1" x14ac:dyDescent="0.2">
      <c r="C31" s="266"/>
      <c r="D31" s="266"/>
      <c r="E31" s="266"/>
      <c r="F31" s="266"/>
      <c r="G31" s="266"/>
      <c r="H31" s="266"/>
      <c r="I31" s="266"/>
      <c r="J31" s="266"/>
      <c r="K31" s="266"/>
      <c r="L31" s="266"/>
      <c r="M31" s="266"/>
      <c r="N31" s="266"/>
    </row>
    <row r="32" spans="1:14" s="237" customFormat="1" x14ac:dyDescent="0.2">
      <c r="C32" s="266"/>
      <c r="D32" s="266"/>
      <c r="E32" s="266"/>
      <c r="F32" s="266"/>
      <c r="G32" s="266"/>
      <c r="H32" s="266"/>
      <c r="I32" s="266"/>
      <c r="J32" s="266"/>
      <c r="K32" s="266"/>
      <c r="L32" s="266"/>
      <c r="M32" s="266"/>
      <c r="N32" s="266"/>
    </row>
    <row r="33" spans="3:14" s="237" customFormat="1" x14ac:dyDescent="0.2">
      <c r="C33" s="266"/>
      <c r="D33" s="266"/>
      <c r="E33" s="266"/>
      <c r="F33" s="266"/>
      <c r="G33" s="266"/>
      <c r="H33" s="266"/>
      <c r="I33" s="266"/>
      <c r="J33" s="266"/>
      <c r="K33" s="266"/>
      <c r="L33" s="266"/>
      <c r="M33" s="266"/>
      <c r="N33" s="266"/>
    </row>
    <row r="34" spans="3:14" s="237" customFormat="1" x14ac:dyDescent="0.2">
      <c r="C34" s="266"/>
      <c r="D34" s="266"/>
      <c r="E34" s="266"/>
      <c r="F34" s="266"/>
      <c r="G34" s="266"/>
      <c r="H34" s="266"/>
      <c r="I34" s="266"/>
      <c r="J34" s="266"/>
      <c r="K34" s="266"/>
      <c r="L34" s="266"/>
      <c r="M34" s="266"/>
      <c r="N34" s="266"/>
    </row>
    <row r="35" spans="3:14" s="237" customFormat="1" x14ac:dyDescent="0.2">
      <c r="C35" s="266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</row>
    <row r="36" spans="3:14" s="237" customFormat="1" x14ac:dyDescent="0.2"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</row>
    <row r="37" spans="3:14" s="237" customFormat="1" x14ac:dyDescent="0.2">
      <c r="C37" s="266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</row>
    <row r="38" spans="3:14" s="237" customFormat="1" x14ac:dyDescent="0.2">
      <c r="C38" s="266"/>
      <c r="D38" s="266"/>
      <c r="E38" s="266"/>
      <c r="F38" s="266"/>
      <c r="G38" s="266"/>
      <c r="H38" s="266"/>
      <c r="I38" s="266"/>
      <c r="J38" s="266"/>
      <c r="K38" s="266"/>
      <c r="L38" s="266"/>
      <c r="M38" s="266"/>
      <c r="N38" s="266"/>
    </row>
    <row r="39" spans="3:14" s="237" customFormat="1" x14ac:dyDescent="0.2"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</row>
    <row r="40" spans="3:14" s="237" customFormat="1" x14ac:dyDescent="0.2">
      <c r="C40" s="266"/>
      <c r="D40" s="266"/>
      <c r="E40" s="266"/>
      <c r="F40" s="266"/>
      <c r="G40" s="266"/>
      <c r="H40" s="266"/>
      <c r="I40" s="266"/>
      <c r="J40" s="266"/>
      <c r="K40" s="266"/>
      <c r="L40" s="266"/>
      <c r="M40" s="266"/>
      <c r="N40" s="266"/>
    </row>
    <row r="41" spans="3:14" s="237" customFormat="1" x14ac:dyDescent="0.2">
      <c r="C41" s="266"/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</row>
    <row r="42" spans="3:14" s="237" customFormat="1" x14ac:dyDescent="0.2">
      <c r="C42" s="266"/>
      <c r="D42" s="266"/>
      <c r="E42" s="266"/>
      <c r="F42" s="266"/>
      <c r="G42" s="266"/>
      <c r="H42" s="266"/>
      <c r="I42" s="266"/>
      <c r="J42" s="266"/>
      <c r="K42" s="266"/>
      <c r="L42" s="266"/>
      <c r="M42" s="266"/>
      <c r="N42" s="266"/>
    </row>
    <row r="43" spans="3:14" s="237" customFormat="1" x14ac:dyDescent="0.2"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6"/>
      <c r="N43" s="266"/>
    </row>
    <row r="44" spans="3:14" s="237" customFormat="1" x14ac:dyDescent="0.2">
      <c r="C44" s="266"/>
      <c r="D44" s="266"/>
      <c r="E44" s="266"/>
      <c r="F44" s="266"/>
      <c r="G44" s="266"/>
      <c r="H44" s="266"/>
      <c r="I44" s="266"/>
      <c r="J44" s="266"/>
      <c r="K44" s="266"/>
      <c r="L44" s="266"/>
      <c r="M44" s="266"/>
      <c r="N44" s="266"/>
    </row>
    <row r="45" spans="3:14" s="237" customFormat="1" x14ac:dyDescent="0.2">
      <c r="C45" s="266"/>
      <c r="D45" s="266"/>
      <c r="E45" s="266"/>
      <c r="F45" s="266"/>
      <c r="G45" s="266"/>
      <c r="H45" s="266"/>
      <c r="I45" s="266"/>
      <c r="J45" s="266"/>
      <c r="K45" s="266"/>
      <c r="L45" s="266"/>
      <c r="M45" s="266"/>
      <c r="N45" s="266"/>
    </row>
    <row r="46" spans="3:14" s="237" customFormat="1" x14ac:dyDescent="0.2">
      <c r="C46" s="266"/>
      <c r="D46" s="266"/>
      <c r="E46" s="266"/>
      <c r="F46" s="266"/>
      <c r="G46" s="266"/>
      <c r="H46" s="266"/>
      <c r="I46" s="266"/>
      <c r="J46" s="266"/>
      <c r="K46" s="266"/>
      <c r="L46" s="266"/>
      <c r="M46" s="266"/>
      <c r="N46" s="266"/>
    </row>
    <row r="47" spans="3:14" s="237" customFormat="1" x14ac:dyDescent="0.2">
      <c r="C47" s="266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</row>
    <row r="48" spans="3:14" s="237" customFormat="1" x14ac:dyDescent="0.2">
      <c r="C48" s="266"/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</row>
    <row r="49" spans="3:14" s="237" customFormat="1" x14ac:dyDescent="0.2">
      <c r="C49" s="266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</row>
    <row r="50" spans="3:14" s="237" customFormat="1" x14ac:dyDescent="0.2"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</row>
    <row r="51" spans="3:14" s="237" customFormat="1" x14ac:dyDescent="0.2"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</row>
    <row r="52" spans="3:14" s="237" customFormat="1" x14ac:dyDescent="0.2"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</row>
    <row r="53" spans="3:14" s="237" customFormat="1" x14ac:dyDescent="0.2">
      <c r="C53" s="266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</row>
    <row r="54" spans="3:14" s="237" customFormat="1" x14ac:dyDescent="0.2">
      <c r="C54" s="266"/>
      <c r="D54" s="266"/>
      <c r="E54" s="266"/>
      <c r="F54" s="266"/>
      <c r="G54" s="266"/>
      <c r="H54" s="266"/>
      <c r="I54" s="266"/>
      <c r="J54" s="266"/>
      <c r="K54" s="266"/>
      <c r="L54" s="266"/>
      <c r="M54" s="266"/>
      <c r="N54" s="266"/>
    </row>
    <row r="55" spans="3:14" s="237" customFormat="1" x14ac:dyDescent="0.2">
      <c r="C55" s="266"/>
      <c r="D55" s="266"/>
      <c r="E55" s="266"/>
      <c r="F55" s="266"/>
      <c r="G55" s="266"/>
      <c r="H55" s="266"/>
      <c r="I55" s="266"/>
      <c r="J55" s="266"/>
      <c r="K55" s="266"/>
      <c r="L55" s="266"/>
      <c r="M55" s="266"/>
      <c r="N55" s="266"/>
    </row>
    <row r="56" spans="3:14" s="237" customFormat="1" x14ac:dyDescent="0.2">
      <c r="C56" s="266"/>
      <c r="D56" s="266"/>
      <c r="E56" s="266"/>
      <c r="F56" s="266"/>
      <c r="G56" s="266"/>
      <c r="H56" s="266"/>
      <c r="I56" s="266"/>
      <c r="J56" s="266"/>
      <c r="K56" s="266"/>
      <c r="L56" s="266"/>
      <c r="M56" s="266"/>
      <c r="N56" s="266"/>
    </row>
    <row r="57" spans="3:14" s="237" customFormat="1" x14ac:dyDescent="0.2"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</row>
    <row r="58" spans="3:14" s="237" customFormat="1" x14ac:dyDescent="0.2">
      <c r="C58" s="266"/>
      <c r="D58" s="266"/>
      <c r="E58" s="266"/>
      <c r="F58" s="266"/>
      <c r="G58" s="266"/>
      <c r="H58" s="266"/>
      <c r="I58" s="266"/>
      <c r="J58" s="266"/>
      <c r="K58" s="266"/>
      <c r="L58" s="266"/>
      <c r="M58" s="266"/>
      <c r="N58" s="266"/>
    </row>
    <row r="59" spans="3:14" s="237" customFormat="1" x14ac:dyDescent="0.2">
      <c r="C59" s="266"/>
      <c r="D59" s="266"/>
      <c r="E59" s="266"/>
      <c r="F59" s="266"/>
      <c r="G59" s="266"/>
      <c r="H59" s="266"/>
      <c r="I59" s="266"/>
      <c r="J59" s="266"/>
      <c r="K59" s="266"/>
      <c r="L59" s="266"/>
      <c r="M59" s="266"/>
      <c r="N59" s="266"/>
    </row>
    <row r="60" spans="3:14" s="237" customFormat="1" x14ac:dyDescent="0.2">
      <c r="C60" s="266"/>
      <c r="D60" s="266"/>
      <c r="E60" s="266"/>
      <c r="F60" s="266"/>
      <c r="G60" s="266"/>
      <c r="H60" s="266"/>
      <c r="I60" s="266"/>
      <c r="J60" s="266"/>
      <c r="K60" s="266"/>
      <c r="L60" s="266"/>
      <c r="M60" s="266"/>
      <c r="N60" s="266"/>
    </row>
    <row r="61" spans="3:14" s="237" customFormat="1" x14ac:dyDescent="0.2">
      <c r="C61" s="266"/>
      <c r="D61" s="266"/>
      <c r="E61" s="266"/>
      <c r="F61" s="266"/>
      <c r="G61" s="266"/>
      <c r="H61" s="266"/>
      <c r="I61" s="266"/>
      <c r="J61" s="266"/>
      <c r="K61" s="266"/>
      <c r="L61" s="266"/>
      <c r="M61" s="266"/>
      <c r="N61" s="266"/>
    </row>
    <row r="62" spans="3:14" s="237" customFormat="1" x14ac:dyDescent="0.2"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6"/>
      <c r="N62" s="266"/>
    </row>
    <row r="63" spans="3:14" s="237" customFormat="1" x14ac:dyDescent="0.2">
      <c r="C63" s="266"/>
      <c r="D63" s="266"/>
      <c r="E63" s="266"/>
      <c r="F63" s="266"/>
      <c r="G63" s="266"/>
      <c r="H63" s="266"/>
      <c r="I63" s="266"/>
      <c r="J63" s="266"/>
      <c r="K63" s="266"/>
      <c r="L63" s="266"/>
      <c r="M63" s="266"/>
      <c r="N63" s="266"/>
    </row>
    <row r="64" spans="3:14" s="237" customFormat="1" x14ac:dyDescent="0.2">
      <c r="C64" s="266"/>
      <c r="D64" s="266"/>
      <c r="E64" s="266"/>
      <c r="F64" s="266"/>
      <c r="G64" s="266"/>
      <c r="H64" s="266"/>
      <c r="I64" s="266"/>
      <c r="J64" s="266"/>
      <c r="K64" s="266"/>
      <c r="L64" s="266"/>
      <c r="M64" s="266"/>
      <c r="N64" s="266"/>
    </row>
    <row r="65" spans="3:14" s="237" customFormat="1" x14ac:dyDescent="0.2">
      <c r="C65" s="266"/>
      <c r="D65" s="266"/>
      <c r="E65" s="266"/>
      <c r="F65" s="266"/>
      <c r="G65" s="266"/>
      <c r="H65" s="266"/>
      <c r="I65" s="266"/>
      <c r="J65" s="266"/>
      <c r="K65" s="266"/>
      <c r="L65" s="266"/>
      <c r="M65" s="266"/>
      <c r="N65" s="266"/>
    </row>
    <row r="66" spans="3:14" s="237" customFormat="1" x14ac:dyDescent="0.2"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6"/>
      <c r="N66" s="266"/>
    </row>
    <row r="67" spans="3:14" s="237" customFormat="1" x14ac:dyDescent="0.2">
      <c r="C67" s="266"/>
      <c r="D67" s="266"/>
      <c r="E67" s="266"/>
      <c r="F67" s="266"/>
      <c r="G67" s="266"/>
      <c r="H67" s="266"/>
      <c r="I67" s="266"/>
      <c r="J67" s="266"/>
      <c r="K67" s="266"/>
      <c r="L67" s="266"/>
      <c r="M67" s="266"/>
      <c r="N67" s="266"/>
    </row>
    <row r="68" spans="3:14" s="237" customFormat="1" x14ac:dyDescent="0.2">
      <c r="C68" s="266"/>
      <c r="D68" s="266"/>
      <c r="E68" s="266"/>
      <c r="F68" s="266"/>
      <c r="G68" s="266"/>
      <c r="H68" s="266"/>
      <c r="I68" s="266"/>
      <c r="J68" s="266"/>
      <c r="K68" s="266"/>
      <c r="L68" s="266"/>
      <c r="M68" s="266"/>
      <c r="N68" s="266"/>
    </row>
    <row r="69" spans="3:14" s="237" customFormat="1" x14ac:dyDescent="0.2">
      <c r="C69" s="266"/>
      <c r="D69" s="266"/>
      <c r="E69" s="266"/>
      <c r="F69" s="266"/>
      <c r="G69" s="266"/>
      <c r="H69" s="266"/>
      <c r="I69" s="266"/>
      <c r="J69" s="266"/>
      <c r="K69" s="266"/>
      <c r="L69" s="266"/>
      <c r="M69" s="266"/>
      <c r="N69" s="266"/>
    </row>
    <row r="70" spans="3:14" s="237" customFormat="1" x14ac:dyDescent="0.2">
      <c r="C70" s="266"/>
      <c r="D70" s="266"/>
      <c r="E70" s="266"/>
      <c r="F70" s="266"/>
      <c r="G70" s="266"/>
      <c r="H70" s="266"/>
      <c r="I70" s="266"/>
      <c r="J70" s="266"/>
      <c r="K70" s="266"/>
      <c r="L70" s="266"/>
      <c r="M70" s="266"/>
      <c r="N70" s="266"/>
    </row>
    <row r="71" spans="3:14" s="237" customFormat="1" x14ac:dyDescent="0.2">
      <c r="C71" s="266"/>
      <c r="D71" s="266"/>
      <c r="E71" s="266"/>
      <c r="F71" s="266"/>
      <c r="G71" s="266"/>
      <c r="H71" s="266"/>
      <c r="I71" s="266"/>
      <c r="J71" s="266"/>
      <c r="K71" s="266"/>
      <c r="L71" s="266"/>
      <c r="M71" s="266"/>
      <c r="N71" s="266"/>
    </row>
    <row r="72" spans="3:14" s="237" customFormat="1" x14ac:dyDescent="0.2">
      <c r="C72" s="266"/>
      <c r="D72" s="266"/>
      <c r="E72" s="266"/>
      <c r="F72" s="266"/>
      <c r="G72" s="266"/>
      <c r="H72" s="266"/>
      <c r="I72" s="266"/>
      <c r="J72" s="266"/>
      <c r="K72" s="266"/>
      <c r="L72" s="266"/>
      <c r="M72" s="266"/>
      <c r="N72" s="266"/>
    </row>
    <row r="73" spans="3:14" s="237" customFormat="1" x14ac:dyDescent="0.2">
      <c r="C73" s="266"/>
      <c r="D73" s="266"/>
      <c r="E73" s="266"/>
      <c r="F73" s="266"/>
      <c r="G73" s="266"/>
      <c r="H73" s="266"/>
      <c r="I73" s="266"/>
      <c r="J73" s="266"/>
      <c r="K73" s="266"/>
      <c r="L73" s="266"/>
      <c r="M73" s="266"/>
      <c r="N73" s="266"/>
    </row>
    <row r="74" spans="3:14" s="237" customFormat="1" x14ac:dyDescent="0.2">
      <c r="C74" s="266"/>
      <c r="D74" s="266"/>
      <c r="E74" s="266"/>
      <c r="F74" s="266"/>
      <c r="G74" s="266"/>
      <c r="H74" s="266"/>
      <c r="I74" s="266"/>
      <c r="J74" s="266"/>
      <c r="K74" s="266"/>
      <c r="L74" s="266"/>
      <c r="M74" s="266"/>
      <c r="N74" s="266"/>
    </row>
    <row r="75" spans="3:14" s="237" customFormat="1" x14ac:dyDescent="0.2">
      <c r="C75" s="266"/>
      <c r="D75" s="266"/>
      <c r="E75" s="266"/>
      <c r="F75" s="266"/>
      <c r="G75" s="266"/>
      <c r="H75" s="266"/>
      <c r="I75" s="266"/>
      <c r="J75" s="266"/>
      <c r="K75" s="266"/>
      <c r="L75" s="266"/>
      <c r="M75" s="266"/>
      <c r="N75" s="266"/>
    </row>
    <row r="76" spans="3:14" s="237" customFormat="1" x14ac:dyDescent="0.2">
      <c r="C76" s="266"/>
      <c r="D76" s="266"/>
      <c r="E76" s="266"/>
      <c r="F76" s="266"/>
      <c r="G76" s="266"/>
      <c r="H76" s="266"/>
      <c r="I76" s="266"/>
      <c r="J76" s="266"/>
      <c r="K76" s="266"/>
      <c r="L76" s="266"/>
      <c r="M76" s="266"/>
      <c r="N76" s="266"/>
    </row>
    <row r="77" spans="3:14" s="237" customFormat="1" x14ac:dyDescent="0.2">
      <c r="C77" s="266"/>
      <c r="D77" s="266"/>
      <c r="E77" s="266"/>
      <c r="F77" s="266"/>
      <c r="G77" s="266"/>
      <c r="H77" s="266"/>
      <c r="I77" s="266"/>
      <c r="J77" s="266"/>
      <c r="K77" s="266"/>
      <c r="L77" s="266"/>
      <c r="M77" s="266"/>
      <c r="N77" s="266"/>
    </row>
    <row r="78" spans="3:14" s="237" customFormat="1" x14ac:dyDescent="0.2">
      <c r="C78" s="266"/>
      <c r="D78" s="266"/>
      <c r="E78" s="266"/>
      <c r="F78" s="266"/>
      <c r="G78" s="266"/>
      <c r="H78" s="266"/>
      <c r="I78" s="266"/>
      <c r="J78" s="266"/>
      <c r="K78" s="266"/>
      <c r="L78" s="266"/>
      <c r="M78" s="266"/>
      <c r="N78" s="266"/>
    </row>
    <row r="79" spans="3:14" s="237" customFormat="1" x14ac:dyDescent="0.2">
      <c r="C79" s="266"/>
      <c r="D79" s="266"/>
      <c r="E79" s="266"/>
      <c r="F79" s="266"/>
      <c r="G79" s="266"/>
      <c r="H79" s="266"/>
      <c r="I79" s="266"/>
      <c r="J79" s="266"/>
      <c r="K79" s="266"/>
      <c r="L79" s="266"/>
      <c r="M79" s="266"/>
      <c r="N79" s="266"/>
    </row>
    <row r="80" spans="3:14" s="237" customFormat="1" x14ac:dyDescent="0.2">
      <c r="C80" s="266"/>
      <c r="D80" s="266"/>
      <c r="E80" s="266"/>
      <c r="F80" s="266"/>
      <c r="G80" s="266"/>
      <c r="H80" s="266"/>
      <c r="I80" s="266"/>
      <c r="J80" s="266"/>
      <c r="K80" s="266"/>
      <c r="L80" s="266"/>
      <c r="M80" s="266"/>
      <c r="N80" s="266"/>
    </row>
    <row r="81" spans="3:14" s="237" customFormat="1" x14ac:dyDescent="0.2">
      <c r="C81" s="266"/>
      <c r="D81" s="266"/>
      <c r="E81" s="266"/>
      <c r="F81" s="266"/>
      <c r="G81" s="266"/>
      <c r="H81" s="266"/>
      <c r="I81" s="266"/>
      <c r="J81" s="266"/>
      <c r="K81" s="266"/>
      <c r="L81" s="266"/>
      <c r="M81" s="266"/>
      <c r="N81" s="266"/>
    </row>
    <row r="82" spans="3:14" s="237" customFormat="1" x14ac:dyDescent="0.2">
      <c r="C82" s="266"/>
      <c r="D82" s="266"/>
      <c r="E82" s="266"/>
      <c r="F82" s="266"/>
      <c r="G82" s="266"/>
      <c r="H82" s="266"/>
      <c r="I82" s="266"/>
      <c r="J82" s="266"/>
      <c r="K82" s="266"/>
      <c r="L82" s="266"/>
      <c r="M82" s="266"/>
      <c r="N82" s="266"/>
    </row>
    <row r="83" spans="3:14" s="237" customFormat="1" x14ac:dyDescent="0.2">
      <c r="C83" s="266"/>
      <c r="D83" s="266"/>
      <c r="E83" s="266"/>
      <c r="F83" s="266"/>
      <c r="G83" s="266"/>
      <c r="H83" s="266"/>
      <c r="I83" s="266"/>
      <c r="J83" s="266"/>
      <c r="K83" s="266"/>
      <c r="L83" s="266"/>
      <c r="M83" s="266"/>
      <c r="N83" s="266"/>
    </row>
    <row r="84" spans="3:14" s="237" customFormat="1" x14ac:dyDescent="0.2">
      <c r="C84" s="266"/>
      <c r="D84" s="266"/>
      <c r="E84" s="266"/>
      <c r="F84" s="266"/>
      <c r="G84" s="266"/>
      <c r="H84" s="266"/>
      <c r="I84" s="266"/>
      <c r="J84" s="266"/>
      <c r="K84" s="266"/>
      <c r="L84" s="266"/>
      <c r="M84" s="266"/>
      <c r="N84" s="266"/>
    </row>
    <row r="85" spans="3:14" s="237" customFormat="1" x14ac:dyDescent="0.2">
      <c r="C85" s="266"/>
      <c r="D85" s="266"/>
      <c r="E85" s="266"/>
      <c r="F85" s="266"/>
      <c r="G85" s="266"/>
      <c r="H85" s="266"/>
      <c r="I85" s="266"/>
      <c r="J85" s="266"/>
      <c r="K85" s="266"/>
      <c r="L85" s="266"/>
      <c r="M85" s="266"/>
      <c r="N85" s="266"/>
    </row>
    <row r="86" spans="3:14" s="237" customFormat="1" x14ac:dyDescent="0.2">
      <c r="C86" s="266"/>
      <c r="D86" s="266"/>
      <c r="E86" s="266"/>
      <c r="F86" s="266"/>
      <c r="G86" s="266"/>
      <c r="H86" s="266"/>
      <c r="I86" s="266"/>
      <c r="J86" s="266"/>
      <c r="K86" s="266"/>
      <c r="L86" s="266"/>
      <c r="M86" s="266"/>
      <c r="N86" s="266"/>
    </row>
    <row r="87" spans="3:14" s="237" customFormat="1" x14ac:dyDescent="0.2">
      <c r="C87" s="266"/>
      <c r="D87" s="266"/>
      <c r="E87" s="266"/>
      <c r="F87" s="266"/>
      <c r="G87" s="266"/>
      <c r="H87" s="266"/>
      <c r="I87" s="266"/>
      <c r="J87" s="266"/>
      <c r="K87" s="266"/>
      <c r="L87" s="266"/>
      <c r="M87" s="266"/>
      <c r="N87" s="266"/>
    </row>
    <row r="88" spans="3:14" s="237" customFormat="1" x14ac:dyDescent="0.2">
      <c r="C88" s="266"/>
      <c r="D88" s="266"/>
      <c r="E88" s="266"/>
      <c r="F88" s="266"/>
      <c r="G88" s="266"/>
      <c r="H88" s="266"/>
      <c r="I88" s="266"/>
      <c r="J88" s="266"/>
      <c r="K88" s="266"/>
      <c r="L88" s="266"/>
      <c r="M88" s="266"/>
      <c r="N88" s="266"/>
    </row>
    <row r="89" spans="3:14" s="237" customFormat="1" x14ac:dyDescent="0.2">
      <c r="C89" s="266"/>
      <c r="D89" s="266"/>
      <c r="E89" s="266"/>
      <c r="F89" s="266"/>
      <c r="G89" s="266"/>
      <c r="H89" s="266"/>
      <c r="I89" s="266"/>
      <c r="J89" s="266"/>
      <c r="K89" s="266"/>
      <c r="L89" s="266"/>
      <c r="M89" s="266"/>
      <c r="N89" s="266"/>
    </row>
    <row r="90" spans="3:14" s="237" customFormat="1" x14ac:dyDescent="0.2">
      <c r="C90" s="266"/>
      <c r="D90" s="266"/>
      <c r="E90" s="266"/>
      <c r="F90" s="266"/>
      <c r="G90" s="266"/>
      <c r="H90" s="266"/>
      <c r="I90" s="266"/>
      <c r="J90" s="266"/>
      <c r="K90" s="266"/>
      <c r="L90" s="266"/>
      <c r="M90" s="266"/>
      <c r="N90" s="266"/>
    </row>
    <row r="91" spans="3:14" s="237" customFormat="1" x14ac:dyDescent="0.2">
      <c r="C91" s="266"/>
      <c r="D91" s="266"/>
      <c r="E91" s="266"/>
      <c r="F91" s="266"/>
      <c r="G91" s="266"/>
      <c r="H91" s="266"/>
      <c r="I91" s="266"/>
      <c r="J91" s="266"/>
      <c r="K91" s="266"/>
      <c r="L91" s="266"/>
      <c r="M91" s="266"/>
      <c r="N91" s="266"/>
    </row>
    <row r="92" spans="3:14" s="237" customFormat="1" x14ac:dyDescent="0.2">
      <c r="C92" s="266"/>
      <c r="D92" s="266"/>
      <c r="E92" s="266"/>
      <c r="F92" s="266"/>
      <c r="G92" s="266"/>
      <c r="H92" s="266"/>
      <c r="I92" s="266"/>
      <c r="J92" s="266"/>
      <c r="K92" s="266"/>
      <c r="L92" s="266"/>
      <c r="M92" s="266"/>
      <c r="N92" s="266"/>
    </row>
    <row r="93" spans="3:14" s="237" customFormat="1" x14ac:dyDescent="0.2">
      <c r="C93" s="266"/>
      <c r="D93" s="266"/>
      <c r="E93" s="266"/>
      <c r="F93" s="266"/>
      <c r="G93" s="266"/>
      <c r="H93" s="266"/>
      <c r="I93" s="266"/>
      <c r="J93" s="266"/>
      <c r="K93" s="266"/>
      <c r="L93" s="266"/>
      <c r="M93" s="266"/>
      <c r="N93" s="266"/>
    </row>
    <row r="94" spans="3:14" s="237" customFormat="1" x14ac:dyDescent="0.2">
      <c r="C94" s="266"/>
      <c r="D94" s="266"/>
      <c r="E94" s="266"/>
      <c r="F94" s="266"/>
      <c r="G94" s="266"/>
      <c r="H94" s="266"/>
      <c r="I94" s="266"/>
      <c r="J94" s="266"/>
      <c r="K94" s="266"/>
      <c r="L94" s="266"/>
      <c r="M94" s="266"/>
      <c r="N94" s="266"/>
    </row>
    <row r="95" spans="3:14" s="237" customFormat="1" x14ac:dyDescent="0.2">
      <c r="C95" s="266"/>
      <c r="D95" s="266"/>
      <c r="E95" s="266"/>
      <c r="F95" s="266"/>
      <c r="G95" s="266"/>
      <c r="H95" s="266"/>
      <c r="I95" s="266"/>
      <c r="J95" s="266"/>
      <c r="K95" s="266"/>
      <c r="L95" s="266"/>
      <c r="M95" s="266"/>
      <c r="N95" s="266"/>
    </row>
    <row r="96" spans="3:14" s="237" customFormat="1" x14ac:dyDescent="0.2">
      <c r="C96" s="266"/>
      <c r="D96" s="266"/>
      <c r="E96" s="266"/>
      <c r="F96" s="266"/>
      <c r="G96" s="266"/>
      <c r="H96" s="266"/>
      <c r="I96" s="266"/>
      <c r="J96" s="266"/>
      <c r="K96" s="266"/>
      <c r="L96" s="266"/>
      <c r="M96" s="266"/>
      <c r="N96" s="266"/>
    </row>
    <row r="97" spans="3:14" s="237" customFormat="1" x14ac:dyDescent="0.2">
      <c r="C97" s="266"/>
      <c r="D97" s="266"/>
      <c r="E97" s="266"/>
      <c r="F97" s="266"/>
      <c r="G97" s="266"/>
      <c r="H97" s="266"/>
      <c r="I97" s="266"/>
      <c r="J97" s="266"/>
      <c r="K97" s="266"/>
      <c r="L97" s="266"/>
      <c r="M97" s="266"/>
      <c r="N97" s="266"/>
    </row>
    <row r="98" spans="3:14" s="237" customFormat="1" x14ac:dyDescent="0.2">
      <c r="C98" s="266"/>
      <c r="D98" s="266"/>
      <c r="E98" s="266"/>
      <c r="F98" s="266"/>
      <c r="G98" s="266"/>
      <c r="H98" s="266"/>
      <c r="I98" s="266"/>
      <c r="J98" s="266"/>
      <c r="K98" s="266"/>
      <c r="L98" s="266"/>
      <c r="M98" s="266"/>
      <c r="N98" s="266"/>
    </row>
    <row r="99" spans="3:14" s="237" customFormat="1" x14ac:dyDescent="0.2">
      <c r="C99" s="266"/>
      <c r="D99" s="266"/>
      <c r="E99" s="266"/>
      <c r="F99" s="266"/>
      <c r="G99" s="266"/>
      <c r="H99" s="266"/>
      <c r="I99" s="266"/>
      <c r="J99" s="266"/>
      <c r="K99" s="266"/>
      <c r="L99" s="266"/>
      <c r="M99" s="266"/>
      <c r="N99" s="266"/>
    </row>
    <row r="100" spans="3:14" s="237" customFormat="1" x14ac:dyDescent="0.2">
      <c r="C100" s="266"/>
      <c r="D100" s="266"/>
      <c r="E100" s="266"/>
      <c r="F100" s="266"/>
      <c r="G100" s="266"/>
      <c r="H100" s="266"/>
      <c r="I100" s="266"/>
      <c r="J100" s="266"/>
      <c r="K100" s="266"/>
      <c r="L100" s="266"/>
      <c r="M100" s="266"/>
      <c r="N100" s="266"/>
    </row>
    <row r="101" spans="3:14" s="237" customFormat="1" x14ac:dyDescent="0.2">
      <c r="C101" s="266"/>
      <c r="D101" s="266"/>
      <c r="E101" s="266"/>
      <c r="F101" s="266"/>
      <c r="G101" s="266"/>
      <c r="H101" s="266"/>
      <c r="I101" s="266"/>
      <c r="J101" s="266"/>
      <c r="K101" s="266"/>
      <c r="L101" s="266"/>
      <c r="M101" s="266"/>
      <c r="N101" s="266"/>
    </row>
    <row r="102" spans="3:14" s="237" customFormat="1" x14ac:dyDescent="0.2">
      <c r="C102" s="266"/>
      <c r="D102" s="266"/>
      <c r="E102" s="266"/>
      <c r="F102" s="266"/>
      <c r="G102" s="266"/>
      <c r="H102" s="266"/>
      <c r="I102" s="266"/>
      <c r="J102" s="266"/>
      <c r="K102" s="266"/>
      <c r="L102" s="266"/>
      <c r="M102" s="266"/>
      <c r="N102" s="266"/>
    </row>
    <row r="103" spans="3:14" s="237" customFormat="1" x14ac:dyDescent="0.2">
      <c r="C103" s="266"/>
      <c r="D103" s="266"/>
      <c r="E103" s="266"/>
      <c r="F103" s="266"/>
      <c r="G103" s="266"/>
      <c r="H103" s="266"/>
      <c r="I103" s="266"/>
      <c r="J103" s="266"/>
      <c r="K103" s="266"/>
      <c r="L103" s="266"/>
      <c r="M103" s="266"/>
      <c r="N103" s="266"/>
    </row>
    <row r="104" spans="3:14" s="237" customFormat="1" x14ac:dyDescent="0.2">
      <c r="C104" s="266"/>
      <c r="D104" s="266"/>
      <c r="E104" s="266"/>
      <c r="F104" s="266"/>
      <c r="G104" s="266"/>
      <c r="H104" s="266"/>
      <c r="I104" s="266"/>
      <c r="J104" s="266"/>
      <c r="K104" s="266"/>
      <c r="L104" s="266"/>
      <c r="M104" s="266"/>
      <c r="N104" s="266"/>
    </row>
    <row r="105" spans="3:14" s="237" customFormat="1" x14ac:dyDescent="0.2">
      <c r="C105" s="266"/>
      <c r="D105" s="266"/>
      <c r="E105" s="266"/>
      <c r="F105" s="266"/>
      <c r="G105" s="266"/>
      <c r="H105" s="266"/>
      <c r="I105" s="266"/>
      <c r="J105" s="266"/>
      <c r="K105" s="266"/>
      <c r="L105" s="266"/>
      <c r="M105" s="266"/>
      <c r="N105" s="266"/>
    </row>
    <row r="106" spans="3:14" s="237" customFormat="1" x14ac:dyDescent="0.2">
      <c r="C106" s="266"/>
      <c r="D106" s="266"/>
      <c r="E106" s="266"/>
      <c r="F106" s="266"/>
      <c r="G106" s="266"/>
      <c r="H106" s="266"/>
      <c r="I106" s="266"/>
      <c r="J106" s="266"/>
      <c r="K106" s="266"/>
      <c r="L106" s="266"/>
      <c r="M106" s="266"/>
      <c r="N106" s="266"/>
    </row>
    <row r="107" spans="3:14" s="237" customFormat="1" x14ac:dyDescent="0.2">
      <c r="C107" s="266"/>
      <c r="D107" s="266"/>
      <c r="E107" s="266"/>
      <c r="F107" s="266"/>
      <c r="G107" s="266"/>
      <c r="H107" s="266"/>
      <c r="I107" s="266"/>
      <c r="J107" s="266"/>
      <c r="K107" s="266"/>
      <c r="L107" s="266"/>
      <c r="M107" s="266"/>
      <c r="N107" s="266"/>
    </row>
    <row r="108" spans="3:14" s="237" customFormat="1" x14ac:dyDescent="0.2">
      <c r="C108" s="266"/>
      <c r="D108" s="266"/>
      <c r="E108" s="266"/>
      <c r="F108" s="266"/>
      <c r="G108" s="266"/>
      <c r="H108" s="266"/>
      <c r="I108" s="266"/>
      <c r="J108" s="266"/>
      <c r="K108" s="266"/>
      <c r="L108" s="266"/>
      <c r="M108" s="266"/>
      <c r="N108" s="266"/>
    </row>
    <row r="109" spans="3:14" s="237" customFormat="1" x14ac:dyDescent="0.2">
      <c r="C109" s="266"/>
      <c r="D109" s="266"/>
      <c r="E109" s="266"/>
      <c r="F109" s="266"/>
      <c r="G109" s="266"/>
      <c r="H109" s="266"/>
      <c r="I109" s="266"/>
      <c r="J109" s="266"/>
      <c r="K109" s="266"/>
      <c r="L109" s="266"/>
      <c r="M109" s="266"/>
      <c r="N109" s="266"/>
    </row>
    <row r="110" spans="3:14" s="237" customFormat="1" x14ac:dyDescent="0.2">
      <c r="C110" s="266"/>
      <c r="D110" s="266"/>
      <c r="E110" s="266"/>
      <c r="F110" s="266"/>
      <c r="G110" s="266"/>
      <c r="H110" s="266"/>
      <c r="I110" s="266"/>
      <c r="J110" s="266"/>
      <c r="K110" s="266"/>
      <c r="L110" s="266"/>
      <c r="M110" s="266"/>
      <c r="N110" s="266"/>
    </row>
    <row r="111" spans="3:14" s="237" customFormat="1" x14ac:dyDescent="0.2">
      <c r="C111" s="266"/>
      <c r="D111" s="266"/>
      <c r="E111" s="266"/>
      <c r="F111" s="266"/>
      <c r="G111" s="266"/>
      <c r="H111" s="266"/>
      <c r="I111" s="266"/>
      <c r="J111" s="266"/>
      <c r="K111" s="266"/>
      <c r="L111" s="266"/>
      <c r="M111" s="266"/>
      <c r="N111" s="266"/>
    </row>
    <row r="112" spans="3:14" s="237" customFormat="1" x14ac:dyDescent="0.2">
      <c r="C112" s="266"/>
      <c r="D112" s="266"/>
      <c r="E112" s="266"/>
      <c r="F112" s="266"/>
      <c r="G112" s="266"/>
      <c r="H112" s="266"/>
      <c r="I112" s="266"/>
      <c r="J112" s="266"/>
      <c r="K112" s="266"/>
      <c r="L112" s="266"/>
      <c r="M112" s="266"/>
      <c r="N112" s="266"/>
    </row>
    <row r="113" spans="3:14" s="237" customFormat="1" x14ac:dyDescent="0.2">
      <c r="C113" s="266"/>
      <c r="D113" s="266"/>
      <c r="E113" s="266"/>
      <c r="F113" s="266"/>
      <c r="G113" s="266"/>
      <c r="H113" s="266"/>
      <c r="I113" s="266"/>
      <c r="J113" s="266"/>
      <c r="K113" s="266"/>
      <c r="L113" s="266"/>
      <c r="M113" s="266"/>
      <c r="N113" s="266"/>
    </row>
    <row r="114" spans="3:14" s="237" customFormat="1" x14ac:dyDescent="0.2">
      <c r="C114" s="266"/>
      <c r="D114" s="266"/>
      <c r="E114" s="266"/>
      <c r="F114" s="266"/>
      <c r="G114" s="266"/>
      <c r="H114" s="266"/>
      <c r="I114" s="266"/>
      <c r="J114" s="266"/>
      <c r="K114" s="266"/>
      <c r="L114" s="266"/>
      <c r="M114" s="266"/>
      <c r="N114" s="266"/>
    </row>
    <row r="115" spans="3:14" s="237" customFormat="1" x14ac:dyDescent="0.2">
      <c r="C115" s="266"/>
      <c r="D115" s="266"/>
      <c r="E115" s="266"/>
      <c r="F115" s="266"/>
      <c r="G115" s="266"/>
      <c r="H115" s="266"/>
      <c r="I115" s="266"/>
      <c r="J115" s="266"/>
      <c r="K115" s="266"/>
      <c r="L115" s="266"/>
      <c r="M115" s="266"/>
      <c r="N115" s="266"/>
    </row>
    <row r="116" spans="3:14" s="237" customFormat="1" x14ac:dyDescent="0.2">
      <c r="C116" s="266"/>
      <c r="D116" s="266"/>
      <c r="E116" s="266"/>
      <c r="F116" s="266"/>
      <c r="G116" s="266"/>
      <c r="H116" s="266"/>
      <c r="I116" s="266"/>
      <c r="J116" s="266"/>
      <c r="K116" s="266"/>
      <c r="L116" s="266"/>
      <c r="M116" s="266"/>
      <c r="N116" s="266"/>
    </row>
    <row r="117" spans="3:14" s="237" customFormat="1" x14ac:dyDescent="0.2">
      <c r="C117" s="266"/>
      <c r="D117" s="266"/>
      <c r="E117" s="266"/>
      <c r="F117" s="266"/>
      <c r="G117" s="266"/>
      <c r="H117" s="266"/>
      <c r="I117" s="266"/>
      <c r="J117" s="266"/>
      <c r="K117" s="266"/>
      <c r="L117" s="266"/>
      <c r="M117" s="266"/>
      <c r="N117" s="266"/>
    </row>
    <row r="118" spans="3:14" s="237" customFormat="1" x14ac:dyDescent="0.2">
      <c r="C118" s="266"/>
      <c r="D118" s="266"/>
      <c r="E118" s="266"/>
      <c r="F118" s="266"/>
      <c r="G118" s="266"/>
      <c r="H118" s="266"/>
      <c r="I118" s="266"/>
      <c r="J118" s="266"/>
      <c r="K118" s="266"/>
      <c r="L118" s="266"/>
      <c r="M118" s="266"/>
      <c r="N118" s="266"/>
    </row>
    <row r="119" spans="3:14" s="237" customFormat="1" x14ac:dyDescent="0.2">
      <c r="C119" s="266"/>
      <c r="D119" s="266"/>
      <c r="E119" s="266"/>
      <c r="F119" s="266"/>
      <c r="G119" s="266"/>
      <c r="H119" s="266"/>
      <c r="I119" s="266"/>
      <c r="J119" s="266"/>
      <c r="K119" s="266"/>
      <c r="L119" s="266"/>
      <c r="M119" s="266"/>
      <c r="N119" s="266"/>
    </row>
    <row r="120" spans="3:14" s="237" customFormat="1" x14ac:dyDescent="0.2">
      <c r="C120" s="266"/>
      <c r="D120" s="266"/>
      <c r="E120" s="266"/>
      <c r="F120" s="266"/>
      <c r="G120" s="266"/>
      <c r="H120" s="266"/>
      <c r="I120" s="266"/>
      <c r="J120" s="266"/>
      <c r="K120" s="266"/>
      <c r="L120" s="266"/>
      <c r="M120" s="266"/>
      <c r="N120" s="266"/>
    </row>
    <row r="121" spans="3:14" s="237" customFormat="1" x14ac:dyDescent="0.2">
      <c r="C121" s="266"/>
      <c r="D121" s="266"/>
      <c r="E121" s="266"/>
      <c r="F121" s="266"/>
      <c r="G121" s="266"/>
      <c r="H121" s="266"/>
      <c r="I121" s="266"/>
      <c r="J121" s="266"/>
      <c r="K121" s="266"/>
      <c r="L121" s="266"/>
      <c r="M121" s="266"/>
      <c r="N121" s="266"/>
    </row>
    <row r="122" spans="3:14" s="237" customFormat="1" x14ac:dyDescent="0.2">
      <c r="C122" s="266"/>
      <c r="D122" s="266"/>
      <c r="E122" s="266"/>
      <c r="F122" s="266"/>
      <c r="G122" s="266"/>
      <c r="H122" s="266"/>
      <c r="I122" s="266"/>
      <c r="J122" s="266"/>
      <c r="K122" s="266"/>
      <c r="L122" s="266"/>
      <c r="M122" s="266"/>
      <c r="N122" s="266"/>
    </row>
    <row r="123" spans="3:14" s="237" customFormat="1" x14ac:dyDescent="0.2">
      <c r="C123" s="266"/>
      <c r="D123" s="266"/>
      <c r="E123" s="266"/>
      <c r="F123" s="266"/>
      <c r="G123" s="266"/>
      <c r="H123" s="266"/>
      <c r="I123" s="266"/>
      <c r="J123" s="266"/>
      <c r="K123" s="266"/>
      <c r="L123" s="266"/>
      <c r="M123" s="266"/>
      <c r="N123" s="266"/>
    </row>
    <row r="124" spans="3:14" s="237" customFormat="1" x14ac:dyDescent="0.2">
      <c r="C124" s="266"/>
      <c r="D124" s="266"/>
      <c r="E124" s="266"/>
      <c r="F124" s="266"/>
      <c r="G124" s="266"/>
      <c r="H124" s="266"/>
      <c r="I124" s="266"/>
      <c r="J124" s="266"/>
      <c r="K124" s="266"/>
      <c r="L124" s="266"/>
      <c r="M124" s="266"/>
      <c r="N124" s="266"/>
    </row>
    <row r="125" spans="3:14" s="237" customFormat="1" x14ac:dyDescent="0.2">
      <c r="C125" s="266"/>
      <c r="D125" s="266"/>
      <c r="E125" s="266"/>
      <c r="F125" s="266"/>
      <c r="G125" s="266"/>
      <c r="H125" s="266"/>
      <c r="I125" s="266"/>
      <c r="J125" s="266"/>
      <c r="K125" s="266"/>
      <c r="L125" s="266"/>
      <c r="M125" s="266"/>
      <c r="N125" s="266"/>
    </row>
    <row r="126" spans="3:14" s="237" customFormat="1" x14ac:dyDescent="0.2">
      <c r="C126" s="266"/>
      <c r="D126" s="266"/>
      <c r="E126" s="266"/>
      <c r="F126" s="266"/>
      <c r="G126" s="266"/>
      <c r="H126" s="266"/>
      <c r="I126" s="266"/>
      <c r="J126" s="266"/>
      <c r="K126" s="266"/>
      <c r="L126" s="266"/>
      <c r="M126" s="266"/>
      <c r="N126" s="266"/>
    </row>
    <row r="127" spans="3:14" s="237" customFormat="1" x14ac:dyDescent="0.2">
      <c r="C127" s="266"/>
      <c r="D127" s="266"/>
      <c r="E127" s="266"/>
      <c r="F127" s="266"/>
      <c r="G127" s="266"/>
      <c r="H127" s="266"/>
      <c r="I127" s="266"/>
      <c r="J127" s="266"/>
      <c r="K127" s="266"/>
      <c r="L127" s="266"/>
      <c r="M127" s="266"/>
      <c r="N127" s="266"/>
    </row>
    <row r="128" spans="3:14" s="237" customFormat="1" x14ac:dyDescent="0.2">
      <c r="C128" s="266"/>
      <c r="D128" s="266"/>
      <c r="E128" s="266"/>
      <c r="F128" s="266"/>
      <c r="G128" s="266"/>
      <c r="H128" s="266"/>
      <c r="I128" s="266"/>
      <c r="J128" s="266"/>
      <c r="K128" s="266"/>
      <c r="L128" s="266"/>
      <c r="M128" s="266"/>
      <c r="N128" s="266"/>
    </row>
    <row r="129" spans="3:14" s="237" customFormat="1" x14ac:dyDescent="0.2">
      <c r="C129" s="266"/>
      <c r="D129" s="266"/>
      <c r="E129" s="266"/>
      <c r="F129" s="266"/>
      <c r="G129" s="266"/>
      <c r="H129" s="266"/>
      <c r="I129" s="266"/>
      <c r="J129" s="266"/>
      <c r="K129" s="266"/>
      <c r="L129" s="266"/>
      <c r="M129" s="266"/>
      <c r="N129" s="266"/>
    </row>
    <row r="130" spans="3:14" s="237" customFormat="1" x14ac:dyDescent="0.2">
      <c r="C130" s="266"/>
      <c r="D130" s="266"/>
      <c r="E130" s="266"/>
      <c r="F130" s="266"/>
      <c r="G130" s="266"/>
      <c r="H130" s="266"/>
      <c r="I130" s="266"/>
      <c r="J130" s="266"/>
      <c r="K130" s="266"/>
      <c r="L130" s="266"/>
      <c r="M130" s="266"/>
      <c r="N130" s="266"/>
    </row>
    <row r="131" spans="3:14" s="237" customFormat="1" x14ac:dyDescent="0.2">
      <c r="C131" s="266"/>
      <c r="D131" s="266"/>
      <c r="E131" s="266"/>
      <c r="F131" s="266"/>
      <c r="G131" s="266"/>
      <c r="H131" s="266"/>
      <c r="I131" s="266"/>
      <c r="J131" s="266"/>
      <c r="K131" s="266"/>
      <c r="L131" s="266"/>
      <c r="M131" s="266"/>
      <c r="N131" s="266"/>
    </row>
    <row r="132" spans="3:14" s="237" customFormat="1" x14ac:dyDescent="0.2">
      <c r="C132" s="266"/>
      <c r="D132" s="266"/>
      <c r="E132" s="266"/>
      <c r="F132" s="266"/>
      <c r="G132" s="266"/>
      <c r="H132" s="266"/>
      <c r="I132" s="266"/>
      <c r="J132" s="266"/>
      <c r="K132" s="266"/>
      <c r="L132" s="266"/>
      <c r="M132" s="266"/>
      <c r="N132" s="266"/>
    </row>
    <row r="133" spans="3:14" s="237" customFormat="1" x14ac:dyDescent="0.2">
      <c r="C133" s="266"/>
      <c r="D133" s="266"/>
      <c r="E133" s="266"/>
      <c r="F133" s="266"/>
      <c r="G133" s="266"/>
      <c r="H133" s="266"/>
      <c r="I133" s="266"/>
      <c r="J133" s="266"/>
      <c r="K133" s="266"/>
      <c r="L133" s="266"/>
      <c r="M133" s="266"/>
      <c r="N133" s="266"/>
    </row>
    <row r="134" spans="3:14" s="237" customFormat="1" x14ac:dyDescent="0.2">
      <c r="C134" s="266"/>
      <c r="D134" s="266"/>
      <c r="E134" s="266"/>
      <c r="F134" s="266"/>
      <c r="G134" s="266"/>
      <c r="H134" s="266"/>
      <c r="I134" s="266"/>
      <c r="J134" s="266"/>
      <c r="K134" s="266"/>
      <c r="L134" s="266"/>
      <c r="M134" s="266"/>
      <c r="N134" s="266"/>
    </row>
    <row r="135" spans="3:14" s="237" customFormat="1" x14ac:dyDescent="0.2">
      <c r="C135" s="266"/>
      <c r="D135" s="266"/>
      <c r="E135" s="266"/>
      <c r="F135" s="266"/>
      <c r="G135" s="266"/>
      <c r="H135" s="266"/>
      <c r="I135" s="266"/>
      <c r="J135" s="266"/>
      <c r="K135" s="266"/>
      <c r="L135" s="266"/>
      <c r="M135" s="266"/>
      <c r="N135" s="266"/>
    </row>
    <row r="136" spans="3:14" s="237" customFormat="1" x14ac:dyDescent="0.2">
      <c r="C136" s="266"/>
      <c r="D136" s="266"/>
      <c r="E136" s="266"/>
      <c r="F136" s="266"/>
      <c r="G136" s="266"/>
      <c r="H136" s="266"/>
      <c r="I136" s="266"/>
      <c r="J136" s="266"/>
      <c r="K136" s="266"/>
      <c r="L136" s="266"/>
      <c r="M136" s="266"/>
      <c r="N136" s="266"/>
    </row>
    <row r="137" spans="3:14" s="237" customFormat="1" x14ac:dyDescent="0.2">
      <c r="C137" s="266"/>
      <c r="D137" s="266"/>
      <c r="E137" s="266"/>
      <c r="F137" s="266"/>
      <c r="G137" s="266"/>
      <c r="H137" s="266"/>
      <c r="I137" s="266"/>
      <c r="J137" s="266"/>
      <c r="K137" s="266"/>
      <c r="L137" s="266"/>
      <c r="M137" s="266"/>
      <c r="N137" s="266"/>
    </row>
    <row r="138" spans="3:14" s="237" customFormat="1" x14ac:dyDescent="0.2">
      <c r="C138" s="266"/>
      <c r="D138" s="266"/>
      <c r="E138" s="266"/>
      <c r="F138" s="266"/>
      <c r="G138" s="266"/>
      <c r="H138" s="266"/>
      <c r="I138" s="266"/>
      <c r="J138" s="266"/>
      <c r="K138" s="266"/>
      <c r="L138" s="266"/>
      <c r="M138" s="266"/>
      <c r="N138" s="266"/>
    </row>
    <row r="139" spans="3:14" s="237" customFormat="1" x14ac:dyDescent="0.2">
      <c r="C139" s="266"/>
      <c r="D139" s="266"/>
      <c r="E139" s="266"/>
      <c r="F139" s="266"/>
      <c r="G139" s="266"/>
      <c r="H139" s="266"/>
      <c r="I139" s="266"/>
      <c r="J139" s="266"/>
      <c r="K139" s="266"/>
      <c r="L139" s="266"/>
      <c r="M139" s="266"/>
      <c r="N139" s="266"/>
    </row>
    <row r="140" spans="3:14" s="237" customFormat="1" x14ac:dyDescent="0.2">
      <c r="C140" s="266"/>
      <c r="D140" s="266"/>
      <c r="E140" s="266"/>
      <c r="F140" s="266"/>
      <c r="G140" s="266"/>
      <c r="H140" s="266"/>
      <c r="I140" s="266"/>
      <c r="J140" s="266"/>
      <c r="K140" s="266"/>
      <c r="L140" s="266"/>
      <c r="M140" s="266"/>
      <c r="N140" s="266"/>
    </row>
    <row r="141" spans="3:14" s="237" customFormat="1" x14ac:dyDescent="0.2">
      <c r="C141" s="266"/>
      <c r="D141" s="266"/>
      <c r="E141" s="266"/>
      <c r="F141" s="266"/>
      <c r="G141" s="266"/>
      <c r="H141" s="266"/>
      <c r="I141" s="266"/>
      <c r="J141" s="266"/>
      <c r="K141" s="266"/>
      <c r="L141" s="266"/>
      <c r="M141" s="266"/>
      <c r="N141" s="266"/>
    </row>
    <row r="142" spans="3:14" s="237" customFormat="1" x14ac:dyDescent="0.2">
      <c r="C142" s="266"/>
      <c r="D142" s="266"/>
      <c r="E142" s="266"/>
      <c r="F142" s="266"/>
      <c r="G142" s="266"/>
      <c r="H142" s="266"/>
      <c r="I142" s="266"/>
      <c r="J142" s="266"/>
      <c r="K142" s="266"/>
      <c r="L142" s="266"/>
      <c r="M142" s="266"/>
      <c r="N142" s="266"/>
    </row>
    <row r="143" spans="3:14" s="237" customFormat="1" x14ac:dyDescent="0.2">
      <c r="C143" s="266"/>
      <c r="D143" s="266"/>
      <c r="E143" s="266"/>
      <c r="F143" s="266"/>
      <c r="G143" s="266"/>
      <c r="H143" s="266"/>
      <c r="I143" s="266"/>
      <c r="J143" s="266"/>
      <c r="K143" s="266"/>
      <c r="L143" s="266"/>
      <c r="M143" s="266"/>
      <c r="N143" s="266"/>
    </row>
    <row r="144" spans="3:14" s="237" customFormat="1" x14ac:dyDescent="0.2">
      <c r="C144" s="266"/>
      <c r="D144" s="266"/>
      <c r="E144" s="266"/>
      <c r="F144" s="266"/>
      <c r="G144" s="266"/>
      <c r="H144" s="266"/>
      <c r="I144" s="266"/>
      <c r="J144" s="266"/>
      <c r="K144" s="266"/>
      <c r="L144" s="266"/>
      <c r="M144" s="266"/>
      <c r="N144" s="266"/>
    </row>
    <row r="145" spans="3:14" s="237" customFormat="1" x14ac:dyDescent="0.2">
      <c r="C145" s="266"/>
      <c r="D145" s="266"/>
      <c r="E145" s="266"/>
      <c r="F145" s="266"/>
      <c r="G145" s="266"/>
      <c r="H145" s="266"/>
      <c r="I145" s="266"/>
      <c r="J145" s="266"/>
      <c r="K145" s="266"/>
      <c r="L145" s="266"/>
      <c r="M145" s="266"/>
      <c r="N145" s="266"/>
    </row>
    <row r="146" spans="3:14" s="237" customFormat="1" x14ac:dyDescent="0.2">
      <c r="C146" s="266"/>
      <c r="D146" s="266"/>
      <c r="E146" s="266"/>
      <c r="F146" s="266"/>
      <c r="G146" s="266"/>
      <c r="H146" s="266"/>
      <c r="I146" s="266"/>
      <c r="J146" s="266"/>
      <c r="K146" s="266"/>
      <c r="L146" s="266"/>
      <c r="M146" s="266"/>
      <c r="N146" s="266"/>
    </row>
    <row r="147" spans="3:14" s="237" customFormat="1" x14ac:dyDescent="0.2">
      <c r="C147" s="266"/>
      <c r="D147" s="266"/>
      <c r="E147" s="266"/>
      <c r="F147" s="266"/>
      <c r="G147" s="266"/>
      <c r="H147" s="266"/>
      <c r="I147" s="266"/>
      <c r="J147" s="266"/>
      <c r="K147" s="266"/>
      <c r="L147" s="266"/>
      <c r="M147" s="266"/>
      <c r="N147" s="266"/>
    </row>
    <row r="148" spans="3:14" s="237" customFormat="1" x14ac:dyDescent="0.2">
      <c r="C148" s="266"/>
      <c r="D148" s="266"/>
      <c r="E148" s="266"/>
      <c r="F148" s="266"/>
      <c r="G148" s="266"/>
      <c r="H148" s="266"/>
      <c r="I148" s="266"/>
      <c r="J148" s="266"/>
      <c r="K148" s="266"/>
      <c r="L148" s="266"/>
      <c r="M148" s="266"/>
      <c r="N148" s="266"/>
    </row>
    <row r="149" spans="3:14" s="237" customFormat="1" x14ac:dyDescent="0.2">
      <c r="C149" s="266"/>
      <c r="D149" s="266"/>
      <c r="E149" s="266"/>
      <c r="F149" s="266"/>
      <c r="G149" s="266"/>
      <c r="H149" s="266"/>
      <c r="I149" s="266"/>
      <c r="J149" s="266"/>
      <c r="K149" s="266"/>
      <c r="L149" s="266"/>
      <c r="M149" s="266"/>
      <c r="N149" s="266"/>
    </row>
    <row r="150" spans="3:14" s="237" customFormat="1" x14ac:dyDescent="0.2">
      <c r="C150" s="266"/>
      <c r="D150" s="266"/>
      <c r="E150" s="266"/>
      <c r="F150" s="266"/>
      <c r="G150" s="266"/>
      <c r="H150" s="266"/>
      <c r="I150" s="266"/>
      <c r="J150" s="266"/>
      <c r="K150" s="266"/>
      <c r="L150" s="266"/>
      <c r="M150" s="266"/>
      <c r="N150" s="266"/>
    </row>
    <row r="151" spans="3:14" s="237" customFormat="1" x14ac:dyDescent="0.2">
      <c r="C151" s="266"/>
      <c r="D151" s="266"/>
      <c r="E151" s="266"/>
      <c r="F151" s="266"/>
      <c r="G151" s="266"/>
      <c r="H151" s="266"/>
      <c r="I151" s="266"/>
      <c r="J151" s="266"/>
      <c r="K151" s="266"/>
      <c r="L151" s="266"/>
      <c r="M151" s="266"/>
      <c r="N151" s="266"/>
    </row>
    <row r="152" spans="3:14" s="237" customFormat="1" x14ac:dyDescent="0.2">
      <c r="C152" s="266"/>
      <c r="D152" s="266"/>
      <c r="E152" s="266"/>
      <c r="F152" s="266"/>
      <c r="G152" s="266"/>
      <c r="H152" s="266"/>
      <c r="I152" s="266"/>
      <c r="J152" s="266"/>
      <c r="K152" s="266"/>
      <c r="L152" s="266"/>
      <c r="M152" s="266"/>
      <c r="N152" s="266"/>
    </row>
    <row r="153" spans="3:14" s="237" customFormat="1" x14ac:dyDescent="0.2">
      <c r="C153" s="266"/>
      <c r="D153" s="266"/>
      <c r="E153" s="266"/>
      <c r="F153" s="266"/>
      <c r="G153" s="266"/>
      <c r="H153" s="266"/>
      <c r="I153" s="266"/>
      <c r="J153" s="266"/>
      <c r="K153" s="266"/>
      <c r="L153" s="266"/>
      <c r="M153" s="266"/>
      <c r="N153" s="266"/>
    </row>
    <row r="154" spans="3:14" s="237" customFormat="1" x14ac:dyDescent="0.2">
      <c r="C154" s="266"/>
      <c r="D154" s="266"/>
      <c r="E154" s="266"/>
      <c r="F154" s="266"/>
      <c r="G154" s="266"/>
      <c r="H154" s="266"/>
      <c r="I154" s="266"/>
      <c r="J154" s="266"/>
      <c r="K154" s="266"/>
      <c r="L154" s="266"/>
      <c r="M154" s="266"/>
      <c r="N154" s="266"/>
    </row>
    <row r="155" spans="3:14" s="237" customFormat="1" x14ac:dyDescent="0.2">
      <c r="C155" s="266"/>
      <c r="D155" s="266"/>
      <c r="E155" s="266"/>
      <c r="F155" s="266"/>
      <c r="G155" s="266"/>
      <c r="H155" s="266"/>
      <c r="I155" s="266"/>
      <c r="J155" s="266"/>
      <c r="K155" s="266"/>
      <c r="L155" s="266"/>
      <c r="M155" s="266"/>
      <c r="N155" s="266"/>
    </row>
    <row r="156" spans="3:14" s="237" customFormat="1" x14ac:dyDescent="0.2">
      <c r="C156" s="266"/>
      <c r="D156" s="266"/>
      <c r="E156" s="266"/>
      <c r="F156" s="266"/>
      <c r="G156" s="266"/>
      <c r="H156" s="266"/>
      <c r="I156" s="266"/>
      <c r="J156" s="266"/>
      <c r="K156" s="266"/>
      <c r="L156" s="266"/>
      <c r="M156" s="266"/>
      <c r="N156" s="266"/>
    </row>
    <row r="157" spans="3:14" s="237" customFormat="1" x14ac:dyDescent="0.2">
      <c r="C157" s="266"/>
      <c r="D157" s="266"/>
      <c r="E157" s="266"/>
      <c r="F157" s="266"/>
      <c r="G157" s="266"/>
      <c r="H157" s="266"/>
      <c r="I157" s="266"/>
      <c r="J157" s="266"/>
      <c r="K157" s="266"/>
      <c r="L157" s="266"/>
      <c r="M157" s="266"/>
      <c r="N157" s="266"/>
    </row>
    <row r="158" spans="3:14" s="237" customFormat="1" x14ac:dyDescent="0.2">
      <c r="C158" s="266"/>
      <c r="D158" s="266"/>
      <c r="E158" s="266"/>
      <c r="F158" s="266"/>
      <c r="G158" s="266"/>
      <c r="H158" s="266"/>
      <c r="I158" s="266"/>
      <c r="J158" s="266"/>
      <c r="K158" s="266"/>
      <c r="L158" s="266"/>
      <c r="M158" s="266"/>
      <c r="N158" s="266"/>
    </row>
    <row r="159" spans="3:14" s="237" customFormat="1" x14ac:dyDescent="0.2">
      <c r="C159" s="266"/>
      <c r="D159" s="266"/>
      <c r="E159" s="266"/>
      <c r="F159" s="266"/>
      <c r="G159" s="266"/>
      <c r="H159" s="266"/>
      <c r="I159" s="266"/>
      <c r="J159" s="266"/>
      <c r="K159" s="266"/>
      <c r="L159" s="266"/>
      <c r="M159" s="266"/>
      <c r="N159" s="266"/>
    </row>
    <row r="160" spans="3:14" s="237" customFormat="1" x14ac:dyDescent="0.2">
      <c r="C160" s="266"/>
      <c r="D160" s="266"/>
      <c r="E160" s="266"/>
      <c r="F160" s="266"/>
      <c r="G160" s="266"/>
      <c r="H160" s="266"/>
      <c r="I160" s="266"/>
      <c r="J160" s="266"/>
      <c r="K160" s="266"/>
      <c r="L160" s="266"/>
      <c r="M160" s="266"/>
      <c r="N160" s="266"/>
    </row>
    <row r="161" spans="3:14" s="237" customFormat="1" x14ac:dyDescent="0.2">
      <c r="C161" s="266"/>
      <c r="D161" s="266"/>
      <c r="E161" s="266"/>
      <c r="F161" s="266"/>
      <c r="G161" s="266"/>
      <c r="H161" s="266"/>
      <c r="I161" s="266"/>
      <c r="J161" s="266"/>
      <c r="K161" s="266"/>
      <c r="L161" s="266"/>
      <c r="M161" s="266"/>
      <c r="N161" s="266"/>
    </row>
    <row r="162" spans="3:14" s="237" customFormat="1" x14ac:dyDescent="0.2">
      <c r="C162" s="266"/>
      <c r="D162" s="266"/>
      <c r="E162" s="266"/>
      <c r="F162" s="266"/>
      <c r="G162" s="266"/>
      <c r="H162" s="266"/>
      <c r="I162" s="266"/>
      <c r="J162" s="266"/>
      <c r="K162" s="266"/>
      <c r="L162" s="266"/>
      <c r="M162" s="266"/>
      <c r="N162" s="266"/>
    </row>
    <row r="163" spans="3:14" s="237" customFormat="1" x14ac:dyDescent="0.2">
      <c r="C163" s="266"/>
      <c r="D163" s="266"/>
      <c r="E163" s="266"/>
      <c r="F163" s="266"/>
      <c r="G163" s="266"/>
      <c r="H163" s="266"/>
      <c r="I163" s="266"/>
      <c r="J163" s="266"/>
      <c r="K163" s="266"/>
      <c r="L163" s="266"/>
      <c r="M163" s="266"/>
      <c r="N163" s="266"/>
    </row>
    <row r="164" spans="3:14" s="237" customFormat="1" x14ac:dyDescent="0.2">
      <c r="C164" s="266"/>
      <c r="D164" s="266"/>
      <c r="E164" s="266"/>
      <c r="F164" s="266"/>
      <c r="G164" s="266"/>
      <c r="H164" s="266"/>
      <c r="I164" s="266"/>
      <c r="J164" s="266"/>
      <c r="K164" s="266"/>
      <c r="L164" s="266"/>
      <c r="M164" s="266"/>
      <c r="N164" s="266"/>
    </row>
    <row r="165" spans="3:14" s="237" customFormat="1" x14ac:dyDescent="0.2">
      <c r="C165" s="266"/>
      <c r="D165" s="266"/>
      <c r="E165" s="266"/>
      <c r="F165" s="266"/>
      <c r="G165" s="266"/>
      <c r="H165" s="266"/>
      <c r="I165" s="266"/>
      <c r="J165" s="266"/>
      <c r="K165" s="266"/>
      <c r="L165" s="266"/>
      <c r="M165" s="266"/>
      <c r="N165" s="266"/>
    </row>
    <row r="166" spans="3:14" s="237" customFormat="1" x14ac:dyDescent="0.2">
      <c r="C166" s="266"/>
      <c r="D166" s="266"/>
      <c r="E166" s="266"/>
      <c r="F166" s="266"/>
      <c r="G166" s="266"/>
      <c r="H166" s="266"/>
      <c r="I166" s="266"/>
      <c r="J166" s="266"/>
      <c r="K166" s="266"/>
      <c r="L166" s="266"/>
      <c r="M166" s="266"/>
      <c r="N166" s="266"/>
    </row>
    <row r="167" spans="3:14" s="237" customFormat="1" x14ac:dyDescent="0.2">
      <c r="C167" s="266"/>
      <c r="D167" s="266"/>
      <c r="E167" s="266"/>
      <c r="F167" s="266"/>
      <c r="G167" s="266"/>
      <c r="H167" s="266"/>
      <c r="I167" s="266"/>
      <c r="J167" s="266"/>
      <c r="K167" s="266"/>
      <c r="L167" s="266"/>
      <c r="M167" s="266"/>
      <c r="N167" s="266"/>
    </row>
    <row r="168" spans="3:14" s="237" customFormat="1" x14ac:dyDescent="0.2">
      <c r="C168" s="266"/>
      <c r="D168" s="266"/>
      <c r="E168" s="266"/>
      <c r="F168" s="266"/>
      <c r="G168" s="266"/>
      <c r="H168" s="266"/>
      <c r="I168" s="266"/>
      <c r="J168" s="266"/>
      <c r="K168" s="266"/>
      <c r="L168" s="266"/>
      <c r="M168" s="266"/>
      <c r="N168" s="266"/>
    </row>
    <row r="169" spans="3:14" s="237" customFormat="1" x14ac:dyDescent="0.2">
      <c r="C169" s="266"/>
      <c r="D169" s="266"/>
      <c r="E169" s="266"/>
      <c r="F169" s="266"/>
      <c r="G169" s="266"/>
      <c r="H169" s="266"/>
      <c r="I169" s="266"/>
      <c r="J169" s="266"/>
      <c r="K169" s="266"/>
      <c r="L169" s="266"/>
      <c r="M169" s="266"/>
      <c r="N169" s="266"/>
    </row>
    <row r="170" spans="3:14" s="237" customFormat="1" x14ac:dyDescent="0.2">
      <c r="C170" s="266"/>
      <c r="D170" s="266"/>
      <c r="E170" s="266"/>
      <c r="F170" s="266"/>
      <c r="G170" s="266"/>
      <c r="H170" s="266"/>
      <c r="I170" s="266"/>
      <c r="J170" s="266"/>
      <c r="K170" s="266"/>
      <c r="L170" s="266"/>
      <c r="M170" s="266"/>
      <c r="N170" s="266"/>
    </row>
    <row r="171" spans="3:14" s="237" customFormat="1" x14ac:dyDescent="0.2">
      <c r="C171" s="266"/>
      <c r="D171" s="266"/>
      <c r="E171" s="266"/>
      <c r="F171" s="266"/>
      <c r="G171" s="266"/>
      <c r="H171" s="266"/>
      <c r="I171" s="266"/>
      <c r="J171" s="266"/>
      <c r="K171" s="266"/>
      <c r="L171" s="266"/>
      <c r="M171" s="266"/>
      <c r="N171" s="266"/>
    </row>
    <row r="172" spans="3:14" s="237" customFormat="1" x14ac:dyDescent="0.2">
      <c r="C172" s="266"/>
      <c r="D172" s="266"/>
      <c r="E172" s="266"/>
      <c r="F172" s="266"/>
      <c r="G172" s="266"/>
      <c r="H172" s="266"/>
      <c r="I172" s="266"/>
      <c r="J172" s="266"/>
      <c r="K172" s="266"/>
      <c r="L172" s="266"/>
      <c r="M172" s="266"/>
      <c r="N172" s="266"/>
    </row>
    <row r="173" spans="3:14" s="237" customFormat="1" x14ac:dyDescent="0.2">
      <c r="C173" s="266"/>
      <c r="D173" s="266"/>
      <c r="E173" s="266"/>
      <c r="F173" s="266"/>
      <c r="G173" s="266"/>
      <c r="H173" s="266"/>
      <c r="I173" s="266"/>
      <c r="J173" s="266"/>
      <c r="K173" s="266"/>
      <c r="L173" s="266"/>
      <c r="M173" s="266"/>
      <c r="N173" s="266"/>
    </row>
    <row r="174" spans="3:14" s="237" customFormat="1" x14ac:dyDescent="0.2">
      <c r="C174" s="266"/>
      <c r="D174" s="266"/>
      <c r="E174" s="266"/>
      <c r="F174" s="266"/>
      <c r="G174" s="266"/>
      <c r="H174" s="266"/>
      <c r="I174" s="266"/>
      <c r="J174" s="266"/>
      <c r="K174" s="266"/>
      <c r="L174" s="266"/>
      <c r="M174" s="266"/>
      <c r="N174" s="266"/>
    </row>
    <row r="175" spans="3:14" s="237" customFormat="1" x14ac:dyDescent="0.2">
      <c r="C175" s="266"/>
      <c r="D175" s="266"/>
      <c r="E175" s="266"/>
      <c r="F175" s="266"/>
      <c r="G175" s="266"/>
      <c r="H175" s="266"/>
      <c r="I175" s="266"/>
      <c r="J175" s="266"/>
      <c r="K175" s="266"/>
      <c r="L175" s="266"/>
      <c r="M175" s="266"/>
      <c r="N175" s="266"/>
    </row>
    <row r="176" spans="3:14" s="237" customFormat="1" x14ac:dyDescent="0.2">
      <c r="C176" s="266"/>
      <c r="D176" s="266"/>
      <c r="E176" s="266"/>
      <c r="F176" s="266"/>
      <c r="G176" s="266"/>
      <c r="H176" s="266"/>
      <c r="I176" s="266"/>
      <c r="J176" s="266"/>
      <c r="K176" s="266"/>
      <c r="L176" s="266"/>
      <c r="M176" s="266"/>
      <c r="N176" s="266"/>
    </row>
    <row r="177" spans="3:14" s="237" customFormat="1" x14ac:dyDescent="0.2">
      <c r="C177" s="266"/>
      <c r="D177" s="266"/>
      <c r="E177" s="266"/>
      <c r="F177" s="266"/>
      <c r="G177" s="266"/>
      <c r="H177" s="266"/>
      <c r="I177" s="266"/>
      <c r="J177" s="266"/>
      <c r="K177" s="266"/>
      <c r="L177" s="266"/>
      <c r="M177" s="266"/>
      <c r="N177" s="266"/>
    </row>
    <row r="178" spans="3:14" s="237" customFormat="1" x14ac:dyDescent="0.2">
      <c r="C178" s="266"/>
      <c r="D178" s="266"/>
      <c r="E178" s="266"/>
      <c r="F178" s="266"/>
      <c r="G178" s="266"/>
      <c r="H178" s="266"/>
      <c r="I178" s="266"/>
      <c r="J178" s="266"/>
      <c r="K178" s="266"/>
      <c r="L178" s="266"/>
      <c r="M178" s="266"/>
      <c r="N178" s="266"/>
    </row>
    <row r="179" spans="3:14" s="237" customFormat="1" x14ac:dyDescent="0.2">
      <c r="C179" s="266"/>
      <c r="D179" s="266"/>
      <c r="E179" s="266"/>
      <c r="F179" s="266"/>
      <c r="G179" s="266"/>
      <c r="H179" s="266"/>
      <c r="I179" s="266"/>
      <c r="J179" s="266"/>
      <c r="K179" s="266"/>
      <c r="L179" s="266"/>
      <c r="M179" s="266"/>
      <c r="N179" s="266"/>
    </row>
    <row r="180" spans="3:14" s="237" customFormat="1" x14ac:dyDescent="0.2">
      <c r="C180" s="266"/>
      <c r="D180" s="266"/>
      <c r="E180" s="266"/>
      <c r="F180" s="266"/>
      <c r="G180" s="266"/>
      <c r="H180" s="266"/>
      <c r="I180" s="266"/>
      <c r="J180" s="266"/>
      <c r="K180" s="266"/>
      <c r="L180" s="266"/>
      <c r="M180" s="266"/>
      <c r="N180" s="266"/>
    </row>
    <row r="181" spans="3:14" s="237" customFormat="1" x14ac:dyDescent="0.2">
      <c r="C181" s="266"/>
      <c r="D181" s="266"/>
      <c r="E181" s="266"/>
      <c r="F181" s="266"/>
      <c r="G181" s="266"/>
      <c r="H181" s="266"/>
      <c r="I181" s="266"/>
      <c r="J181" s="266"/>
      <c r="K181" s="266"/>
      <c r="L181" s="266"/>
      <c r="M181" s="266"/>
      <c r="N181" s="266"/>
    </row>
    <row r="182" spans="3:14" s="237" customFormat="1" x14ac:dyDescent="0.2">
      <c r="C182" s="266"/>
      <c r="D182" s="266"/>
      <c r="E182" s="266"/>
      <c r="F182" s="266"/>
      <c r="G182" s="266"/>
      <c r="H182" s="266"/>
      <c r="I182" s="266"/>
      <c r="J182" s="266"/>
      <c r="K182" s="266"/>
      <c r="L182" s="266"/>
      <c r="M182" s="266"/>
      <c r="N182" s="266"/>
    </row>
    <row r="183" spans="3:14" s="237" customFormat="1" x14ac:dyDescent="0.2">
      <c r="C183" s="266"/>
      <c r="D183" s="266"/>
      <c r="E183" s="266"/>
      <c r="F183" s="266"/>
      <c r="G183" s="266"/>
      <c r="H183" s="266"/>
      <c r="I183" s="266"/>
      <c r="J183" s="266"/>
      <c r="K183" s="266"/>
      <c r="L183" s="266"/>
      <c r="M183" s="266"/>
      <c r="N183" s="266"/>
    </row>
    <row r="184" spans="3:14" s="237" customFormat="1" x14ac:dyDescent="0.2">
      <c r="C184" s="266"/>
      <c r="D184" s="266"/>
      <c r="E184" s="266"/>
      <c r="F184" s="266"/>
      <c r="G184" s="266"/>
      <c r="H184" s="266"/>
      <c r="I184" s="266"/>
      <c r="J184" s="266"/>
      <c r="K184" s="266"/>
      <c r="L184" s="266"/>
      <c r="M184" s="266"/>
      <c r="N184" s="266"/>
    </row>
    <row r="185" spans="3:14" s="237" customFormat="1" x14ac:dyDescent="0.2">
      <c r="C185" s="266"/>
      <c r="D185" s="266"/>
      <c r="E185" s="266"/>
      <c r="F185" s="266"/>
      <c r="G185" s="266"/>
      <c r="H185" s="266"/>
      <c r="I185" s="266"/>
      <c r="J185" s="266"/>
      <c r="K185" s="266"/>
      <c r="L185" s="266"/>
      <c r="M185" s="266"/>
      <c r="N185" s="266"/>
    </row>
    <row r="186" spans="3:14" s="237" customFormat="1" x14ac:dyDescent="0.2">
      <c r="C186" s="266"/>
      <c r="D186" s="266"/>
      <c r="E186" s="266"/>
      <c r="F186" s="266"/>
      <c r="G186" s="266"/>
      <c r="H186" s="266"/>
      <c r="I186" s="266"/>
      <c r="J186" s="266"/>
      <c r="K186" s="266"/>
      <c r="L186" s="266"/>
      <c r="M186" s="266"/>
      <c r="N186" s="266"/>
    </row>
    <row r="187" spans="3:14" s="237" customFormat="1" x14ac:dyDescent="0.2">
      <c r="C187" s="266"/>
      <c r="D187" s="266"/>
      <c r="E187" s="266"/>
      <c r="F187" s="266"/>
      <c r="G187" s="266"/>
      <c r="H187" s="266"/>
      <c r="I187" s="266"/>
      <c r="J187" s="266"/>
      <c r="K187" s="266"/>
      <c r="L187" s="266"/>
      <c r="M187" s="266"/>
      <c r="N187" s="266"/>
    </row>
    <row r="188" spans="3:14" s="237" customFormat="1" x14ac:dyDescent="0.2">
      <c r="C188" s="266"/>
      <c r="D188" s="266"/>
      <c r="E188" s="266"/>
      <c r="F188" s="266"/>
      <c r="G188" s="266"/>
      <c r="H188" s="266"/>
      <c r="I188" s="266"/>
      <c r="J188" s="266"/>
      <c r="K188" s="266"/>
      <c r="L188" s="266"/>
      <c r="M188" s="266"/>
      <c r="N188" s="266"/>
    </row>
    <row r="189" spans="3:14" s="237" customFormat="1" x14ac:dyDescent="0.2">
      <c r="C189" s="266"/>
      <c r="D189" s="266"/>
      <c r="E189" s="266"/>
      <c r="F189" s="266"/>
      <c r="G189" s="266"/>
      <c r="H189" s="266"/>
      <c r="I189" s="266"/>
      <c r="J189" s="266"/>
      <c r="K189" s="266"/>
      <c r="L189" s="266"/>
      <c r="M189" s="266"/>
      <c r="N189" s="266"/>
    </row>
    <row r="190" spans="3:14" s="237" customFormat="1" x14ac:dyDescent="0.2">
      <c r="C190" s="266"/>
      <c r="D190" s="266"/>
      <c r="E190" s="266"/>
      <c r="F190" s="266"/>
      <c r="G190" s="266"/>
      <c r="H190" s="266"/>
      <c r="I190" s="266"/>
      <c r="J190" s="266"/>
      <c r="K190" s="266"/>
      <c r="L190" s="266"/>
      <c r="M190" s="266"/>
      <c r="N190" s="266"/>
    </row>
    <row r="191" spans="3:14" s="237" customFormat="1" x14ac:dyDescent="0.2">
      <c r="C191" s="266"/>
      <c r="D191" s="266"/>
      <c r="E191" s="266"/>
      <c r="F191" s="266"/>
      <c r="G191" s="266"/>
      <c r="H191" s="266"/>
      <c r="I191" s="266"/>
      <c r="J191" s="266"/>
      <c r="K191" s="266"/>
      <c r="L191" s="266"/>
      <c r="M191" s="266"/>
      <c r="N191" s="266"/>
    </row>
    <row r="192" spans="3:14" s="237" customFormat="1" x14ac:dyDescent="0.2">
      <c r="C192" s="266"/>
      <c r="D192" s="266"/>
      <c r="E192" s="266"/>
      <c r="F192" s="266"/>
      <c r="G192" s="266"/>
      <c r="H192" s="266"/>
      <c r="I192" s="266"/>
      <c r="J192" s="266"/>
      <c r="K192" s="266"/>
      <c r="L192" s="266"/>
      <c r="M192" s="266"/>
      <c r="N192" s="266"/>
    </row>
    <row r="193" spans="3:14" s="237" customFormat="1" x14ac:dyDescent="0.2">
      <c r="C193" s="266"/>
      <c r="D193" s="266"/>
      <c r="E193" s="266"/>
      <c r="F193" s="266"/>
      <c r="G193" s="266"/>
      <c r="H193" s="266"/>
      <c r="I193" s="266"/>
      <c r="J193" s="266"/>
      <c r="K193" s="266"/>
      <c r="L193" s="266"/>
      <c r="M193" s="266"/>
      <c r="N193" s="266"/>
    </row>
    <row r="194" spans="3:14" s="237" customFormat="1" x14ac:dyDescent="0.2">
      <c r="C194" s="266"/>
      <c r="D194" s="266"/>
      <c r="E194" s="266"/>
      <c r="F194" s="266"/>
      <c r="G194" s="266"/>
      <c r="H194" s="266"/>
      <c r="I194" s="266"/>
      <c r="J194" s="266"/>
      <c r="K194" s="266"/>
      <c r="L194" s="266"/>
      <c r="M194" s="266"/>
      <c r="N194" s="266"/>
    </row>
    <row r="195" spans="3:14" s="237" customFormat="1" x14ac:dyDescent="0.2">
      <c r="C195" s="266"/>
      <c r="D195" s="266"/>
      <c r="E195" s="266"/>
      <c r="F195" s="266"/>
      <c r="G195" s="266"/>
      <c r="H195" s="266"/>
      <c r="I195" s="266"/>
      <c r="J195" s="266"/>
      <c r="K195" s="266"/>
      <c r="L195" s="266"/>
      <c r="M195" s="266"/>
      <c r="N195" s="266"/>
    </row>
    <row r="196" spans="3:14" s="237" customFormat="1" x14ac:dyDescent="0.2">
      <c r="C196" s="266"/>
      <c r="D196" s="266"/>
      <c r="E196" s="266"/>
      <c r="F196" s="266"/>
      <c r="G196" s="266"/>
      <c r="H196" s="266"/>
      <c r="I196" s="266"/>
      <c r="J196" s="266"/>
      <c r="K196" s="266"/>
      <c r="L196" s="266"/>
      <c r="M196" s="266"/>
      <c r="N196" s="266"/>
    </row>
    <row r="197" spans="3:14" s="237" customFormat="1" x14ac:dyDescent="0.2">
      <c r="C197" s="266"/>
      <c r="D197" s="266"/>
      <c r="E197" s="266"/>
      <c r="F197" s="266"/>
      <c r="G197" s="266"/>
      <c r="H197" s="266"/>
      <c r="I197" s="266"/>
      <c r="J197" s="266"/>
      <c r="K197" s="266"/>
      <c r="L197" s="266"/>
      <c r="M197" s="266"/>
      <c r="N197" s="266"/>
    </row>
    <row r="198" spans="3:14" s="237" customFormat="1" x14ac:dyDescent="0.2">
      <c r="C198" s="266"/>
      <c r="D198" s="266"/>
      <c r="E198" s="266"/>
      <c r="F198" s="266"/>
      <c r="G198" s="266"/>
      <c r="H198" s="266"/>
      <c r="I198" s="266"/>
      <c r="J198" s="266"/>
      <c r="K198" s="266"/>
      <c r="L198" s="266"/>
      <c r="M198" s="266"/>
      <c r="N198" s="266"/>
    </row>
    <row r="199" spans="3:14" s="237" customFormat="1" x14ac:dyDescent="0.2">
      <c r="C199" s="266"/>
      <c r="D199" s="266"/>
      <c r="E199" s="266"/>
      <c r="F199" s="266"/>
      <c r="G199" s="266"/>
      <c r="H199" s="266"/>
      <c r="I199" s="266"/>
      <c r="J199" s="266"/>
      <c r="K199" s="266"/>
      <c r="L199" s="266"/>
      <c r="M199" s="266"/>
      <c r="N199" s="266"/>
    </row>
    <row r="200" spans="3:14" s="237" customFormat="1" x14ac:dyDescent="0.2">
      <c r="C200" s="266"/>
      <c r="D200" s="266"/>
      <c r="E200" s="266"/>
      <c r="F200" s="266"/>
      <c r="G200" s="266"/>
      <c r="H200" s="266"/>
      <c r="I200" s="266"/>
      <c r="J200" s="266"/>
      <c r="K200" s="266"/>
      <c r="L200" s="266"/>
      <c r="M200" s="266"/>
      <c r="N200" s="266"/>
    </row>
    <row r="201" spans="3:14" s="237" customFormat="1" x14ac:dyDescent="0.2">
      <c r="C201" s="266"/>
      <c r="D201" s="266"/>
      <c r="E201" s="266"/>
      <c r="F201" s="266"/>
      <c r="G201" s="266"/>
      <c r="H201" s="266"/>
      <c r="I201" s="266"/>
      <c r="J201" s="266"/>
      <c r="K201" s="266"/>
      <c r="L201" s="266"/>
      <c r="M201" s="266"/>
      <c r="N201" s="266"/>
    </row>
    <row r="202" spans="3:14" s="237" customFormat="1" x14ac:dyDescent="0.2">
      <c r="C202" s="266"/>
      <c r="D202" s="266"/>
      <c r="E202" s="266"/>
      <c r="F202" s="266"/>
      <c r="G202" s="266"/>
      <c r="H202" s="266"/>
      <c r="I202" s="266"/>
      <c r="J202" s="266"/>
      <c r="K202" s="266"/>
      <c r="L202" s="266"/>
      <c r="M202" s="266"/>
      <c r="N202" s="266"/>
    </row>
    <row r="203" spans="3:14" s="237" customFormat="1" x14ac:dyDescent="0.2">
      <c r="C203" s="266"/>
      <c r="D203" s="266"/>
      <c r="E203" s="266"/>
      <c r="F203" s="266"/>
      <c r="G203" s="266"/>
      <c r="H203" s="266"/>
      <c r="I203" s="266"/>
      <c r="J203" s="266"/>
      <c r="K203" s="266"/>
      <c r="L203" s="266"/>
      <c r="M203" s="266"/>
      <c r="N203" s="266"/>
    </row>
    <row r="204" spans="3:14" s="237" customFormat="1" x14ac:dyDescent="0.2">
      <c r="C204" s="266"/>
      <c r="D204" s="266"/>
      <c r="E204" s="266"/>
      <c r="F204" s="266"/>
      <c r="G204" s="266"/>
      <c r="H204" s="266"/>
      <c r="I204" s="266"/>
      <c r="J204" s="266"/>
      <c r="K204" s="266"/>
      <c r="L204" s="266"/>
      <c r="M204" s="266"/>
      <c r="N204" s="266"/>
    </row>
    <row r="205" spans="3:14" s="237" customFormat="1" x14ac:dyDescent="0.2">
      <c r="C205" s="266"/>
      <c r="D205" s="266"/>
      <c r="E205" s="266"/>
      <c r="F205" s="266"/>
      <c r="G205" s="266"/>
      <c r="H205" s="266"/>
      <c r="I205" s="266"/>
      <c r="J205" s="266"/>
      <c r="K205" s="266"/>
      <c r="L205" s="266"/>
      <c r="M205" s="266"/>
      <c r="N205" s="266"/>
    </row>
    <row r="206" spans="3:14" s="237" customFormat="1" x14ac:dyDescent="0.2">
      <c r="C206" s="266"/>
      <c r="D206" s="266"/>
      <c r="E206" s="266"/>
      <c r="F206" s="266"/>
      <c r="G206" s="266"/>
      <c r="H206" s="266"/>
      <c r="I206" s="266"/>
      <c r="J206" s="266"/>
      <c r="K206" s="266"/>
      <c r="L206" s="266"/>
      <c r="M206" s="266"/>
      <c r="N206" s="266"/>
    </row>
    <row r="207" spans="3:14" s="237" customFormat="1" x14ac:dyDescent="0.2">
      <c r="C207" s="266"/>
      <c r="D207" s="266"/>
      <c r="E207" s="266"/>
      <c r="F207" s="266"/>
      <c r="G207" s="266"/>
      <c r="H207" s="266"/>
      <c r="I207" s="266"/>
      <c r="J207" s="266"/>
      <c r="K207" s="266"/>
      <c r="L207" s="266"/>
      <c r="M207" s="266"/>
      <c r="N207" s="266"/>
    </row>
    <row r="208" spans="3:14" s="237" customFormat="1" x14ac:dyDescent="0.2">
      <c r="C208" s="266"/>
      <c r="D208" s="266"/>
      <c r="E208" s="266"/>
      <c r="F208" s="266"/>
      <c r="G208" s="266"/>
      <c r="H208" s="266"/>
      <c r="I208" s="266"/>
      <c r="J208" s="266"/>
      <c r="K208" s="266"/>
      <c r="L208" s="266"/>
      <c r="M208" s="266"/>
      <c r="N208" s="266"/>
    </row>
    <row r="209" spans="3:14" s="237" customFormat="1" x14ac:dyDescent="0.2">
      <c r="C209" s="266"/>
      <c r="D209" s="266"/>
      <c r="E209" s="266"/>
      <c r="F209" s="266"/>
      <c r="G209" s="266"/>
      <c r="H209" s="266"/>
      <c r="I209" s="266"/>
      <c r="J209" s="266"/>
      <c r="K209" s="266"/>
      <c r="L209" s="266"/>
      <c r="M209" s="266"/>
      <c r="N209" s="266"/>
    </row>
    <row r="210" spans="3:14" s="237" customFormat="1" x14ac:dyDescent="0.2">
      <c r="C210" s="266"/>
      <c r="D210" s="266"/>
      <c r="E210" s="266"/>
      <c r="F210" s="266"/>
      <c r="G210" s="266"/>
      <c r="H210" s="266"/>
      <c r="I210" s="266"/>
      <c r="J210" s="266"/>
      <c r="K210" s="266"/>
      <c r="L210" s="266"/>
      <c r="M210" s="266"/>
      <c r="N210" s="266"/>
    </row>
    <row r="211" spans="3:14" s="237" customFormat="1" x14ac:dyDescent="0.2">
      <c r="C211" s="266"/>
      <c r="D211" s="266"/>
      <c r="E211" s="266"/>
      <c r="F211" s="266"/>
      <c r="G211" s="266"/>
      <c r="H211" s="266"/>
      <c r="I211" s="266"/>
      <c r="J211" s="266"/>
      <c r="K211" s="266"/>
      <c r="L211" s="266"/>
      <c r="M211" s="266"/>
      <c r="N211" s="266"/>
    </row>
    <row r="212" spans="3:14" s="237" customFormat="1" x14ac:dyDescent="0.2">
      <c r="C212" s="266"/>
      <c r="D212" s="266"/>
      <c r="E212" s="266"/>
      <c r="F212" s="266"/>
      <c r="G212" s="266"/>
      <c r="H212" s="266"/>
      <c r="I212" s="266"/>
      <c r="J212" s="266"/>
      <c r="K212" s="266"/>
      <c r="L212" s="266"/>
      <c r="M212" s="266"/>
      <c r="N212" s="266"/>
    </row>
    <row r="213" spans="3:14" s="237" customFormat="1" x14ac:dyDescent="0.2">
      <c r="C213" s="266"/>
      <c r="D213" s="266"/>
      <c r="E213" s="266"/>
      <c r="F213" s="266"/>
      <c r="G213" s="266"/>
      <c r="H213" s="266"/>
      <c r="I213" s="266"/>
      <c r="J213" s="266"/>
      <c r="K213" s="266"/>
      <c r="L213" s="266"/>
      <c r="M213" s="266"/>
      <c r="N213" s="266"/>
    </row>
    <row r="214" spans="3:14" s="237" customFormat="1" x14ac:dyDescent="0.2">
      <c r="C214" s="266"/>
      <c r="D214" s="266"/>
      <c r="E214" s="266"/>
      <c r="F214" s="266"/>
      <c r="G214" s="266"/>
      <c r="H214" s="266"/>
      <c r="I214" s="266"/>
      <c r="J214" s="266"/>
      <c r="K214" s="266"/>
      <c r="L214" s="266"/>
      <c r="M214" s="266"/>
      <c r="N214" s="266"/>
    </row>
    <row r="215" spans="3:14" s="237" customFormat="1" x14ac:dyDescent="0.2">
      <c r="C215" s="266"/>
      <c r="D215" s="266"/>
      <c r="E215" s="266"/>
      <c r="F215" s="266"/>
      <c r="G215" s="266"/>
      <c r="H215" s="266"/>
      <c r="I215" s="266"/>
      <c r="J215" s="266"/>
      <c r="K215" s="266"/>
      <c r="L215" s="266"/>
      <c r="M215" s="266"/>
      <c r="N215" s="266"/>
    </row>
    <row r="216" spans="3:14" s="237" customFormat="1" x14ac:dyDescent="0.2">
      <c r="C216" s="266"/>
      <c r="D216" s="266"/>
      <c r="E216" s="266"/>
      <c r="F216" s="266"/>
      <c r="G216" s="266"/>
      <c r="H216" s="266"/>
      <c r="I216" s="266"/>
      <c r="J216" s="266"/>
      <c r="K216" s="266"/>
      <c r="L216" s="266"/>
      <c r="M216" s="266"/>
      <c r="N216" s="266"/>
    </row>
    <row r="217" spans="3:14" s="237" customFormat="1" x14ac:dyDescent="0.2">
      <c r="C217" s="266"/>
      <c r="D217" s="266"/>
      <c r="E217" s="266"/>
      <c r="F217" s="266"/>
      <c r="G217" s="266"/>
      <c r="H217" s="266"/>
      <c r="I217" s="266"/>
      <c r="J217" s="266"/>
      <c r="K217" s="266"/>
      <c r="L217" s="266"/>
      <c r="M217" s="266"/>
      <c r="N217" s="266"/>
    </row>
    <row r="218" spans="3:14" s="237" customFormat="1" x14ac:dyDescent="0.2">
      <c r="C218" s="266"/>
      <c r="D218" s="266"/>
      <c r="E218" s="266"/>
      <c r="F218" s="266"/>
      <c r="G218" s="266"/>
      <c r="H218" s="266"/>
      <c r="I218" s="266"/>
      <c r="J218" s="266"/>
      <c r="K218" s="266"/>
      <c r="L218" s="266"/>
      <c r="M218" s="266"/>
      <c r="N218" s="266"/>
    </row>
    <row r="219" spans="3:14" s="237" customFormat="1" x14ac:dyDescent="0.2">
      <c r="C219" s="266"/>
      <c r="D219" s="266"/>
      <c r="E219" s="266"/>
      <c r="F219" s="266"/>
      <c r="G219" s="266"/>
      <c r="H219" s="266"/>
      <c r="I219" s="266"/>
      <c r="J219" s="266"/>
      <c r="K219" s="266"/>
      <c r="L219" s="266"/>
      <c r="M219" s="266"/>
      <c r="N219" s="266"/>
    </row>
    <row r="220" spans="3:14" s="237" customFormat="1" x14ac:dyDescent="0.2">
      <c r="C220" s="266"/>
      <c r="D220" s="266"/>
      <c r="E220" s="266"/>
      <c r="F220" s="266"/>
      <c r="G220" s="266"/>
      <c r="H220" s="266"/>
      <c r="I220" s="266"/>
      <c r="J220" s="266"/>
      <c r="K220" s="266"/>
      <c r="L220" s="266"/>
      <c r="M220" s="266"/>
      <c r="N220" s="266"/>
    </row>
    <row r="221" spans="3:14" s="237" customFormat="1" x14ac:dyDescent="0.2">
      <c r="C221" s="266"/>
      <c r="D221" s="266"/>
      <c r="E221" s="266"/>
      <c r="F221" s="266"/>
      <c r="G221" s="266"/>
      <c r="H221" s="266"/>
      <c r="I221" s="266"/>
      <c r="J221" s="266"/>
      <c r="K221" s="266"/>
      <c r="L221" s="266"/>
      <c r="M221" s="266"/>
      <c r="N221" s="266"/>
    </row>
    <row r="222" spans="3:14" s="237" customFormat="1" x14ac:dyDescent="0.2">
      <c r="C222" s="266"/>
      <c r="D222" s="266"/>
      <c r="E222" s="266"/>
      <c r="F222" s="266"/>
      <c r="G222" s="266"/>
      <c r="H222" s="266"/>
      <c r="I222" s="266"/>
      <c r="J222" s="266"/>
      <c r="K222" s="266"/>
      <c r="L222" s="266"/>
      <c r="M222" s="266"/>
      <c r="N222" s="266"/>
    </row>
    <row r="223" spans="3:14" s="237" customFormat="1" x14ac:dyDescent="0.2">
      <c r="C223" s="266"/>
      <c r="D223" s="266"/>
      <c r="E223" s="266"/>
      <c r="F223" s="266"/>
      <c r="G223" s="266"/>
      <c r="H223" s="266"/>
      <c r="I223" s="266"/>
      <c r="J223" s="266"/>
      <c r="K223" s="266"/>
      <c r="L223" s="266"/>
      <c r="M223" s="266"/>
      <c r="N223" s="266"/>
    </row>
    <row r="224" spans="3:14" s="237" customFormat="1" x14ac:dyDescent="0.2">
      <c r="C224" s="266"/>
      <c r="D224" s="266"/>
      <c r="E224" s="266"/>
      <c r="F224" s="266"/>
      <c r="G224" s="266"/>
      <c r="H224" s="266"/>
      <c r="I224" s="266"/>
      <c r="J224" s="266"/>
      <c r="K224" s="266"/>
      <c r="L224" s="266"/>
      <c r="M224" s="266"/>
      <c r="N224" s="266"/>
    </row>
    <row r="225" spans="3:14" s="237" customFormat="1" x14ac:dyDescent="0.2">
      <c r="C225" s="266"/>
      <c r="D225" s="266"/>
      <c r="E225" s="266"/>
      <c r="F225" s="266"/>
      <c r="G225" s="266"/>
      <c r="H225" s="266"/>
      <c r="I225" s="266"/>
      <c r="J225" s="266"/>
      <c r="K225" s="266"/>
      <c r="L225" s="266"/>
      <c r="M225" s="266"/>
      <c r="N225" s="266"/>
    </row>
    <row r="226" spans="3:14" s="237" customFormat="1" x14ac:dyDescent="0.2">
      <c r="C226" s="266"/>
      <c r="D226" s="266"/>
      <c r="E226" s="266"/>
      <c r="F226" s="266"/>
      <c r="G226" s="266"/>
      <c r="H226" s="266"/>
      <c r="I226" s="266"/>
      <c r="J226" s="266"/>
      <c r="K226" s="266"/>
      <c r="L226" s="266"/>
      <c r="M226" s="266"/>
      <c r="N226" s="266"/>
    </row>
    <row r="227" spans="3:14" s="237" customFormat="1" x14ac:dyDescent="0.2">
      <c r="C227" s="266"/>
      <c r="D227" s="266"/>
      <c r="E227" s="266"/>
      <c r="F227" s="266"/>
      <c r="G227" s="266"/>
      <c r="H227" s="266"/>
      <c r="I227" s="266"/>
      <c r="J227" s="266"/>
      <c r="K227" s="266"/>
      <c r="L227" s="266"/>
      <c r="M227" s="266"/>
      <c r="N227" s="266"/>
    </row>
    <row r="228" spans="3:14" s="237" customFormat="1" x14ac:dyDescent="0.2">
      <c r="C228" s="266"/>
      <c r="D228" s="266"/>
      <c r="E228" s="266"/>
      <c r="F228" s="266"/>
      <c r="G228" s="266"/>
      <c r="H228" s="266"/>
      <c r="I228" s="266"/>
      <c r="J228" s="266"/>
      <c r="K228" s="266"/>
      <c r="L228" s="266"/>
      <c r="M228" s="266"/>
      <c r="N228" s="266"/>
    </row>
    <row r="229" spans="3:14" s="237" customFormat="1" x14ac:dyDescent="0.2">
      <c r="C229" s="266"/>
      <c r="D229" s="266"/>
      <c r="E229" s="266"/>
      <c r="F229" s="266"/>
      <c r="G229" s="266"/>
      <c r="H229" s="266"/>
      <c r="I229" s="266"/>
      <c r="J229" s="266"/>
      <c r="K229" s="266"/>
      <c r="L229" s="266"/>
      <c r="M229" s="266"/>
      <c r="N229" s="266"/>
    </row>
    <row r="230" spans="3:14" s="237" customFormat="1" x14ac:dyDescent="0.2">
      <c r="C230" s="266"/>
      <c r="D230" s="266"/>
      <c r="E230" s="266"/>
      <c r="F230" s="266"/>
      <c r="G230" s="266"/>
      <c r="H230" s="266"/>
      <c r="I230" s="266"/>
      <c r="J230" s="266"/>
      <c r="K230" s="266"/>
      <c r="L230" s="266"/>
      <c r="M230" s="266"/>
      <c r="N230" s="266"/>
    </row>
    <row r="231" spans="3:14" s="237" customFormat="1" x14ac:dyDescent="0.2">
      <c r="C231" s="266"/>
      <c r="D231" s="266"/>
      <c r="E231" s="266"/>
      <c r="F231" s="266"/>
      <c r="G231" s="266"/>
      <c r="H231" s="266"/>
      <c r="I231" s="266"/>
      <c r="J231" s="266"/>
      <c r="K231" s="266"/>
      <c r="L231" s="266"/>
      <c r="M231" s="266"/>
      <c r="N231" s="266"/>
    </row>
    <row r="232" spans="3:14" s="237" customFormat="1" x14ac:dyDescent="0.2">
      <c r="C232" s="266"/>
      <c r="D232" s="266"/>
      <c r="E232" s="266"/>
      <c r="F232" s="266"/>
      <c r="G232" s="266"/>
      <c r="H232" s="266"/>
      <c r="I232" s="266"/>
      <c r="J232" s="266"/>
      <c r="K232" s="266"/>
      <c r="L232" s="266"/>
      <c r="M232" s="266"/>
      <c r="N232" s="266"/>
    </row>
    <row r="233" spans="3:14" s="237" customFormat="1" x14ac:dyDescent="0.2">
      <c r="C233" s="266"/>
      <c r="D233" s="266"/>
      <c r="E233" s="266"/>
      <c r="F233" s="266"/>
      <c r="G233" s="266"/>
      <c r="H233" s="266"/>
      <c r="I233" s="266"/>
      <c r="J233" s="266"/>
      <c r="K233" s="266"/>
      <c r="L233" s="266"/>
      <c r="M233" s="266"/>
      <c r="N233" s="266"/>
    </row>
    <row r="234" spans="3:14" s="237" customFormat="1" x14ac:dyDescent="0.2">
      <c r="C234" s="266"/>
      <c r="D234" s="266"/>
      <c r="E234" s="266"/>
      <c r="F234" s="266"/>
      <c r="G234" s="266"/>
      <c r="H234" s="266"/>
      <c r="I234" s="266"/>
      <c r="J234" s="266"/>
      <c r="K234" s="266"/>
      <c r="L234" s="266"/>
      <c r="M234" s="266"/>
      <c r="N234" s="266"/>
    </row>
    <row r="235" spans="3:14" s="237" customFormat="1" x14ac:dyDescent="0.2">
      <c r="C235" s="266"/>
      <c r="D235" s="266"/>
      <c r="E235" s="266"/>
      <c r="F235" s="266"/>
      <c r="G235" s="266"/>
      <c r="H235" s="266"/>
      <c r="I235" s="266"/>
      <c r="J235" s="266"/>
      <c r="K235" s="266"/>
      <c r="L235" s="266"/>
      <c r="M235" s="266"/>
      <c r="N235" s="266"/>
    </row>
    <row r="236" spans="3:14" s="237" customFormat="1" x14ac:dyDescent="0.2">
      <c r="C236" s="266"/>
      <c r="D236" s="266"/>
      <c r="E236" s="266"/>
      <c r="F236" s="266"/>
      <c r="G236" s="266"/>
      <c r="H236" s="266"/>
      <c r="I236" s="266"/>
      <c r="J236" s="266"/>
      <c r="K236" s="266"/>
      <c r="L236" s="266"/>
      <c r="M236" s="266"/>
      <c r="N236" s="266"/>
    </row>
    <row r="237" spans="3:14" s="237" customFormat="1" x14ac:dyDescent="0.2">
      <c r="C237" s="266"/>
      <c r="D237" s="266"/>
      <c r="E237" s="266"/>
      <c r="F237" s="266"/>
      <c r="G237" s="266"/>
      <c r="H237" s="266"/>
      <c r="I237" s="266"/>
      <c r="J237" s="266"/>
      <c r="K237" s="266"/>
      <c r="L237" s="266"/>
      <c r="M237" s="266"/>
      <c r="N237" s="266"/>
    </row>
    <row r="238" spans="3:14" s="237" customFormat="1" x14ac:dyDescent="0.2">
      <c r="C238" s="266"/>
      <c r="D238" s="266"/>
      <c r="E238" s="266"/>
      <c r="F238" s="266"/>
      <c r="G238" s="266"/>
      <c r="H238" s="266"/>
      <c r="I238" s="266"/>
      <c r="J238" s="266"/>
      <c r="K238" s="266"/>
      <c r="L238" s="266"/>
      <c r="M238" s="266"/>
      <c r="N238" s="266"/>
    </row>
    <row r="239" spans="3:14" s="237" customFormat="1" x14ac:dyDescent="0.2">
      <c r="C239" s="266"/>
      <c r="D239" s="266"/>
      <c r="E239" s="266"/>
      <c r="F239" s="266"/>
      <c r="G239" s="266"/>
      <c r="H239" s="266"/>
      <c r="I239" s="266"/>
      <c r="J239" s="266"/>
      <c r="K239" s="266"/>
      <c r="L239" s="266"/>
      <c r="M239" s="266"/>
      <c r="N239" s="266"/>
    </row>
    <row r="240" spans="3:14" s="237" customFormat="1" x14ac:dyDescent="0.2">
      <c r="C240" s="266"/>
      <c r="D240" s="266"/>
      <c r="E240" s="266"/>
      <c r="F240" s="266"/>
      <c r="G240" s="266"/>
      <c r="H240" s="266"/>
      <c r="I240" s="266"/>
      <c r="J240" s="266"/>
      <c r="K240" s="266"/>
      <c r="L240" s="266"/>
      <c r="M240" s="266"/>
      <c r="N240" s="266"/>
    </row>
    <row r="241" spans="3:14" s="237" customFormat="1" x14ac:dyDescent="0.2">
      <c r="C241" s="266"/>
      <c r="D241" s="266"/>
      <c r="E241" s="266"/>
      <c r="F241" s="266"/>
      <c r="G241" s="266"/>
      <c r="H241" s="266"/>
      <c r="I241" s="266"/>
      <c r="J241" s="266"/>
      <c r="K241" s="266"/>
      <c r="L241" s="266"/>
      <c r="M241" s="266"/>
      <c r="N241" s="266"/>
    </row>
    <row r="242" spans="3:14" s="237" customFormat="1" x14ac:dyDescent="0.2">
      <c r="C242" s="266"/>
      <c r="D242" s="266"/>
      <c r="E242" s="266"/>
      <c r="F242" s="266"/>
      <c r="G242" s="266"/>
      <c r="H242" s="266"/>
      <c r="I242" s="266"/>
      <c r="J242" s="266"/>
      <c r="K242" s="266"/>
      <c r="L242" s="266"/>
      <c r="M242" s="266"/>
      <c r="N242" s="266"/>
    </row>
    <row r="243" spans="3:14" s="237" customFormat="1" x14ac:dyDescent="0.2">
      <c r="C243" s="266"/>
      <c r="D243" s="266"/>
      <c r="E243" s="266"/>
      <c r="F243" s="266"/>
      <c r="G243" s="266"/>
      <c r="H243" s="266"/>
      <c r="I243" s="266"/>
      <c r="J243" s="266"/>
      <c r="K243" s="266"/>
      <c r="L243" s="266"/>
      <c r="M243" s="266"/>
      <c r="N243" s="266"/>
    </row>
    <row r="244" spans="3:14" s="237" customFormat="1" x14ac:dyDescent="0.2">
      <c r="C244" s="266"/>
      <c r="D244" s="266"/>
      <c r="E244" s="266"/>
      <c r="F244" s="266"/>
      <c r="G244" s="266"/>
      <c r="H244" s="266"/>
      <c r="I244" s="266"/>
      <c r="J244" s="266"/>
      <c r="K244" s="266"/>
      <c r="L244" s="266"/>
      <c r="M244" s="266"/>
      <c r="N244" s="266"/>
    </row>
    <row r="245" spans="3:14" s="237" customFormat="1" x14ac:dyDescent="0.2">
      <c r="C245" s="266"/>
      <c r="D245" s="266"/>
      <c r="E245" s="266"/>
      <c r="F245" s="266"/>
      <c r="G245" s="266"/>
      <c r="H245" s="266"/>
      <c r="I245" s="266"/>
      <c r="J245" s="266"/>
      <c r="K245" s="266"/>
      <c r="L245" s="266"/>
      <c r="M245" s="266"/>
      <c r="N245" s="266"/>
    </row>
    <row r="246" spans="3:14" s="237" customFormat="1" x14ac:dyDescent="0.2">
      <c r="C246" s="266"/>
      <c r="D246" s="266"/>
      <c r="E246" s="266"/>
      <c r="F246" s="266"/>
      <c r="G246" s="266"/>
      <c r="H246" s="266"/>
      <c r="I246" s="266"/>
      <c r="J246" s="266"/>
      <c r="K246" s="266"/>
      <c r="L246" s="266"/>
      <c r="M246" s="266"/>
      <c r="N246" s="266"/>
    </row>
    <row r="247" spans="3:14" s="237" customFormat="1" x14ac:dyDescent="0.2">
      <c r="C247" s="266"/>
      <c r="D247" s="266"/>
      <c r="E247" s="266"/>
      <c r="F247" s="266"/>
      <c r="G247" s="266"/>
      <c r="H247" s="266"/>
      <c r="I247" s="266"/>
      <c r="J247" s="266"/>
      <c r="K247" s="266"/>
      <c r="L247" s="266"/>
      <c r="M247" s="266"/>
      <c r="N247" s="266"/>
    </row>
    <row r="248" spans="3:14" s="237" customFormat="1" x14ac:dyDescent="0.2">
      <c r="C248" s="266"/>
      <c r="D248" s="266"/>
      <c r="E248" s="266"/>
      <c r="F248" s="266"/>
      <c r="G248" s="266"/>
      <c r="H248" s="266"/>
      <c r="I248" s="266"/>
      <c r="J248" s="266"/>
      <c r="K248" s="266"/>
      <c r="L248" s="266"/>
      <c r="M248" s="266"/>
      <c r="N248" s="266"/>
    </row>
    <row r="249" spans="3:14" s="237" customFormat="1" x14ac:dyDescent="0.2">
      <c r="C249" s="266"/>
      <c r="D249" s="266"/>
      <c r="E249" s="266"/>
      <c r="F249" s="266"/>
      <c r="G249" s="266"/>
      <c r="H249" s="266"/>
      <c r="I249" s="266"/>
      <c r="J249" s="266"/>
      <c r="K249" s="266"/>
      <c r="L249" s="266"/>
      <c r="M249" s="266"/>
      <c r="N249" s="266"/>
    </row>
    <row r="250" spans="3:14" s="237" customFormat="1" x14ac:dyDescent="0.2">
      <c r="C250" s="266"/>
      <c r="D250" s="266"/>
      <c r="E250" s="266"/>
      <c r="F250" s="266"/>
      <c r="G250" s="266"/>
      <c r="H250" s="266"/>
      <c r="I250" s="266"/>
      <c r="J250" s="266"/>
      <c r="K250" s="266"/>
      <c r="L250" s="266"/>
      <c r="M250" s="266"/>
      <c r="N250" s="266"/>
    </row>
    <row r="251" spans="3:14" s="237" customFormat="1" x14ac:dyDescent="0.2">
      <c r="C251" s="266"/>
      <c r="D251" s="266"/>
      <c r="E251" s="266"/>
      <c r="F251" s="266"/>
      <c r="G251" s="266"/>
      <c r="H251" s="266"/>
      <c r="I251" s="266"/>
      <c r="J251" s="266"/>
      <c r="K251" s="266"/>
      <c r="L251" s="266"/>
      <c r="M251" s="266"/>
      <c r="N251" s="266"/>
    </row>
    <row r="252" spans="3:14" s="237" customFormat="1" x14ac:dyDescent="0.2">
      <c r="C252" s="266"/>
      <c r="D252" s="266"/>
      <c r="E252" s="266"/>
      <c r="F252" s="266"/>
      <c r="G252" s="266"/>
      <c r="H252" s="266"/>
      <c r="I252" s="266"/>
      <c r="J252" s="266"/>
      <c r="K252" s="266"/>
      <c r="L252" s="266"/>
      <c r="M252" s="266"/>
      <c r="N252" s="266"/>
    </row>
    <row r="253" spans="3:14" s="237" customFormat="1" x14ac:dyDescent="0.2">
      <c r="C253" s="266"/>
      <c r="D253" s="266"/>
      <c r="E253" s="266"/>
      <c r="F253" s="266"/>
      <c r="G253" s="266"/>
      <c r="H253" s="266"/>
      <c r="I253" s="266"/>
      <c r="J253" s="266"/>
      <c r="K253" s="266"/>
      <c r="L253" s="266"/>
      <c r="M253" s="266"/>
      <c r="N253" s="266"/>
    </row>
  </sheetData>
  <mergeCells count="22">
    <mergeCell ref="A3:N3"/>
    <mergeCell ref="A2:N2"/>
    <mergeCell ref="A4:N4"/>
    <mergeCell ref="A5:A6"/>
    <mergeCell ref="B5:B6"/>
    <mergeCell ref="C5:C6"/>
    <mergeCell ref="D5:D6"/>
    <mergeCell ref="E5:E6"/>
    <mergeCell ref="J5:J6"/>
    <mergeCell ref="F5:F6"/>
    <mergeCell ref="G5:G6"/>
    <mergeCell ref="H5:H6"/>
    <mergeCell ref="I5:I6"/>
    <mergeCell ref="A28:B28"/>
    <mergeCell ref="L5:L6"/>
    <mergeCell ref="M5:M6"/>
    <mergeCell ref="K5:K6"/>
    <mergeCell ref="N5:N6"/>
    <mergeCell ref="A7:B7"/>
    <mergeCell ref="A9:B9"/>
    <mergeCell ref="A11:B11"/>
    <mergeCell ref="A26:B26"/>
  </mergeCells>
  <phoneticPr fontId="0" type="noConversion"/>
  <pageMargins left="0.17" right="0.16" top="0.75" bottom="0.75" header="0.3" footer="0.3"/>
  <pageSetup scale="9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BASE!$F$3:$F$4</xm:f>
          </x14:formula1>
          <xm:sqref>A12:A25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C253"/>
  <sheetViews>
    <sheetView workbookViewId="0">
      <selection activeCell="E14" sqref="E14"/>
    </sheetView>
  </sheetViews>
  <sheetFormatPr baseColWidth="10" defaultRowHeight="12.75" x14ac:dyDescent="0.2"/>
  <cols>
    <col min="1" max="1" width="11.42578125" customWidth="1"/>
    <col min="2" max="2" width="28.42578125" customWidth="1"/>
    <col min="3" max="13" width="12.7109375" style="277" customWidth="1"/>
    <col min="14" max="14" width="12.85546875" style="277" customWidth="1"/>
    <col min="15" max="81" width="11.42578125" style="237"/>
  </cols>
  <sheetData>
    <row r="1" spans="1:14" x14ac:dyDescent="0.2">
      <c r="A1" s="237"/>
      <c r="B1" s="237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</row>
    <row r="2" spans="1:14" ht="20.25" customHeight="1" x14ac:dyDescent="0.25">
      <c r="A2" s="1255" t="s">
        <v>658</v>
      </c>
      <c r="B2" s="1255"/>
      <c r="C2" s="1255"/>
      <c r="D2" s="1255"/>
      <c r="E2" s="1255"/>
      <c r="F2" s="1255"/>
      <c r="G2" s="1255"/>
      <c r="H2" s="1255"/>
      <c r="I2" s="1255"/>
      <c r="J2" s="1255"/>
      <c r="K2" s="1255"/>
      <c r="L2" s="1255"/>
      <c r="M2" s="1255"/>
      <c r="N2" s="1255"/>
    </row>
    <row r="3" spans="1:14" ht="20.25" customHeight="1" x14ac:dyDescent="0.25">
      <c r="A3" s="1254" t="str">
        <f>+PRESUPUESTO!B2</f>
        <v>MEDICINA PREGRADO</v>
      </c>
      <c r="B3" s="1254"/>
      <c r="C3" s="1254"/>
      <c r="D3" s="1254"/>
      <c r="E3" s="1254"/>
      <c r="F3" s="1254"/>
      <c r="G3" s="1254"/>
      <c r="H3" s="1254"/>
      <c r="I3" s="1254"/>
      <c r="J3" s="1254"/>
      <c r="K3" s="1254"/>
      <c r="L3" s="1254"/>
      <c r="M3" s="1254"/>
      <c r="N3" s="1254"/>
    </row>
    <row r="4" spans="1:14" ht="20.25" customHeight="1" thickBot="1" x14ac:dyDescent="0.3">
      <c r="A4" s="1256">
        <v>2018</v>
      </c>
      <c r="B4" s="1256"/>
      <c r="C4" s="1256"/>
      <c r="D4" s="1256"/>
      <c r="E4" s="1256"/>
      <c r="F4" s="1256"/>
      <c r="G4" s="1256"/>
      <c r="H4" s="1256"/>
      <c r="I4" s="1256"/>
      <c r="J4" s="1256"/>
      <c r="K4" s="1256"/>
      <c r="L4" s="1256"/>
      <c r="M4" s="1256"/>
      <c r="N4" s="1256"/>
    </row>
    <row r="5" spans="1:14" ht="12.75" customHeight="1" x14ac:dyDescent="0.2">
      <c r="A5" s="1257" t="s">
        <v>440</v>
      </c>
      <c r="B5" s="1259" t="s">
        <v>441</v>
      </c>
      <c r="C5" s="1249" t="s">
        <v>463</v>
      </c>
      <c r="D5" s="1249" t="s">
        <v>463</v>
      </c>
      <c r="E5" s="1249" t="s">
        <v>463</v>
      </c>
      <c r="F5" s="1249" t="s">
        <v>463</v>
      </c>
      <c r="G5" s="1249" t="s">
        <v>463</v>
      </c>
      <c r="H5" s="1249" t="s">
        <v>463</v>
      </c>
      <c r="I5" s="1249" t="s">
        <v>463</v>
      </c>
      <c r="J5" s="1249" t="s">
        <v>463</v>
      </c>
      <c r="K5" s="1249" t="s">
        <v>463</v>
      </c>
      <c r="L5" s="1249" t="s">
        <v>463</v>
      </c>
      <c r="M5" s="1249" t="s">
        <v>463</v>
      </c>
      <c r="N5" s="1261" t="s">
        <v>869</v>
      </c>
    </row>
    <row r="6" spans="1:14" ht="13.5" thickBot="1" x14ac:dyDescent="0.25">
      <c r="A6" s="1258"/>
      <c r="B6" s="1260"/>
      <c r="C6" s="1250"/>
      <c r="D6" s="1250"/>
      <c r="E6" s="1250"/>
      <c r="F6" s="1250"/>
      <c r="G6" s="1250"/>
      <c r="H6" s="1250"/>
      <c r="I6" s="1250"/>
      <c r="J6" s="1250"/>
      <c r="K6" s="1250"/>
      <c r="L6" s="1250"/>
      <c r="M6" s="1250"/>
      <c r="N6" s="1262"/>
    </row>
    <row r="7" spans="1:14" ht="13.5" thickBot="1" x14ac:dyDescent="0.25">
      <c r="A7" s="1251" t="s">
        <v>0</v>
      </c>
      <c r="B7" s="1252"/>
      <c r="C7" s="267"/>
      <c r="D7" s="267"/>
      <c r="E7" s="267"/>
      <c r="F7" s="267"/>
      <c r="G7" s="267"/>
      <c r="H7" s="267"/>
      <c r="I7" s="267"/>
      <c r="J7" s="267"/>
      <c r="K7" s="267"/>
      <c r="L7" s="267"/>
      <c r="M7" s="267"/>
      <c r="N7" s="268"/>
    </row>
    <row r="8" spans="1:14" x14ac:dyDescent="0.2">
      <c r="A8" s="249"/>
      <c r="B8" s="245" t="s">
        <v>464</v>
      </c>
      <c r="C8" s="305"/>
      <c r="D8" s="305"/>
      <c r="E8" s="269"/>
      <c r="F8" s="269"/>
      <c r="G8" s="269"/>
      <c r="H8" s="269"/>
      <c r="I8" s="269"/>
      <c r="J8" s="269"/>
      <c r="K8" s="269"/>
      <c r="L8" s="269"/>
      <c r="M8" s="269"/>
      <c r="N8" s="270">
        <f>SUM(C8:M8)</f>
        <v>0</v>
      </c>
    </row>
    <row r="9" spans="1:14" ht="13.5" thickBot="1" x14ac:dyDescent="0.25">
      <c r="A9" s="1253" t="s">
        <v>444</v>
      </c>
      <c r="B9" s="1252"/>
      <c r="C9" s="271">
        <f t="shared" ref="C9:M9" si="0">SUM(C8:C8)</f>
        <v>0</v>
      </c>
      <c r="D9" s="271">
        <f t="shared" si="0"/>
        <v>0</v>
      </c>
      <c r="E9" s="271">
        <f t="shared" si="0"/>
        <v>0</v>
      </c>
      <c r="F9" s="271">
        <f t="shared" si="0"/>
        <v>0</v>
      </c>
      <c r="G9" s="271">
        <f t="shared" si="0"/>
        <v>0</v>
      </c>
      <c r="H9" s="271">
        <f t="shared" si="0"/>
        <v>0</v>
      </c>
      <c r="I9" s="271">
        <f t="shared" si="0"/>
        <v>0</v>
      </c>
      <c r="J9" s="271">
        <f t="shared" si="0"/>
        <v>0</v>
      </c>
      <c r="K9" s="271">
        <f t="shared" si="0"/>
        <v>0</v>
      </c>
      <c r="L9" s="271">
        <f t="shared" si="0"/>
        <v>0</v>
      </c>
      <c r="M9" s="271">
        <f t="shared" si="0"/>
        <v>0</v>
      </c>
      <c r="N9" s="268">
        <f>SUM(C9:M9)</f>
        <v>0</v>
      </c>
    </row>
    <row r="10" spans="1:14" ht="13.5" thickBot="1" x14ac:dyDescent="0.25">
      <c r="A10" s="247"/>
      <c r="B10" s="244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</row>
    <row r="11" spans="1:14" ht="13.5" thickBot="1" x14ac:dyDescent="0.25">
      <c r="A11" s="1253" t="s">
        <v>445</v>
      </c>
      <c r="B11" s="1252"/>
      <c r="C11" s="272"/>
      <c r="D11" s="272"/>
      <c r="E11" s="272"/>
      <c r="F11" s="272"/>
      <c r="G11" s="272"/>
      <c r="H11" s="272"/>
      <c r="I11" s="272"/>
      <c r="J11" s="272"/>
      <c r="K11" s="272"/>
      <c r="L11" s="272"/>
      <c r="M11" s="272"/>
      <c r="N11" s="268"/>
    </row>
    <row r="12" spans="1:14" x14ac:dyDescent="0.2">
      <c r="A12" s="241">
        <v>5110950000</v>
      </c>
      <c r="B12" s="245" t="s">
        <v>223</v>
      </c>
      <c r="C12" s="269"/>
      <c r="D12" s="269"/>
      <c r="E12" s="269"/>
      <c r="F12" s="269"/>
      <c r="G12" s="269"/>
      <c r="H12" s="269"/>
      <c r="I12" s="269"/>
      <c r="J12" s="269"/>
      <c r="K12" s="269"/>
      <c r="L12" s="269"/>
      <c r="M12" s="269"/>
      <c r="N12" s="270">
        <f t="shared" ref="N12:N25" si="1">SUM(C12:M12)</f>
        <v>0</v>
      </c>
    </row>
    <row r="13" spans="1:14" x14ac:dyDescent="0.2">
      <c r="A13" s="242">
        <v>5120100000</v>
      </c>
      <c r="B13" s="245" t="s">
        <v>446</v>
      </c>
      <c r="C13" s="269"/>
      <c r="D13" s="269"/>
      <c r="E13" s="269"/>
      <c r="F13" s="269" t="s">
        <v>169</v>
      </c>
      <c r="G13" s="269" t="s">
        <v>169</v>
      </c>
      <c r="H13" s="269" t="s">
        <v>169</v>
      </c>
      <c r="I13" s="269" t="s">
        <v>169</v>
      </c>
      <c r="J13" s="269"/>
      <c r="K13" s="269"/>
      <c r="L13" s="269"/>
      <c r="M13" s="269"/>
      <c r="N13" s="270">
        <f t="shared" si="1"/>
        <v>0</v>
      </c>
    </row>
    <row r="14" spans="1:14" x14ac:dyDescent="0.2">
      <c r="A14" s="242">
        <v>5130100000</v>
      </c>
      <c r="B14" s="245" t="s">
        <v>447</v>
      </c>
      <c r="C14" s="269"/>
      <c r="D14" s="269"/>
      <c r="E14" s="269"/>
      <c r="F14" s="269"/>
      <c r="G14" s="269"/>
      <c r="H14" s="269"/>
      <c r="I14" s="269"/>
      <c r="J14" s="269" t="s">
        <v>169</v>
      </c>
      <c r="K14" s="269"/>
      <c r="L14" s="269"/>
      <c r="M14" s="269"/>
      <c r="N14" s="270">
        <f t="shared" si="1"/>
        <v>0</v>
      </c>
    </row>
    <row r="15" spans="1:14" x14ac:dyDescent="0.2">
      <c r="A15" s="242">
        <v>5135400000</v>
      </c>
      <c r="B15" s="245" t="s">
        <v>448</v>
      </c>
      <c r="C15" s="269"/>
      <c r="D15" s="269"/>
      <c r="E15" s="269"/>
      <c r="F15" s="269"/>
      <c r="G15" s="269"/>
      <c r="H15" s="269"/>
      <c r="I15" s="269"/>
      <c r="J15" s="269"/>
      <c r="K15" s="269" t="s">
        <v>169</v>
      </c>
      <c r="L15" s="269"/>
      <c r="M15" s="269"/>
      <c r="N15" s="270">
        <f t="shared" si="1"/>
        <v>0</v>
      </c>
    </row>
    <row r="16" spans="1:14" x14ac:dyDescent="0.2">
      <c r="A16" s="242">
        <v>5135950700</v>
      </c>
      <c r="B16" s="245" t="s">
        <v>466</v>
      </c>
      <c r="C16" s="269"/>
      <c r="D16" s="269"/>
      <c r="E16" s="269"/>
      <c r="F16" s="269"/>
      <c r="G16" s="269"/>
      <c r="H16" s="269"/>
      <c r="I16" s="269"/>
      <c r="J16" s="269"/>
      <c r="K16" s="269"/>
      <c r="L16" s="269" t="s">
        <v>169</v>
      </c>
      <c r="M16" s="269"/>
      <c r="N16" s="270">
        <f t="shared" si="1"/>
        <v>0</v>
      </c>
    </row>
    <row r="17" spans="1:14" x14ac:dyDescent="0.2">
      <c r="A17" s="242">
        <v>5155050000</v>
      </c>
      <c r="B17" s="245" t="s">
        <v>420</v>
      </c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70">
        <f t="shared" si="1"/>
        <v>0</v>
      </c>
    </row>
    <row r="18" spans="1:14" x14ac:dyDescent="0.2">
      <c r="A18" s="242">
        <v>5155150000</v>
      </c>
      <c r="B18" s="245" t="s">
        <v>481</v>
      </c>
      <c r="C18" s="269"/>
      <c r="D18" s="269"/>
      <c r="E18" s="269"/>
      <c r="F18" s="269"/>
      <c r="G18" s="269"/>
      <c r="H18" s="269"/>
      <c r="I18" s="269"/>
      <c r="J18" s="269"/>
      <c r="K18" s="269"/>
      <c r="L18" s="269"/>
      <c r="M18" s="269" t="s">
        <v>169</v>
      </c>
      <c r="N18" s="270">
        <f t="shared" si="1"/>
        <v>0</v>
      </c>
    </row>
    <row r="19" spans="1:14" x14ac:dyDescent="0.2">
      <c r="A19" s="242">
        <v>5195200000</v>
      </c>
      <c r="B19" s="245" t="s">
        <v>452</v>
      </c>
      <c r="C19" s="269"/>
      <c r="D19" s="269"/>
      <c r="E19" s="269"/>
      <c r="F19" s="269"/>
      <c r="G19" s="269"/>
      <c r="H19" s="269"/>
      <c r="I19" s="269"/>
      <c r="J19" s="269"/>
      <c r="K19" s="269"/>
      <c r="L19" s="269"/>
      <c r="M19" s="269"/>
      <c r="N19" s="270">
        <f t="shared" si="1"/>
        <v>0</v>
      </c>
    </row>
    <row r="20" spans="1:14" x14ac:dyDescent="0.2">
      <c r="A20" s="242">
        <v>5195300000</v>
      </c>
      <c r="B20" s="245" t="s">
        <v>453</v>
      </c>
      <c r="C20" s="269"/>
      <c r="D20" s="269"/>
      <c r="E20" s="269"/>
      <c r="F20" s="269" t="s">
        <v>169</v>
      </c>
      <c r="G20" s="269" t="s">
        <v>169</v>
      </c>
      <c r="H20" s="269" t="s">
        <v>169</v>
      </c>
      <c r="I20" s="269" t="s">
        <v>169</v>
      </c>
      <c r="J20" s="269"/>
      <c r="K20" s="269"/>
      <c r="L20" s="269"/>
      <c r="M20" s="269"/>
      <c r="N20" s="270">
        <f t="shared" si="1"/>
        <v>0</v>
      </c>
    </row>
    <row r="21" spans="1:14" x14ac:dyDescent="0.2">
      <c r="A21" s="242">
        <v>5195450000</v>
      </c>
      <c r="B21" s="245" t="s">
        <v>454</v>
      </c>
      <c r="C21" s="269"/>
      <c r="D21" s="269"/>
      <c r="E21" s="269"/>
      <c r="F21" s="269"/>
      <c r="G21" s="269"/>
      <c r="H21" s="269"/>
      <c r="I21" s="269"/>
      <c r="J21" s="269" t="s">
        <v>169</v>
      </c>
      <c r="K21" s="269"/>
      <c r="L21" s="269"/>
      <c r="M21" s="269"/>
      <c r="N21" s="270">
        <f t="shared" si="1"/>
        <v>0</v>
      </c>
    </row>
    <row r="22" spans="1:14" x14ac:dyDescent="0.2">
      <c r="A22" s="242">
        <v>5195950200</v>
      </c>
      <c r="B22" s="245" t="s">
        <v>455</v>
      </c>
      <c r="C22" s="269"/>
      <c r="D22" s="269"/>
      <c r="E22" s="269"/>
      <c r="F22" s="269"/>
      <c r="G22" s="269"/>
      <c r="H22" s="269"/>
      <c r="I22" s="269"/>
      <c r="J22" s="269"/>
      <c r="K22" s="269"/>
      <c r="L22" s="269"/>
      <c r="M22" s="269"/>
      <c r="N22" s="270">
        <f t="shared" si="1"/>
        <v>0</v>
      </c>
    </row>
    <row r="23" spans="1:14" x14ac:dyDescent="0.2">
      <c r="A23" s="242">
        <v>5195950100</v>
      </c>
      <c r="B23" s="246" t="s">
        <v>235</v>
      </c>
      <c r="C23" s="269"/>
      <c r="D23" s="269"/>
      <c r="E23" s="269"/>
      <c r="F23" s="269"/>
      <c r="G23" s="269"/>
      <c r="H23" s="269"/>
      <c r="I23" s="269"/>
      <c r="J23" s="269"/>
      <c r="K23" s="269" t="s">
        <v>169</v>
      </c>
      <c r="L23" s="269"/>
      <c r="M23" s="269"/>
      <c r="N23" s="270">
        <f t="shared" si="1"/>
        <v>0</v>
      </c>
    </row>
    <row r="24" spans="1:14" x14ac:dyDescent="0.2">
      <c r="A24" s="242">
        <v>5395950000</v>
      </c>
      <c r="B24" s="246" t="s">
        <v>457</v>
      </c>
      <c r="C24" s="269"/>
      <c r="D24" s="269"/>
      <c r="E24" s="269"/>
      <c r="F24" s="269"/>
      <c r="G24" s="269"/>
      <c r="H24" s="269"/>
      <c r="I24" s="269"/>
      <c r="J24" s="269"/>
      <c r="K24" s="269"/>
      <c r="L24" s="269"/>
      <c r="M24" s="269"/>
      <c r="N24" s="270">
        <f t="shared" si="1"/>
        <v>0</v>
      </c>
    </row>
    <row r="25" spans="1:14" ht="13.5" thickBot="1" x14ac:dyDescent="0.25">
      <c r="A25" s="243"/>
      <c r="B25" s="246" t="s">
        <v>467</v>
      </c>
      <c r="C25" s="269"/>
      <c r="D25" s="269"/>
      <c r="E25" s="269"/>
      <c r="F25" s="269"/>
      <c r="G25" s="269"/>
      <c r="H25" s="269"/>
      <c r="I25" s="269"/>
      <c r="J25" s="269"/>
      <c r="K25" s="269"/>
      <c r="L25" s="269"/>
      <c r="M25" s="269"/>
      <c r="N25" s="270">
        <f t="shared" si="1"/>
        <v>0</v>
      </c>
    </row>
    <row r="26" spans="1:14" ht="13.5" thickBot="1" x14ac:dyDescent="0.25">
      <c r="A26" s="1253" t="s">
        <v>458</v>
      </c>
      <c r="B26" s="1252"/>
      <c r="C26" s="272">
        <f>SUM(C12:C25)</f>
        <v>0</v>
      </c>
      <c r="D26" s="272">
        <f t="shared" ref="D26:M26" si="2">SUM(D12:D25)</f>
        <v>0</v>
      </c>
      <c r="E26" s="272">
        <f t="shared" si="2"/>
        <v>0</v>
      </c>
      <c r="F26" s="272">
        <f>SUM(F12:F25)</f>
        <v>0</v>
      </c>
      <c r="G26" s="272">
        <f>SUM(G12:G25)</f>
        <v>0</v>
      </c>
      <c r="H26" s="272">
        <f>SUM(H12:H25)</f>
        <v>0</v>
      </c>
      <c r="I26" s="272">
        <f>SUM(I12:I25)</f>
        <v>0</v>
      </c>
      <c r="J26" s="272">
        <f t="shared" si="2"/>
        <v>0</v>
      </c>
      <c r="K26" s="272">
        <f t="shared" si="2"/>
        <v>0</v>
      </c>
      <c r="L26" s="272">
        <f t="shared" si="2"/>
        <v>0</v>
      </c>
      <c r="M26" s="272">
        <f t="shared" si="2"/>
        <v>0</v>
      </c>
      <c r="N26" s="268">
        <f>SUM(C26:M26)</f>
        <v>0</v>
      </c>
    </row>
    <row r="27" spans="1:14" ht="13.5" thickBot="1" x14ac:dyDescent="0.25">
      <c r="A27" s="247"/>
      <c r="B27" s="248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</row>
    <row r="28" spans="1:14" ht="13.5" thickBot="1" x14ac:dyDescent="0.25">
      <c r="A28" s="1247" t="s">
        <v>460</v>
      </c>
      <c r="B28" s="1248"/>
      <c r="C28" s="274">
        <f t="shared" ref="C28:M28" si="3">+C9-C26</f>
        <v>0</v>
      </c>
      <c r="D28" s="274">
        <f t="shared" si="3"/>
        <v>0</v>
      </c>
      <c r="E28" s="274">
        <f t="shared" si="3"/>
        <v>0</v>
      </c>
      <c r="F28" s="274">
        <f>+F9-F26</f>
        <v>0</v>
      </c>
      <c r="G28" s="274">
        <f>+G9-G26</f>
        <v>0</v>
      </c>
      <c r="H28" s="274">
        <f>+H9-H26</f>
        <v>0</v>
      </c>
      <c r="I28" s="274">
        <f>+I9-I26</f>
        <v>0</v>
      </c>
      <c r="J28" s="274">
        <f t="shared" si="3"/>
        <v>0</v>
      </c>
      <c r="K28" s="274">
        <f t="shared" si="3"/>
        <v>0</v>
      </c>
      <c r="L28" s="274">
        <f t="shared" si="3"/>
        <v>0</v>
      </c>
      <c r="M28" s="274">
        <f t="shared" si="3"/>
        <v>0</v>
      </c>
      <c r="N28" s="275">
        <f>SUM(C28:M28)</f>
        <v>0</v>
      </c>
    </row>
    <row r="29" spans="1:14" x14ac:dyDescent="0.2">
      <c r="A29" s="237"/>
      <c r="B29" s="237"/>
      <c r="C29" s="266"/>
      <c r="D29" s="266"/>
      <c r="E29" s="266"/>
      <c r="F29" s="266"/>
      <c r="G29" s="266"/>
      <c r="H29" s="266"/>
      <c r="I29" s="266"/>
      <c r="J29" s="266"/>
      <c r="K29" s="266"/>
      <c r="L29" s="266"/>
      <c r="M29" s="266"/>
      <c r="N29" s="266"/>
    </row>
    <row r="30" spans="1:14" x14ac:dyDescent="0.2">
      <c r="A30" s="251" t="s">
        <v>465</v>
      </c>
      <c r="B30" s="252"/>
      <c r="C30" s="276"/>
      <c r="D30" s="276"/>
      <c r="E30" s="276"/>
      <c r="F30" s="276"/>
      <c r="G30" s="276"/>
      <c r="H30" s="276"/>
      <c r="I30" s="276"/>
      <c r="J30" s="276"/>
      <c r="K30" s="276"/>
      <c r="L30" s="276"/>
      <c r="M30" s="276"/>
      <c r="N30" s="266"/>
    </row>
    <row r="31" spans="1:14" x14ac:dyDescent="0.2">
      <c r="A31" s="237"/>
      <c r="B31" s="237"/>
      <c r="C31" s="266"/>
      <c r="D31" s="266"/>
      <c r="E31" s="266"/>
      <c r="F31" s="266"/>
      <c r="G31" s="266"/>
      <c r="H31" s="266"/>
      <c r="I31" s="266"/>
      <c r="J31" s="266"/>
      <c r="K31" s="266"/>
      <c r="L31" s="266"/>
      <c r="M31" s="266"/>
      <c r="N31" s="266"/>
    </row>
    <row r="32" spans="1:14" s="237" customFormat="1" x14ac:dyDescent="0.2">
      <c r="C32" s="266"/>
      <c r="D32" s="266"/>
      <c r="E32" s="266"/>
      <c r="F32" s="266"/>
      <c r="G32" s="266"/>
      <c r="H32" s="266"/>
      <c r="I32" s="266"/>
      <c r="J32" s="266"/>
      <c r="K32" s="266"/>
      <c r="L32" s="266"/>
      <c r="M32" s="266"/>
      <c r="N32" s="266"/>
    </row>
    <row r="33" spans="3:14" s="237" customFormat="1" x14ac:dyDescent="0.2">
      <c r="C33" s="266"/>
      <c r="D33" s="266"/>
      <c r="E33" s="266"/>
      <c r="F33" s="266"/>
      <c r="G33" s="266"/>
      <c r="H33" s="266"/>
      <c r="I33" s="266"/>
      <c r="J33" s="266"/>
      <c r="K33" s="266"/>
      <c r="L33" s="266"/>
      <c r="M33" s="266"/>
      <c r="N33" s="266"/>
    </row>
    <row r="34" spans="3:14" s="237" customFormat="1" x14ac:dyDescent="0.2">
      <c r="C34" s="266"/>
      <c r="D34" s="266"/>
      <c r="E34" s="266"/>
      <c r="F34" s="266"/>
      <c r="G34" s="266"/>
      <c r="H34" s="266"/>
      <c r="I34" s="266"/>
      <c r="J34" s="266"/>
      <c r="K34" s="266"/>
      <c r="L34" s="266"/>
      <c r="M34" s="266"/>
      <c r="N34" s="266"/>
    </row>
    <row r="35" spans="3:14" s="237" customFormat="1" x14ac:dyDescent="0.2">
      <c r="C35" s="266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</row>
    <row r="36" spans="3:14" s="237" customFormat="1" x14ac:dyDescent="0.2"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</row>
    <row r="37" spans="3:14" s="237" customFormat="1" x14ac:dyDescent="0.2">
      <c r="C37" s="266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</row>
    <row r="38" spans="3:14" s="237" customFormat="1" x14ac:dyDescent="0.2">
      <c r="C38" s="266"/>
      <c r="D38" s="266"/>
      <c r="E38" s="266"/>
      <c r="F38" s="266"/>
      <c r="G38" s="266"/>
      <c r="H38" s="266"/>
      <c r="I38" s="266"/>
      <c r="J38" s="266"/>
      <c r="K38" s="266"/>
      <c r="L38" s="266"/>
      <c r="M38" s="266"/>
      <c r="N38" s="266"/>
    </row>
    <row r="39" spans="3:14" s="237" customFormat="1" x14ac:dyDescent="0.2"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</row>
    <row r="40" spans="3:14" s="237" customFormat="1" x14ac:dyDescent="0.2">
      <c r="C40" s="266"/>
      <c r="D40" s="266"/>
      <c r="E40" s="266"/>
      <c r="F40" s="266"/>
      <c r="G40" s="266"/>
      <c r="H40" s="266"/>
      <c r="I40" s="266"/>
      <c r="J40" s="266"/>
      <c r="K40" s="266"/>
      <c r="L40" s="266"/>
      <c r="M40" s="266"/>
      <c r="N40" s="266"/>
    </row>
    <row r="41" spans="3:14" s="237" customFormat="1" x14ac:dyDescent="0.2">
      <c r="C41" s="266"/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</row>
    <row r="42" spans="3:14" s="237" customFormat="1" x14ac:dyDescent="0.2">
      <c r="C42" s="266"/>
      <c r="D42" s="266"/>
      <c r="E42" s="266"/>
      <c r="F42" s="266"/>
      <c r="G42" s="266"/>
      <c r="H42" s="266"/>
      <c r="I42" s="266"/>
      <c r="J42" s="266"/>
      <c r="K42" s="266"/>
      <c r="L42" s="266"/>
      <c r="M42" s="266"/>
      <c r="N42" s="266"/>
    </row>
    <row r="43" spans="3:14" s="237" customFormat="1" x14ac:dyDescent="0.2"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6"/>
      <c r="N43" s="266"/>
    </row>
    <row r="44" spans="3:14" s="237" customFormat="1" x14ac:dyDescent="0.2">
      <c r="C44" s="266"/>
      <c r="D44" s="266"/>
      <c r="E44" s="266"/>
      <c r="F44" s="266"/>
      <c r="G44" s="266"/>
      <c r="H44" s="266"/>
      <c r="I44" s="266"/>
      <c r="J44" s="266"/>
      <c r="K44" s="266"/>
      <c r="L44" s="266"/>
      <c r="M44" s="266"/>
      <c r="N44" s="266"/>
    </row>
    <row r="45" spans="3:14" s="237" customFormat="1" x14ac:dyDescent="0.2">
      <c r="C45" s="266"/>
      <c r="D45" s="266"/>
      <c r="E45" s="266"/>
      <c r="F45" s="266"/>
      <c r="G45" s="266"/>
      <c r="H45" s="266"/>
      <c r="I45" s="266"/>
      <c r="J45" s="266"/>
      <c r="K45" s="266"/>
      <c r="L45" s="266"/>
      <c r="M45" s="266"/>
      <c r="N45" s="266"/>
    </row>
    <row r="46" spans="3:14" s="237" customFormat="1" x14ac:dyDescent="0.2">
      <c r="C46" s="266"/>
      <c r="D46" s="266"/>
      <c r="E46" s="266"/>
      <c r="F46" s="266"/>
      <c r="G46" s="266"/>
      <c r="H46" s="266"/>
      <c r="I46" s="266"/>
      <c r="J46" s="266"/>
      <c r="K46" s="266"/>
      <c r="L46" s="266"/>
      <c r="M46" s="266"/>
      <c r="N46" s="266"/>
    </row>
    <row r="47" spans="3:14" s="237" customFormat="1" x14ac:dyDescent="0.2">
      <c r="C47" s="266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</row>
    <row r="48" spans="3:14" s="237" customFormat="1" x14ac:dyDescent="0.2">
      <c r="C48" s="266"/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</row>
    <row r="49" spans="3:14" s="237" customFormat="1" x14ac:dyDescent="0.2">
      <c r="C49" s="266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</row>
    <row r="50" spans="3:14" s="237" customFormat="1" x14ac:dyDescent="0.2"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</row>
    <row r="51" spans="3:14" s="237" customFormat="1" x14ac:dyDescent="0.2"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</row>
    <row r="52" spans="3:14" s="237" customFormat="1" x14ac:dyDescent="0.2"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</row>
    <row r="53" spans="3:14" s="237" customFormat="1" x14ac:dyDescent="0.2">
      <c r="C53" s="266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</row>
    <row r="54" spans="3:14" s="237" customFormat="1" x14ac:dyDescent="0.2">
      <c r="C54" s="266"/>
      <c r="D54" s="266"/>
      <c r="E54" s="266"/>
      <c r="F54" s="266"/>
      <c r="G54" s="266"/>
      <c r="H54" s="266"/>
      <c r="I54" s="266"/>
      <c r="J54" s="266"/>
      <c r="K54" s="266"/>
      <c r="L54" s="266"/>
      <c r="M54" s="266"/>
      <c r="N54" s="266"/>
    </row>
    <row r="55" spans="3:14" s="237" customFormat="1" x14ac:dyDescent="0.2">
      <c r="C55" s="266"/>
      <c r="D55" s="266"/>
      <c r="E55" s="266"/>
      <c r="F55" s="266"/>
      <c r="G55" s="266"/>
      <c r="H55" s="266"/>
      <c r="I55" s="266"/>
      <c r="J55" s="266"/>
      <c r="K55" s="266"/>
      <c r="L55" s="266"/>
      <c r="M55" s="266"/>
      <c r="N55" s="266"/>
    </row>
    <row r="56" spans="3:14" s="237" customFormat="1" x14ac:dyDescent="0.2">
      <c r="C56" s="266"/>
      <c r="D56" s="266"/>
      <c r="E56" s="266"/>
      <c r="F56" s="266"/>
      <c r="G56" s="266"/>
      <c r="H56" s="266"/>
      <c r="I56" s="266"/>
      <c r="J56" s="266"/>
      <c r="K56" s="266"/>
      <c r="L56" s="266"/>
      <c r="M56" s="266"/>
      <c r="N56" s="266"/>
    </row>
    <row r="57" spans="3:14" s="237" customFormat="1" x14ac:dyDescent="0.2"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</row>
    <row r="58" spans="3:14" s="237" customFormat="1" x14ac:dyDescent="0.2">
      <c r="C58" s="266"/>
      <c r="D58" s="266"/>
      <c r="E58" s="266"/>
      <c r="F58" s="266"/>
      <c r="G58" s="266"/>
      <c r="H58" s="266"/>
      <c r="I58" s="266"/>
      <c r="J58" s="266"/>
      <c r="K58" s="266"/>
      <c r="L58" s="266"/>
      <c r="M58" s="266"/>
      <c r="N58" s="266"/>
    </row>
    <row r="59" spans="3:14" s="237" customFormat="1" x14ac:dyDescent="0.2">
      <c r="C59" s="266"/>
      <c r="D59" s="266"/>
      <c r="E59" s="266"/>
      <c r="F59" s="266"/>
      <c r="G59" s="266"/>
      <c r="H59" s="266"/>
      <c r="I59" s="266"/>
      <c r="J59" s="266"/>
      <c r="K59" s="266"/>
      <c r="L59" s="266"/>
      <c r="M59" s="266"/>
      <c r="N59" s="266"/>
    </row>
    <row r="60" spans="3:14" s="237" customFormat="1" x14ac:dyDescent="0.2">
      <c r="C60" s="266"/>
      <c r="D60" s="266"/>
      <c r="E60" s="266"/>
      <c r="F60" s="266"/>
      <c r="G60" s="266"/>
      <c r="H60" s="266"/>
      <c r="I60" s="266"/>
      <c r="J60" s="266"/>
      <c r="K60" s="266"/>
      <c r="L60" s="266"/>
      <c r="M60" s="266"/>
      <c r="N60" s="266"/>
    </row>
    <row r="61" spans="3:14" s="237" customFormat="1" x14ac:dyDescent="0.2">
      <c r="C61" s="266"/>
      <c r="D61" s="266"/>
      <c r="E61" s="266"/>
      <c r="F61" s="266"/>
      <c r="G61" s="266"/>
      <c r="H61" s="266"/>
      <c r="I61" s="266"/>
      <c r="J61" s="266"/>
      <c r="K61" s="266"/>
      <c r="L61" s="266"/>
      <c r="M61" s="266"/>
      <c r="N61" s="266"/>
    </row>
    <row r="62" spans="3:14" s="237" customFormat="1" x14ac:dyDescent="0.2"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6"/>
      <c r="N62" s="266"/>
    </row>
    <row r="63" spans="3:14" s="237" customFormat="1" x14ac:dyDescent="0.2">
      <c r="C63" s="266"/>
      <c r="D63" s="266"/>
      <c r="E63" s="266"/>
      <c r="F63" s="266"/>
      <c r="G63" s="266"/>
      <c r="H63" s="266"/>
      <c r="I63" s="266"/>
      <c r="J63" s="266"/>
      <c r="K63" s="266"/>
      <c r="L63" s="266"/>
      <c r="M63" s="266"/>
      <c r="N63" s="266"/>
    </row>
    <row r="64" spans="3:14" s="237" customFormat="1" x14ac:dyDescent="0.2">
      <c r="C64" s="266"/>
      <c r="D64" s="266"/>
      <c r="E64" s="266"/>
      <c r="F64" s="266"/>
      <c r="G64" s="266"/>
      <c r="H64" s="266"/>
      <c r="I64" s="266"/>
      <c r="J64" s="266"/>
      <c r="K64" s="266"/>
      <c r="L64" s="266"/>
      <c r="M64" s="266"/>
      <c r="N64" s="266"/>
    </row>
    <row r="65" spans="3:14" s="237" customFormat="1" x14ac:dyDescent="0.2">
      <c r="C65" s="266"/>
      <c r="D65" s="266"/>
      <c r="E65" s="266"/>
      <c r="F65" s="266"/>
      <c r="G65" s="266"/>
      <c r="H65" s="266"/>
      <c r="I65" s="266"/>
      <c r="J65" s="266"/>
      <c r="K65" s="266"/>
      <c r="L65" s="266"/>
      <c r="M65" s="266"/>
      <c r="N65" s="266"/>
    </row>
    <row r="66" spans="3:14" s="237" customFormat="1" x14ac:dyDescent="0.2"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6"/>
      <c r="N66" s="266"/>
    </row>
    <row r="67" spans="3:14" s="237" customFormat="1" x14ac:dyDescent="0.2">
      <c r="C67" s="266"/>
      <c r="D67" s="266"/>
      <c r="E67" s="266"/>
      <c r="F67" s="266"/>
      <c r="G67" s="266"/>
      <c r="H67" s="266"/>
      <c r="I67" s="266"/>
      <c r="J67" s="266"/>
      <c r="K67" s="266"/>
      <c r="L67" s="266"/>
      <c r="M67" s="266"/>
      <c r="N67" s="266"/>
    </row>
    <row r="68" spans="3:14" s="237" customFormat="1" x14ac:dyDescent="0.2">
      <c r="C68" s="266"/>
      <c r="D68" s="266"/>
      <c r="E68" s="266"/>
      <c r="F68" s="266"/>
      <c r="G68" s="266"/>
      <c r="H68" s="266"/>
      <c r="I68" s="266"/>
      <c r="J68" s="266"/>
      <c r="K68" s="266"/>
      <c r="L68" s="266"/>
      <c r="M68" s="266"/>
      <c r="N68" s="266"/>
    </row>
    <row r="69" spans="3:14" s="237" customFormat="1" x14ac:dyDescent="0.2">
      <c r="C69" s="266"/>
      <c r="D69" s="266"/>
      <c r="E69" s="266"/>
      <c r="F69" s="266"/>
      <c r="G69" s="266"/>
      <c r="H69" s="266"/>
      <c r="I69" s="266"/>
      <c r="J69" s="266"/>
      <c r="K69" s="266"/>
      <c r="L69" s="266"/>
      <c r="M69" s="266"/>
      <c r="N69" s="266"/>
    </row>
    <row r="70" spans="3:14" s="237" customFormat="1" x14ac:dyDescent="0.2">
      <c r="C70" s="266"/>
      <c r="D70" s="266"/>
      <c r="E70" s="266"/>
      <c r="F70" s="266"/>
      <c r="G70" s="266"/>
      <c r="H70" s="266"/>
      <c r="I70" s="266"/>
      <c r="J70" s="266"/>
      <c r="K70" s="266"/>
      <c r="L70" s="266"/>
      <c r="M70" s="266"/>
      <c r="N70" s="266"/>
    </row>
    <row r="71" spans="3:14" s="237" customFormat="1" x14ac:dyDescent="0.2">
      <c r="C71" s="266"/>
      <c r="D71" s="266"/>
      <c r="E71" s="266"/>
      <c r="F71" s="266"/>
      <c r="G71" s="266"/>
      <c r="H71" s="266"/>
      <c r="I71" s="266"/>
      <c r="J71" s="266"/>
      <c r="K71" s="266"/>
      <c r="L71" s="266"/>
      <c r="M71" s="266"/>
      <c r="N71" s="266"/>
    </row>
    <row r="72" spans="3:14" s="237" customFormat="1" x14ac:dyDescent="0.2">
      <c r="C72" s="266"/>
      <c r="D72" s="266"/>
      <c r="E72" s="266"/>
      <c r="F72" s="266"/>
      <c r="G72" s="266"/>
      <c r="H72" s="266"/>
      <c r="I72" s="266"/>
      <c r="J72" s="266"/>
      <c r="K72" s="266"/>
      <c r="L72" s="266"/>
      <c r="M72" s="266"/>
      <c r="N72" s="266"/>
    </row>
    <row r="73" spans="3:14" s="237" customFormat="1" x14ac:dyDescent="0.2">
      <c r="C73" s="266"/>
      <c r="D73" s="266"/>
      <c r="E73" s="266"/>
      <c r="F73" s="266"/>
      <c r="G73" s="266"/>
      <c r="H73" s="266"/>
      <c r="I73" s="266"/>
      <c r="J73" s="266"/>
      <c r="K73" s="266"/>
      <c r="L73" s="266"/>
      <c r="M73" s="266"/>
      <c r="N73" s="266"/>
    </row>
    <row r="74" spans="3:14" s="237" customFormat="1" x14ac:dyDescent="0.2">
      <c r="C74" s="266"/>
      <c r="D74" s="266"/>
      <c r="E74" s="266"/>
      <c r="F74" s="266"/>
      <c r="G74" s="266"/>
      <c r="H74" s="266"/>
      <c r="I74" s="266"/>
      <c r="J74" s="266"/>
      <c r="K74" s="266"/>
      <c r="L74" s="266"/>
      <c r="M74" s="266"/>
      <c r="N74" s="266"/>
    </row>
    <row r="75" spans="3:14" s="237" customFormat="1" x14ac:dyDescent="0.2">
      <c r="C75" s="266"/>
      <c r="D75" s="266"/>
      <c r="E75" s="266"/>
      <c r="F75" s="266"/>
      <c r="G75" s="266"/>
      <c r="H75" s="266"/>
      <c r="I75" s="266"/>
      <c r="J75" s="266"/>
      <c r="K75" s="266"/>
      <c r="L75" s="266"/>
      <c r="M75" s="266"/>
      <c r="N75" s="266"/>
    </row>
    <row r="76" spans="3:14" s="237" customFormat="1" x14ac:dyDescent="0.2">
      <c r="C76" s="266"/>
      <c r="D76" s="266"/>
      <c r="E76" s="266"/>
      <c r="F76" s="266"/>
      <c r="G76" s="266"/>
      <c r="H76" s="266"/>
      <c r="I76" s="266"/>
      <c r="J76" s="266"/>
      <c r="K76" s="266"/>
      <c r="L76" s="266"/>
      <c r="M76" s="266"/>
      <c r="N76" s="266"/>
    </row>
    <row r="77" spans="3:14" s="237" customFormat="1" x14ac:dyDescent="0.2">
      <c r="C77" s="266"/>
      <c r="D77" s="266"/>
      <c r="E77" s="266"/>
      <c r="F77" s="266"/>
      <c r="G77" s="266"/>
      <c r="H77" s="266"/>
      <c r="I77" s="266"/>
      <c r="J77" s="266"/>
      <c r="K77" s="266"/>
      <c r="L77" s="266"/>
      <c r="M77" s="266"/>
      <c r="N77" s="266"/>
    </row>
    <row r="78" spans="3:14" s="237" customFormat="1" x14ac:dyDescent="0.2">
      <c r="C78" s="266"/>
      <c r="D78" s="266"/>
      <c r="E78" s="266"/>
      <c r="F78" s="266"/>
      <c r="G78" s="266"/>
      <c r="H78" s="266"/>
      <c r="I78" s="266"/>
      <c r="J78" s="266"/>
      <c r="K78" s="266"/>
      <c r="L78" s="266"/>
      <c r="M78" s="266"/>
      <c r="N78" s="266"/>
    </row>
    <row r="79" spans="3:14" s="237" customFormat="1" x14ac:dyDescent="0.2">
      <c r="C79" s="266"/>
      <c r="D79" s="266"/>
      <c r="E79" s="266"/>
      <c r="F79" s="266"/>
      <c r="G79" s="266"/>
      <c r="H79" s="266"/>
      <c r="I79" s="266"/>
      <c r="J79" s="266"/>
      <c r="K79" s="266"/>
      <c r="L79" s="266"/>
      <c r="M79" s="266"/>
      <c r="N79" s="266"/>
    </row>
    <row r="80" spans="3:14" s="237" customFormat="1" x14ac:dyDescent="0.2">
      <c r="C80" s="266"/>
      <c r="D80" s="266"/>
      <c r="E80" s="266"/>
      <c r="F80" s="266"/>
      <c r="G80" s="266"/>
      <c r="H80" s="266"/>
      <c r="I80" s="266"/>
      <c r="J80" s="266"/>
      <c r="K80" s="266"/>
      <c r="L80" s="266"/>
      <c r="M80" s="266"/>
      <c r="N80" s="266"/>
    </row>
    <row r="81" spans="3:14" s="237" customFormat="1" x14ac:dyDescent="0.2">
      <c r="C81" s="266"/>
      <c r="D81" s="266"/>
      <c r="E81" s="266"/>
      <c r="F81" s="266"/>
      <c r="G81" s="266"/>
      <c r="H81" s="266"/>
      <c r="I81" s="266"/>
      <c r="J81" s="266"/>
      <c r="K81" s="266"/>
      <c r="L81" s="266"/>
      <c r="M81" s="266"/>
      <c r="N81" s="266"/>
    </row>
    <row r="82" spans="3:14" s="237" customFormat="1" x14ac:dyDescent="0.2">
      <c r="C82" s="266"/>
      <c r="D82" s="266"/>
      <c r="E82" s="266"/>
      <c r="F82" s="266"/>
      <c r="G82" s="266"/>
      <c r="H82" s="266"/>
      <c r="I82" s="266"/>
      <c r="J82" s="266"/>
      <c r="K82" s="266"/>
      <c r="L82" s="266"/>
      <c r="M82" s="266"/>
      <c r="N82" s="266"/>
    </row>
    <row r="83" spans="3:14" s="237" customFormat="1" x14ac:dyDescent="0.2">
      <c r="C83" s="266"/>
      <c r="D83" s="266"/>
      <c r="E83" s="266"/>
      <c r="F83" s="266"/>
      <c r="G83" s="266"/>
      <c r="H83" s="266"/>
      <c r="I83" s="266"/>
      <c r="J83" s="266"/>
      <c r="K83" s="266"/>
      <c r="L83" s="266"/>
      <c r="M83" s="266"/>
      <c r="N83" s="266"/>
    </row>
    <row r="84" spans="3:14" s="237" customFormat="1" x14ac:dyDescent="0.2">
      <c r="C84" s="266"/>
      <c r="D84" s="266"/>
      <c r="E84" s="266"/>
      <c r="F84" s="266"/>
      <c r="G84" s="266"/>
      <c r="H84" s="266"/>
      <c r="I84" s="266"/>
      <c r="J84" s="266"/>
      <c r="K84" s="266"/>
      <c r="L84" s="266"/>
      <c r="M84" s="266"/>
      <c r="N84" s="266"/>
    </row>
    <row r="85" spans="3:14" s="237" customFormat="1" x14ac:dyDescent="0.2">
      <c r="C85" s="266"/>
      <c r="D85" s="266"/>
      <c r="E85" s="266"/>
      <c r="F85" s="266"/>
      <c r="G85" s="266"/>
      <c r="H85" s="266"/>
      <c r="I85" s="266"/>
      <c r="J85" s="266"/>
      <c r="K85" s="266"/>
      <c r="L85" s="266"/>
      <c r="M85" s="266"/>
      <c r="N85" s="266"/>
    </row>
    <row r="86" spans="3:14" s="237" customFormat="1" x14ac:dyDescent="0.2">
      <c r="C86" s="266"/>
      <c r="D86" s="266"/>
      <c r="E86" s="266"/>
      <c r="F86" s="266"/>
      <c r="G86" s="266"/>
      <c r="H86" s="266"/>
      <c r="I86" s="266"/>
      <c r="J86" s="266"/>
      <c r="K86" s="266"/>
      <c r="L86" s="266"/>
      <c r="M86" s="266"/>
      <c r="N86" s="266"/>
    </row>
    <row r="87" spans="3:14" s="237" customFormat="1" x14ac:dyDescent="0.2">
      <c r="C87" s="266"/>
      <c r="D87" s="266"/>
      <c r="E87" s="266"/>
      <c r="F87" s="266"/>
      <c r="G87" s="266"/>
      <c r="H87" s="266"/>
      <c r="I87" s="266"/>
      <c r="J87" s="266"/>
      <c r="K87" s="266"/>
      <c r="L87" s="266"/>
      <c r="M87" s="266"/>
      <c r="N87" s="266"/>
    </row>
    <row r="88" spans="3:14" s="237" customFormat="1" x14ac:dyDescent="0.2">
      <c r="C88" s="266"/>
      <c r="D88" s="266"/>
      <c r="E88" s="266"/>
      <c r="F88" s="266"/>
      <c r="G88" s="266"/>
      <c r="H88" s="266"/>
      <c r="I88" s="266"/>
      <c r="J88" s="266"/>
      <c r="K88" s="266"/>
      <c r="L88" s="266"/>
      <c r="M88" s="266"/>
      <c r="N88" s="266"/>
    </row>
    <row r="89" spans="3:14" s="237" customFormat="1" x14ac:dyDescent="0.2">
      <c r="C89" s="266"/>
      <c r="D89" s="266"/>
      <c r="E89" s="266"/>
      <c r="F89" s="266"/>
      <c r="G89" s="266"/>
      <c r="H89" s="266"/>
      <c r="I89" s="266"/>
      <c r="J89" s="266"/>
      <c r="K89" s="266"/>
      <c r="L89" s="266"/>
      <c r="M89" s="266"/>
      <c r="N89" s="266"/>
    </row>
    <row r="90" spans="3:14" s="237" customFormat="1" x14ac:dyDescent="0.2">
      <c r="C90" s="266"/>
      <c r="D90" s="266"/>
      <c r="E90" s="266"/>
      <c r="F90" s="266"/>
      <c r="G90" s="266"/>
      <c r="H90" s="266"/>
      <c r="I90" s="266"/>
      <c r="J90" s="266"/>
      <c r="K90" s="266"/>
      <c r="L90" s="266"/>
      <c r="M90" s="266"/>
      <c r="N90" s="266"/>
    </row>
    <row r="91" spans="3:14" s="237" customFormat="1" x14ac:dyDescent="0.2">
      <c r="C91" s="266"/>
      <c r="D91" s="266"/>
      <c r="E91" s="266"/>
      <c r="F91" s="266"/>
      <c r="G91" s="266"/>
      <c r="H91" s="266"/>
      <c r="I91" s="266"/>
      <c r="J91" s="266"/>
      <c r="K91" s="266"/>
      <c r="L91" s="266"/>
      <c r="M91" s="266"/>
      <c r="N91" s="266"/>
    </row>
    <row r="92" spans="3:14" s="237" customFormat="1" x14ac:dyDescent="0.2">
      <c r="C92" s="266"/>
      <c r="D92" s="266"/>
      <c r="E92" s="266"/>
      <c r="F92" s="266"/>
      <c r="G92" s="266"/>
      <c r="H92" s="266"/>
      <c r="I92" s="266"/>
      <c r="J92" s="266"/>
      <c r="K92" s="266"/>
      <c r="L92" s="266"/>
      <c r="M92" s="266"/>
      <c r="N92" s="266"/>
    </row>
    <row r="93" spans="3:14" s="237" customFormat="1" x14ac:dyDescent="0.2">
      <c r="C93" s="266"/>
      <c r="D93" s="266"/>
      <c r="E93" s="266"/>
      <c r="F93" s="266"/>
      <c r="G93" s="266"/>
      <c r="H93" s="266"/>
      <c r="I93" s="266"/>
      <c r="J93" s="266"/>
      <c r="K93" s="266"/>
      <c r="L93" s="266"/>
      <c r="M93" s="266"/>
      <c r="N93" s="266"/>
    </row>
    <row r="94" spans="3:14" s="237" customFormat="1" x14ac:dyDescent="0.2">
      <c r="C94" s="266"/>
      <c r="D94" s="266"/>
      <c r="E94" s="266"/>
      <c r="F94" s="266"/>
      <c r="G94" s="266"/>
      <c r="H94" s="266"/>
      <c r="I94" s="266"/>
      <c r="J94" s="266"/>
      <c r="K94" s="266"/>
      <c r="L94" s="266"/>
      <c r="M94" s="266"/>
      <c r="N94" s="266"/>
    </row>
    <row r="95" spans="3:14" s="237" customFormat="1" x14ac:dyDescent="0.2">
      <c r="C95" s="266"/>
      <c r="D95" s="266"/>
      <c r="E95" s="266"/>
      <c r="F95" s="266"/>
      <c r="G95" s="266"/>
      <c r="H95" s="266"/>
      <c r="I95" s="266"/>
      <c r="J95" s="266"/>
      <c r="K95" s="266"/>
      <c r="L95" s="266"/>
      <c r="M95" s="266"/>
      <c r="N95" s="266"/>
    </row>
    <row r="96" spans="3:14" s="237" customFormat="1" x14ac:dyDescent="0.2">
      <c r="C96" s="266"/>
      <c r="D96" s="266"/>
      <c r="E96" s="266"/>
      <c r="F96" s="266"/>
      <c r="G96" s="266"/>
      <c r="H96" s="266"/>
      <c r="I96" s="266"/>
      <c r="J96" s="266"/>
      <c r="K96" s="266"/>
      <c r="L96" s="266"/>
      <c r="M96" s="266"/>
      <c r="N96" s="266"/>
    </row>
    <row r="97" spans="3:14" s="237" customFormat="1" x14ac:dyDescent="0.2">
      <c r="C97" s="266"/>
      <c r="D97" s="266"/>
      <c r="E97" s="266"/>
      <c r="F97" s="266"/>
      <c r="G97" s="266"/>
      <c r="H97" s="266"/>
      <c r="I97" s="266"/>
      <c r="J97" s="266"/>
      <c r="K97" s="266"/>
      <c r="L97" s="266"/>
      <c r="M97" s="266"/>
      <c r="N97" s="266"/>
    </row>
    <row r="98" spans="3:14" s="237" customFormat="1" x14ac:dyDescent="0.2">
      <c r="C98" s="266"/>
      <c r="D98" s="266"/>
      <c r="E98" s="266"/>
      <c r="F98" s="266"/>
      <c r="G98" s="266"/>
      <c r="H98" s="266"/>
      <c r="I98" s="266"/>
      <c r="J98" s="266"/>
      <c r="K98" s="266"/>
      <c r="L98" s="266"/>
      <c r="M98" s="266"/>
      <c r="N98" s="266"/>
    </row>
    <row r="99" spans="3:14" s="237" customFormat="1" x14ac:dyDescent="0.2">
      <c r="C99" s="266"/>
      <c r="D99" s="266"/>
      <c r="E99" s="266"/>
      <c r="F99" s="266"/>
      <c r="G99" s="266"/>
      <c r="H99" s="266"/>
      <c r="I99" s="266"/>
      <c r="J99" s="266"/>
      <c r="K99" s="266"/>
      <c r="L99" s="266"/>
      <c r="M99" s="266"/>
      <c r="N99" s="266"/>
    </row>
    <row r="100" spans="3:14" s="237" customFormat="1" x14ac:dyDescent="0.2">
      <c r="C100" s="266"/>
      <c r="D100" s="266"/>
      <c r="E100" s="266"/>
      <c r="F100" s="266"/>
      <c r="G100" s="266"/>
      <c r="H100" s="266"/>
      <c r="I100" s="266"/>
      <c r="J100" s="266"/>
      <c r="K100" s="266"/>
      <c r="L100" s="266"/>
      <c r="M100" s="266"/>
      <c r="N100" s="266"/>
    </row>
    <row r="101" spans="3:14" s="237" customFormat="1" x14ac:dyDescent="0.2">
      <c r="C101" s="266"/>
      <c r="D101" s="266"/>
      <c r="E101" s="266"/>
      <c r="F101" s="266"/>
      <c r="G101" s="266"/>
      <c r="H101" s="266"/>
      <c r="I101" s="266"/>
      <c r="J101" s="266"/>
      <c r="K101" s="266"/>
      <c r="L101" s="266"/>
      <c r="M101" s="266"/>
      <c r="N101" s="266"/>
    </row>
    <row r="102" spans="3:14" s="237" customFormat="1" x14ac:dyDescent="0.2">
      <c r="C102" s="266"/>
      <c r="D102" s="266"/>
      <c r="E102" s="266"/>
      <c r="F102" s="266"/>
      <c r="G102" s="266"/>
      <c r="H102" s="266"/>
      <c r="I102" s="266"/>
      <c r="J102" s="266"/>
      <c r="K102" s="266"/>
      <c r="L102" s="266"/>
      <c r="M102" s="266"/>
      <c r="N102" s="266"/>
    </row>
    <row r="103" spans="3:14" s="237" customFormat="1" x14ac:dyDescent="0.2">
      <c r="C103" s="266"/>
      <c r="D103" s="266"/>
      <c r="E103" s="266"/>
      <c r="F103" s="266"/>
      <c r="G103" s="266"/>
      <c r="H103" s="266"/>
      <c r="I103" s="266"/>
      <c r="J103" s="266"/>
      <c r="K103" s="266"/>
      <c r="L103" s="266"/>
      <c r="M103" s="266"/>
      <c r="N103" s="266"/>
    </row>
    <row r="104" spans="3:14" s="237" customFormat="1" x14ac:dyDescent="0.2">
      <c r="C104" s="266"/>
      <c r="D104" s="266"/>
      <c r="E104" s="266"/>
      <c r="F104" s="266"/>
      <c r="G104" s="266"/>
      <c r="H104" s="266"/>
      <c r="I104" s="266"/>
      <c r="J104" s="266"/>
      <c r="K104" s="266"/>
      <c r="L104" s="266"/>
      <c r="M104" s="266"/>
      <c r="N104" s="266"/>
    </row>
    <row r="105" spans="3:14" s="237" customFormat="1" x14ac:dyDescent="0.2">
      <c r="C105" s="266"/>
      <c r="D105" s="266"/>
      <c r="E105" s="266"/>
      <c r="F105" s="266"/>
      <c r="G105" s="266"/>
      <c r="H105" s="266"/>
      <c r="I105" s="266"/>
      <c r="J105" s="266"/>
      <c r="K105" s="266"/>
      <c r="L105" s="266"/>
      <c r="M105" s="266"/>
      <c r="N105" s="266"/>
    </row>
    <row r="106" spans="3:14" s="237" customFormat="1" x14ac:dyDescent="0.2">
      <c r="C106" s="266"/>
      <c r="D106" s="266"/>
      <c r="E106" s="266"/>
      <c r="F106" s="266"/>
      <c r="G106" s="266"/>
      <c r="H106" s="266"/>
      <c r="I106" s="266"/>
      <c r="J106" s="266"/>
      <c r="K106" s="266"/>
      <c r="L106" s="266"/>
      <c r="M106" s="266"/>
      <c r="N106" s="266"/>
    </row>
    <row r="107" spans="3:14" s="237" customFormat="1" x14ac:dyDescent="0.2">
      <c r="C107" s="266"/>
      <c r="D107" s="266"/>
      <c r="E107" s="266"/>
      <c r="F107" s="266"/>
      <c r="G107" s="266"/>
      <c r="H107" s="266"/>
      <c r="I107" s="266"/>
      <c r="J107" s="266"/>
      <c r="K107" s="266"/>
      <c r="L107" s="266"/>
      <c r="M107" s="266"/>
      <c r="N107" s="266"/>
    </row>
    <row r="108" spans="3:14" s="237" customFormat="1" x14ac:dyDescent="0.2">
      <c r="C108" s="266"/>
      <c r="D108" s="266"/>
      <c r="E108" s="266"/>
      <c r="F108" s="266"/>
      <c r="G108" s="266"/>
      <c r="H108" s="266"/>
      <c r="I108" s="266"/>
      <c r="J108" s="266"/>
      <c r="K108" s="266"/>
      <c r="L108" s="266"/>
      <c r="M108" s="266"/>
      <c r="N108" s="266"/>
    </row>
    <row r="109" spans="3:14" s="237" customFormat="1" x14ac:dyDescent="0.2">
      <c r="C109" s="266"/>
      <c r="D109" s="266"/>
      <c r="E109" s="266"/>
      <c r="F109" s="266"/>
      <c r="G109" s="266"/>
      <c r="H109" s="266"/>
      <c r="I109" s="266"/>
      <c r="J109" s="266"/>
      <c r="K109" s="266"/>
      <c r="L109" s="266"/>
      <c r="M109" s="266"/>
      <c r="N109" s="266"/>
    </row>
    <row r="110" spans="3:14" s="237" customFormat="1" x14ac:dyDescent="0.2">
      <c r="C110" s="266"/>
      <c r="D110" s="266"/>
      <c r="E110" s="266"/>
      <c r="F110" s="266"/>
      <c r="G110" s="266"/>
      <c r="H110" s="266"/>
      <c r="I110" s="266"/>
      <c r="J110" s="266"/>
      <c r="K110" s="266"/>
      <c r="L110" s="266"/>
      <c r="M110" s="266"/>
      <c r="N110" s="266"/>
    </row>
    <row r="111" spans="3:14" s="237" customFormat="1" x14ac:dyDescent="0.2">
      <c r="C111" s="266"/>
      <c r="D111" s="266"/>
      <c r="E111" s="266"/>
      <c r="F111" s="266"/>
      <c r="G111" s="266"/>
      <c r="H111" s="266"/>
      <c r="I111" s="266"/>
      <c r="J111" s="266"/>
      <c r="K111" s="266"/>
      <c r="L111" s="266"/>
      <c r="M111" s="266"/>
      <c r="N111" s="266"/>
    </row>
    <row r="112" spans="3:14" s="237" customFormat="1" x14ac:dyDescent="0.2">
      <c r="C112" s="266"/>
      <c r="D112" s="266"/>
      <c r="E112" s="266"/>
      <c r="F112" s="266"/>
      <c r="G112" s="266"/>
      <c r="H112" s="266"/>
      <c r="I112" s="266"/>
      <c r="J112" s="266"/>
      <c r="K112" s="266"/>
      <c r="L112" s="266"/>
      <c r="M112" s="266"/>
      <c r="N112" s="266"/>
    </row>
    <row r="113" spans="3:14" s="237" customFormat="1" x14ac:dyDescent="0.2">
      <c r="C113" s="266"/>
      <c r="D113" s="266"/>
      <c r="E113" s="266"/>
      <c r="F113" s="266"/>
      <c r="G113" s="266"/>
      <c r="H113" s="266"/>
      <c r="I113" s="266"/>
      <c r="J113" s="266"/>
      <c r="K113" s="266"/>
      <c r="L113" s="266"/>
      <c r="M113" s="266"/>
      <c r="N113" s="266"/>
    </row>
    <row r="114" spans="3:14" s="237" customFormat="1" x14ac:dyDescent="0.2">
      <c r="C114" s="266"/>
      <c r="D114" s="266"/>
      <c r="E114" s="266"/>
      <c r="F114" s="266"/>
      <c r="G114" s="266"/>
      <c r="H114" s="266"/>
      <c r="I114" s="266"/>
      <c r="J114" s="266"/>
      <c r="K114" s="266"/>
      <c r="L114" s="266"/>
      <c r="M114" s="266"/>
      <c r="N114" s="266"/>
    </row>
    <row r="115" spans="3:14" s="237" customFormat="1" x14ac:dyDescent="0.2">
      <c r="C115" s="266"/>
      <c r="D115" s="266"/>
      <c r="E115" s="266"/>
      <c r="F115" s="266"/>
      <c r="G115" s="266"/>
      <c r="H115" s="266"/>
      <c r="I115" s="266"/>
      <c r="J115" s="266"/>
      <c r="K115" s="266"/>
      <c r="L115" s="266"/>
      <c r="M115" s="266"/>
      <c r="N115" s="266"/>
    </row>
    <row r="116" spans="3:14" s="237" customFormat="1" x14ac:dyDescent="0.2">
      <c r="C116" s="266"/>
      <c r="D116" s="266"/>
      <c r="E116" s="266"/>
      <c r="F116" s="266"/>
      <c r="G116" s="266"/>
      <c r="H116" s="266"/>
      <c r="I116" s="266"/>
      <c r="J116" s="266"/>
      <c r="K116" s="266"/>
      <c r="L116" s="266"/>
      <c r="M116" s="266"/>
      <c r="N116" s="266"/>
    </row>
    <row r="117" spans="3:14" s="237" customFormat="1" x14ac:dyDescent="0.2">
      <c r="C117" s="266"/>
      <c r="D117" s="266"/>
      <c r="E117" s="266"/>
      <c r="F117" s="266"/>
      <c r="G117" s="266"/>
      <c r="H117" s="266"/>
      <c r="I117" s="266"/>
      <c r="J117" s="266"/>
      <c r="K117" s="266"/>
      <c r="L117" s="266"/>
      <c r="M117" s="266"/>
      <c r="N117" s="266"/>
    </row>
    <row r="118" spans="3:14" s="237" customFormat="1" x14ac:dyDescent="0.2">
      <c r="C118" s="266"/>
      <c r="D118" s="266"/>
      <c r="E118" s="266"/>
      <c r="F118" s="266"/>
      <c r="G118" s="266"/>
      <c r="H118" s="266"/>
      <c r="I118" s="266"/>
      <c r="J118" s="266"/>
      <c r="K118" s="266"/>
      <c r="L118" s="266"/>
      <c r="M118" s="266"/>
      <c r="N118" s="266"/>
    </row>
    <row r="119" spans="3:14" s="237" customFormat="1" x14ac:dyDescent="0.2">
      <c r="C119" s="266"/>
      <c r="D119" s="266"/>
      <c r="E119" s="266"/>
      <c r="F119" s="266"/>
      <c r="G119" s="266"/>
      <c r="H119" s="266"/>
      <c r="I119" s="266"/>
      <c r="J119" s="266"/>
      <c r="K119" s="266"/>
      <c r="L119" s="266"/>
      <c r="M119" s="266"/>
      <c r="N119" s="266"/>
    </row>
    <row r="120" spans="3:14" s="237" customFormat="1" x14ac:dyDescent="0.2">
      <c r="C120" s="266"/>
      <c r="D120" s="266"/>
      <c r="E120" s="266"/>
      <c r="F120" s="266"/>
      <c r="G120" s="266"/>
      <c r="H120" s="266"/>
      <c r="I120" s="266"/>
      <c r="J120" s="266"/>
      <c r="K120" s="266"/>
      <c r="L120" s="266"/>
      <c r="M120" s="266"/>
      <c r="N120" s="266"/>
    </row>
    <row r="121" spans="3:14" s="237" customFormat="1" x14ac:dyDescent="0.2">
      <c r="C121" s="266"/>
      <c r="D121" s="266"/>
      <c r="E121" s="266"/>
      <c r="F121" s="266"/>
      <c r="G121" s="266"/>
      <c r="H121" s="266"/>
      <c r="I121" s="266"/>
      <c r="J121" s="266"/>
      <c r="K121" s="266"/>
      <c r="L121" s="266"/>
      <c r="M121" s="266"/>
      <c r="N121" s="266"/>
    </row>
    <row r="122" spans="3:14" s="237" customFormat="1" x14ac:dyDescent="0.2">
      <c r="C122" s="266"/>
      <c r="D122" s="266"/>
      <c r="E122" s="266"/>
      <c r="F122" s="266"/>
      <c r="G122" s="266"/>
      <c r="H122" s="266"/>
      <c r="I122" s="266"/>
      <c r="J122" s="266"/>
      <c r="K122" s="266"/>
      <c r="L122" s="266"/>
      <c r="M122" s="266"/>
      <c r="N122" s="266"/>
    </row>
    <row r="123" spans="3:14" s="237" customFormat="1" x14ac:dyDescent="0.2">
      <c r="C123" s="266"/>
      <c r="D123" s="266"/>
      <c r="E123" s="266"/>
      <c r="F123" s="266"/>
      <c r="G123" s="266"/>
      <c r="H123" s="266"/>
      <c r="I123" s="266"/>
      <c r="J123" s="266"/>
      <c r="K123" s="266"/>
      <c r="L123" s="266"/>
      <c r="M123" s="266"/>
      <c r="N123" s="266"/>
    </row>
    <row r="124" spans="3:14" s="237" customFormat="1" x14ac:dyDescent="0.2">
      <c r="C124" s="266"/>
      <c r="D124" s="266"/>
      <c r="E124" s="266"/>
      <c r="F124" s="266"/>
      <c r="G124" s="266"/>
      <c r="H124" s="266"/>
      <c r="I124" s="266"/>
      <c r="J124" s="266"/>
      <c r="K124" s="266"/>
      <c r="L124" s="266"/>
      <c r="M124" s="266"/>
      <c r="N124" s="266"/>
    </row>
    <row r="125" spans="3:14" s="237" customFormat="1" x14ac:dyDescent="0.2">
      <c r="C125" s="266"/>
      <c r="D125" s="266"/>
      <c r="E125" s="266"/>
      <c r="F125" s="266"/>
      <c r="G125" s="266"/>
      <c r="H125" s="266"/>
      <c r="I125" s="266"/>
      <c r="J125" s="266"/>
      <c r="K125" s="266"/>
      <c r="L125" s="266"/>
      <c r="M125" s="266"/>
      <c r="N125" s="266"/>
    </row>
    <row r="126" spans="3:14" s="237" customFormat="1" x14ac:dyDescent="0.2">
      <c r="C126" s="266"/>
      <c r="D126" s="266"/>
      <c r="E126" s="266"/>
      <c r="F126" s="266"/>
      <c r="G126" s="266"/>
      <c r="H126" s="266"/>
      <c r="I126" s="266"/>
      <c r="J126" s="266"/>
      <c r="K126" s="266"/>
      <c r="L126" s="266"/>
      <c r="M126" s="266"/>
      <c r="N126" s="266"/>
    </row>
    <row r="127" spans="3:14" s="237" customFormat="1" x14ac:dyDescent="0.2">
      <c r="C127" s="266"/>
      <c r="D127" s="266"/>
      <c r="E127" s="266"/>
      <c r="F127" s="266"/>
      <c r="G127" s="266"/>
      <c r="H127" s="266"/>
      <c r="I127" s="266"/>
      <c r="J127" s="266"/>
      <c r="K127" s="266"/>
      <c r="L127" s="266"/>
      <c r="M127" s="266"/>
      <c r="N127" s="266"/>
    </row>
    <row r="128" spans="3:14" s="237" customFormat="1" x14ac:dyDescent="0.2">
      <c r="C128" s="266"/>
      <c r="D128" s="266"/>
      <c r="E128" s="266"/>
      <c r="F128" s="266"/>
      <c r="G128" s="266"/>
      <c r="H128" s="266"/>
      <c r="I128" s="266"/>
      <c r="J128" s="266"/>
      <c r="K128" s="266"/>
      <c r="L128" s="266"/>
      <c r="M128" s="266"/>
      <c r="N128" s="266"/>
    </row>
    <row r="129" spans="3:14" s="237" customFormat="1" x14ac:dyDescent="0.2">
      <c r="C129" s="266"/>
      <c r="D129" s="266"/>
      <c r="E129" s="266"/>
      <c r="F129" s="266"/>
      <c r="G129" s="266"/>
      <c r="H129" s="266"/>
      <c r="I129" s="266"/>
      <c r="J129" s="266"/>
      <c r="K129" s="266"/>
      <c r="L129" s="266"/>
      <c r="M129" s="266"/>
      <c r="N129" s="266"/>
    </row>
    <row r="130" spans="3:14" s="237" customFormat="1" x14ac:dyDescent="0.2">
      <c r="C130" s="266"/>
      <c r="D130" s="266"/>
      <c r="E130" s="266"/>
      <c r="F130" s="266"/>
      <c r="G130" s="266"/>
      <c r="H130" s="266"/>
      <c r="I130" s="266"/>
      <c r="J130" s="266"/>
      <c r="K130" s="266"/>
      <c r="L130" s="266"/>
      <c r="M130" s="266"/>
      <c r="N130" s="266"/>
    </row>
    <row r="131" spans="3:14" s="237" customFormat="1" x14ac:dyDescent="0.2">
      <c r="C131" s="266"/>
      <c r="D131" s="266"/>
      <c r="E131" s="266"/>
      <c r="F131" s="266"/>
      <c r="G131" s="266"/>
      <c r="H131" s="266"/>
      <c r="I131" s="266"/>
      <c r="J131" s="266"/>
      <c r="K131" s="266"/>
      <c r="L131" s="266"/>
      <c r="M131" s="266"/>
      <c r="N131" s="266"/>
    </row>
    <row r="132" spans="3:14" s="237" customFormat="1" x14ac:dyDescent="0.2">
      <c r="C132" s="266"/>
      <c r="D132" s="266"/>
      <c r="E132" s="266"/>
      <c r="F132" s="266"/>
      <c r="G132" s="266"/>
      <c r="H132" s="266"/>
      <c r="I132" s="266"/>
      <c r="J132" s="266"/>
      <c r="K132" s="266"/>
      <c r="L132" s="266"/>
      <c r="M132" s="266"/>
      <c r="N132" s="266"/>
    </row>
    <row r="133" spans="3:14" s="237" customFormat="1" x14ac:dyDescent="0.2">
      <c r="C133" s="266"/>
      <c r="D133" s="266"/>
      <c r="E133" s="266"/>
      <c r="F133" s="266"/>
      <c r="G133" s="266"/>
      <c r="H133" s="266"/>
      <c r="I133" s="266"/>
      <c r="J133" s="266"/>
      <c r="K133" s="266"/>
      <c r="L133" s="266"/>
      <c r="M133" s="266"/>
      <c r="N133" s="266"/>
    </row>
    <row r="134" spans="3:14" s="237" customFormat="1" x14ac:dyDescent="0.2">
      <c r="C134" s="266"/>
      <c r="D134" s="266"/>
      <c r="E134" s="266"/>
      <c r="F134" s="266"/>
      <c r="G134" s="266"/>
      <c r="H134" s="266"/>
      <c r="I134" s="266"/>
      <c r="J134" s="266"/>
      <c r="K134" s="266"/>
      <c r="L134" s="266"/>
      <c r="M134" s="266"/>
      <c r="N134" s="266"/>
    </row>
    <row r="135" spans="3:14" s="237" customFormat="1" x14ac:dyDescent="0.2">
      <c r="C135" s="266"/>
      <c r="D135" s="266"/>
      <c r="E135" s="266"/>
      <c r="F135" s="266"/>
      <c r="G135" s="266"/>
      <c r="H135" s="266"/>
      <c r="I135" s="266"/>
      <c r="J135" s="266"/>
      <c r="K135" s="266"/>
      <c r="L135" s="266"/>
      <c r="M135" s="266"/>
      <c r="N135" s="266"/>
    </row>
    <row r="136" spans="3:14" s="237" customFormat="1" x14ac:dyDescent="0.2">
      <c r="C136" s="266"/>
      <c r="D136" s="266"/>
      <c r="E136" s="266"/>
      <c r="F136" s="266"/>
      <c r="G136" s="266"/>
      <c r="H136" s="266"/>
      <c r="I136" s="266"/>
      <c r="J136" s="266"/>
      <c r="K136" s="266"/>
      <c r="L136" s="266"/>
      <c r="M136" s="266"/>
      <c r="N136" s="266"/>
    </row>
    <row r="137" spans="3:14" s="237" customFormat="1" x14ac:dyDescent="0.2">
      <c r="C137" s="266"/>
      <c r="D137" s="266"/>
      <c r="E137" s="266"/>
      <c r="F137" s="266"/>
      <c r="G137" s="266"/>
      <c r="H137" s="266"/>
      <c r="I137" s="266"/>
      <c r="J137" s="266"/>
      <c r="K137" s="266"/>
      <c r="L137" s="266"/>
      <c r="M137" s="266"/>
      <c r="N137" s="266"/>
    </row>
    <row r="138" spans="3:14" s="237" customFormat="1" x14ac:dyDescent="0.2">
      <c r="C138" s="266"/>
      <c r="D138" s="266"/>
      <c r="E138" s="266"/>
      <c r="F138" s="266"/>
      <c r="G138" s="266"/>
      <c r="H138" s="266"/>
      <c r="I138" s="266"/>
      <c r="J138" s="266"/>
      <c r="K138" s="266"/>
      <c r="L138" s="266"/>
      <c r="M138" s="266"/>
      <c r="N138" s="266"/>
    </row>
    <row r="139" spans="3:14" s="237" customFormat="1" x14ac:dyDescent="0.2">
      <c r="C139" s="266"/>
      <c r="D139" s="266"/>
      <c r="E139" s="266"/>
      <c r="F139" s="266"/>
      <c r="G139" s="266"/>
      <c r="H139" s="266"/>
      <c r="I139" s="266"/>
      <c r="J139" s="266"/>
      <c r="K139" s="266"/>
      <c r="L139" s="266"/>
      <c r="M139" s="266"/>
      <c r="N139" s="266"/>
    </row>
    <row r="140" spans="3:14" s="237" customFormat="1" x14ac:dyDescent="0.2">
      <c r="C140" s="266"/>
      <c r="D140" s="266"/>
      <c r="E140" s="266"/>
      <c r="F140" s="266"/>
      <c r="G140" s="266"/>
      <c r="H140" s="266"/>
      <c r="I140" s="266"/>
      <c r="J140" s="266"/>
      <c r="K140" s="266"/>
      <c r="L140" s="266"/>
      <c r="M140" s="266"/>
      <c r="N140" s="266"/>
    </row>
    <row r="141" spans="3:14" s="237" customFormat="1" x14ac:dyDescent="0.2">
      <c r="C141" s="266"/>
      <c r="D141" s="266"/>
      <c r="E141" s="266"/>
      <c r="F141" s="266"/>
      <c r="G141" s="266"/>
      <c r="H141" s="266"/>
      <c r="I141" s="266"/>
      <c r="J141" s="266"/>
      <c r="K141" s="266"/>
      <c r="L141" s="266"/>
      <c r="M141" s="266"/>
      <c r="N141" s="266"/>
    </row>
    <row r="142" spans="3:14" s="237" customFormat="1" x14ac:dyDescent="0.2">
      <c r="C142" s="266"/>
      <c r="D142" s="266"/>
      <c r="E142" s="266"/>
      <c r="F142" s="266"/>
      <c r="G142" s="266"/>
      <c r="H142" s="266"/>
      <c r="I142" s="266"/>
      <c r="J142" s="266"/>
      <c r="K142" s="266"/>
      <c r="L142" s="266"/>
      <c r="M142" s="266"/>
      <c r="N142" s="266"/>
    </row>
    <row r="143" spans="3:14" s="237" customFormat="1" x14ac:dyDescent="0.2">
      <c r="C143" s="266"/>
      <c r="D143" s="266"/>
      <c r="E143" s="266"/>
      <c r="F143" s="266"/>
      <c r="G143" s="266"/>
      <c r="H143" s="266"/>
      <c r="I143" s="266"/>
      <c r="J143" s="266"/>
      <c r="K143" s="266"/>
      <c r="L143" s="266"/>
      <c r="M143" s="266"/>
      <c r="N143" s="266"/>
    </row>
    <row r="144" spans="3:14" s="237" customFormat="1" x14ac:dyDescent="0.2">
      <c r="C144" s="266"/>
      <c r="D144" s="266"/>
      <c r="E144" s="266"/>
      <c r="F144" s="266"/>
      <c r="G144" s="266"/>
      <c r="H144" s="266"/>
      <c r="I144" s="266"/>
      <c r="J144" s="266"/>
      <c r="K144" s="266"/>
      <c r="L144" s="266"/>
      <c r="M144" s="266"/>
      <c r="N144" s="266"/>
    </row>
    <row r="145" spans="3:14" s="237" customFormat="1" x14ac:dyDescent="0.2">
      <c r="C145" s="266"/>
      <c r="D145" s="266"/>
      <c r="E145" s="266"/>
      <c r="F145" s="266"/>
      <c r="G145" s="266"/>
      <c r="H145" s="266"/>
      <c r="I145" s="266"/>
      <c r="J145" s="266"/>
      <c r="K145" s="266"/>
      <c r="L145" s="266"/>
      <c r="M145" s="266"/>
      <c r="N145" s="266"/>
    </row>
    <row r="146" spans="3:14" s="237" customFormat="1" x14ac:dyDescent="0.2">
      <c r="C146" s="266"/>
      <c r="D146" s="266"/>
      <c r="E146" s="266"/>
      <c r="F146" s="266"/>
      <c r="G146" s="266"/>
      <c r="H146" s="266"/>
      <c r="I146" s="266"/>
      <c r="J146" s="266"/>
      <c r="K146" s="266"/>
      <c r="L146" s="266"/>
      <c r="M146" s="266"/>
      <c r="N146" s="266"/>
    </row>
    <row r="147" spans="3:14" s="237" customFormat="1" x14ac:dyDescent="0.2">
      <c r="C147" s="266"/>
      <c r="D147" s="266"/>
      <c r="E147" s="266"/>
      <c r="F147" s="266"/>
      <c r="G147" s="266"/>
      <c r="H147" s="266"/>
      <c r="I147" s="266"/>
      <c r="J147" s="266"/>
      <c r="K147" s="266"/>
      <c r="L147" s="266"/>
      <c r="M147" s="266"/>
      <c r="N147" s="266"/>
    </row>
    <row r="148" spans="3:14" s="237" customFormat="1" x14ac:dyDescent="0.2">
      <c r="C148" s="266"/>
      <c r="D148" s="266"/>
      <c r="E148" s="266"/>
      <c r="F148" s="266"/>
      <c r="G148" s="266"/>
      <c r="H148" s="266"/>
      <c r="I148" s="266"/>
      <c r="J148" s="266"/>
      <c r="K148" s="266"/>
      <c r="L148" s="266"/>
      <c r="M148" s="266"/>
      <c r="N148" s="266"/>
    </row>
    <row r="149" spans="3:14" s="237" customFormat="1" x14ac:dyDescent="0.2">
      <c r="C149" s="266"/>
      <c r="D149" s="266"/>
      <c r="E149" s="266"/>
      <c r="F149" s="266"/>
      <c r="G149" s="266"/>
      <c r="H149" s="266"/>
      <c r="I149" s="266"/>
      <c r="J149" s="266"/>
      <c r="K149" s="266"/>
      <c r="L149" s="266"/>
      <c r="M149" s="266"/>
      <c r="N149" s="266"/>
    </row>
    <row r="150" spans="3:14" s="237" customFormat="1" x14ac:dyDescent="0.2">
      <c r="C150" s="266"/>
      <c r="D150" s="266"/>
      <c r="E150" s="266"/>
      <c r="F150" s="266"/>
      <c r="G150" s="266"/>
      <c r="H150" s="266"/>
      <c r="I150" s="266"/>
      <c r="J150" s="266"/>
      <c r="K150" s="266"/>
      <c r="L150" s="266"/>
      <c r="M150" s="266"/>
      <c r="N150" s="266"/>
    </row>
    <row r="151" spans="3:14" s="237" customFormat="1" x14ac:dyDescent="0.2">
      <c r="C151" s="266"/>
      <c r="D151" s="266"/>
      <c r="E151" s="266"/>
      <c r="F151" s="266"/>
      <c r="G151" s="266"/>
      <c r="H151" s="266"/>
      <c r="I151" s="266"/>
      <c r="J151" s="266"/>
      <c r="K151" s="266"/>
      <c r="L151" s="266"/>
      <c r="M151" s="266"/>
      <c r="N151" s="266"/>
    </row>
    <row r="152" spans="3:14" s="237" customFormat="1" x14ac:dyDescent="0.2">
      <c r="C152" s="266"/>
      <c r="D152" s="266"/>
      <c r="E152" s="266"/>
      <c r="F152" s="266"/>
      <c r="G152" s="266"/>
      <c r="H152" s="266"/>
      <c r="I152" s="266"/>
      <c r="J152" s="266"/>
      <c r="K152" s="266"/>
      <c r="L152" s="266"/>
      <c r="M152" s="266"/>
      <c r="N152" s="266"/>
    </row>
    <row r="153" spans="3:14" s="237" customFormat="1" x14ac:dyDescent="0.2">
      <c r="C153" s="266"/>
      <c r="D153" s="266"/>
      <c r="E153" s="266"/>
      <c r="F153" s="266"/>
      <c r="G153" s="266"/>
      <c r="H153" s="266"/>
      <c r="I153" s="266"/>
      <c r="J153" s="266"/>
      <c r="K153" s="266"/>
      <c r="L153" s="266"/>
      <c r="M153" s="266"/>
      <c r="N153" s="266"/>
    </row>
    <row r="154" spans="3:14" s="237" customFormat="1" x14ac:dyDescent="0.2">
      <c r="C154" s="266"/>
      <c r="D154" s="266"/>
      <c r="E154" s="266"/>
      <c r="F154" s="266"/>
      <c r="G154" s="266"/>
      <c r="H154" s="266"/>
      <c r="I154" s="266"/>
      <c r="J154" s="266"/>
      <c r="K154" s="266"/>
      <c r="L154" s="266"/>
      <c r="M154" s="266"/>
      <c r="N154" s="266"/>
    </row>
    <row r="155" spans="3:14" s="237" customFormat="1" x14ac:dyDescent="0.2">
      <c r="C155" s="266"/>
      <c r="D155" s="266"/>
      <c r="E155" s="266"/>
      <c r="F155" s="266"/>
      <c r="G155" s="266"/>
      <c r="H155" s="266"/>
      <c r="I155" s="266"/>
      <c r="J155" s="266"/>
      <c r="K155" s="266"/>
      <c r="L155" s="266"/>
      <c r="M155" s="266"/>
      <c r="N155" s="266"/>
    </row>
    <row r="156" spans="3:14" s="237" customFormat="1" x14ac:dyDescent="0.2">
      <c r="C156" s="266"/>
      <c r="D156" s="266"/>
      <c r="E156" s="266"/>
      <c r="F156" s="266"/>
      <c r="G156" s="266"/>
      <c r="H156" s="266"/>
      <c r="I156" s="266"/>
      <c r="J156" s="266"/>
      <c r="K156" s="266"/>
      <c r="L156" s="266"/>
      <c r="M156" s="266"/>
      <c r="N156" s="266"/>
    </row>
    <row r="157" spans="3:14" s="237" customFormat="1" x14ac:dyDescent="0.2">
      <c r="C157" s="266"/>
      <c r="D157" s="266"/>
      <c r="E157" s="266"/>
      <c r="F157" s="266"/>
      <c r="G157" s="266"/>
      <c r="H157" s="266"/>
      <c r="I157" s="266"/>
      <c r="J157" s="266"/>
      <c r="K157" s="266"/>
      <c r="L157" s="266"/>
      <c r="M157" s="266"/>
      <c r="N157" s="266"/>
    </row>
    <row r="158" spans="3:14" s="237" customFormat="1" x14ac:dyDescent="0.2">
      <c r="C158" s="266"/>
      <c r="D158" s="266"/>
      <c r="E158" s="266"/>
      <c r="F158" s="266"/>
      <c r="G158" s="266"/>
      <c r="H158" s="266"/>
      <c r="I158" s="266"/>
      <c r="J158" s="266"/>
      <c r="K158" s="266"/>
      <c r="L158" s="266"/>
      <c r="M158" s="266"/>
      <c r="N158" s="266"/>
    </row>
    <row r="159" spans="3:14" s="237" customFormat="1" x14ac:dyDescent="0.2">
      <c r="C159" s="266"/>
      <c r="D159" s="266"/>
      <c r="E159" s="266"/>
      <c r="F159" s="266"/>
      <c r="G159" s="266"/>
      <c r="H159" s="266"/>
      <c r="I159" s="266"/>
      <c r="J159" s="266"/>
      <c r="K159" s="266"/>
      <c r="L159" s="266"/>
      <c r="M159" s="266"/>
      <c r="N159" s="266"/>
    </row>
    <row r="160" spans="3:14" s="237" customFormat="1" x14ac:dyDescent="0.2">
      <c r="C160" s="266"/>
      <c r="D160" s="266"/>
      <c r="E160" s="266"/>
      <c r="F160" s="266"/>
      <c r="G160" s="266"/>
      <c r="H160" s="266"/>
      <c r="I160" s="266"/>
      <c r="J160" s="266"/>
      <c r="K160" s="266"/>
      <c r="L160" s="266"/>
      <c r="M160" s="266"/>
      <c r="N160" s="266"/>
    </row>
    <row r="161" spans="3:14" s="237" customFormat="1" x14ac:dyDescent="0.2">
      <c r="C161" s="266"/>
      <c r="D161" s="266"/>
      <c r="E161" s="266"/>
      <c r="F161" s="266"/>
      <c r="G161" s="266"/>
      <c r="H161" s="266"/>
      <c r="I161" s="266"/>
      <c r="J161" s="266"/>
      <c r="K161" s="266"/>
      <c r="L161" s="266"/>
      <c r="M161" s="266"/>
      <c r="N161" s="266"/>
    </row>
    <row r="162" spans="3:14" s="237" customFormat="1" x14ac:dyDescent="0.2">
      <c r="C162" s="266"/>
      <c r="D162" s="266"/>
      <c r="E162" s="266"/>
      <c r="F162" s="266"/>
      <c r="G162" s="266"/>
      <c r="H162" s="266"/>
      <c r="I162" s="266"/>
      <c r="J162" s="266"/>
      <c r="K162" s="266"/>
      <c r="L162" s="266"/>
      <c r="M162" s="266"/>
      <c r="N162" s="266"/>
    </row>
    <row r="163" spans="3:14" s="237" customFormat="1" x14ac:dyDescent="0.2">
      <c r="C163" s="266"/>
      <c r="D163" s="266"/>
      <c r="E163" s="266"/>
      <c r="F163" s="266"/>
      <c r="G163" s="266"/>
      <c r="H163" s="266"/>
      <c r="I163" s="266"/>
      <c r="J163" s="266"/>
      <c r="K163" s="266"/>
      <c r="L163" s="266"/>
      <c r="M163" s="266"/>
      <c r="N163" s="266"/>
    </row>
    <row r="164" spans="3:14" s="237" customFormat="1" x14ac:dyDescent="0.2">
      <c r="C164" s="266"/>
      <c r="D164" s="266"/>
      <c r="E164" s="266"/>
      <c r="F164" s="266"/>
      <c r="G164" s="266"/>
      <c r="H164" s="266"/>
      <c r="I164" s="266"/>
      <c r="J164" s="266"/>
      <c r="K164" s="266"/>
      <c r="L164" s="266"/>
      <c r="M164" s="266"/>
      <c r="N164" s="266"/>
    </row>
    <row r="165" spans="3:14" s="237" customFormat="1" x14ac:dyDescent="0.2">
      <c r="C165" s="266"/>
      <c r="D165" s="266"/>
      <c r="E165" s="266"/>
      <c r="F165" s="266"/>
      <c r="G165" s="266"/>
      <c r="H165" s="266"/>
      <c r="I165" s="266"/>
      <c r="J165" s="266"/>
      <c r="K165" s="266"/>
      <c r="L165" s="266"/>
      <c r="M165" s="266"/>
      <c r="N165" s="266"/>
    </row>
    <row r="166" spans="3:14" s="237" customFormat="1" x14ac:dyDescent="0.2">
      <c r="C166" s="266"/>
      <c r="D166" s="266"/>
      <c r="E166" s="266"/>
      <c r="F166" s="266"/>
      <c r="G166" s="266"/>
      <c r="H166" s="266"/>
      <c r="I166" s="266"/>
      <c r="J166" s="266"/>
      <c r="K166" s="266"/>
      <c r="L166" s="266"/>
      <c r="M166" s="266"/>
      <c r="N166" s="266"/>
    </row>
    <row r="167" spans="3:14" s="237" customFormat="1" x14ac:dyDescent="0.2">
      <c r="C167" s="266"/>
      <c r="D167" s="266"/>
      <c r="E167" s="266"/>
      <c r="F167" s="266"/>
      <c r="G167" s="266"/>
      <c r="H167" s="266"/>
      <c r="I167" s="266"/>
      <c r="J167" s="266"/>
      <c r="K167" s="266"/>
      <c r="L167" s="266"/>
      <c r="M167" s="266"/>
      <c r="N167" s="266"/>
    </row>
    <row r="168" spans="3:14" s="237" customFormat="1" x14ac:dyDescent="0.2">
      <c r="C168" s="266"/>
      <c r="D168" s="266"/>
      <c r="E168" s="266"/>
      <c r="F168" s="266"/>
      <c r="G168" s="266"/>
      <c r="H168" s="266"/>
      <c r="I168" s="266"/>
      <c r="J168" s="266"/>
      <c r="K168" s="266"/>
      <c r="L168" s="266"/>
      <c r="M168" s="266"/>
      <c r="N168" s="266"/>
    </row>
    <row r="169" spans="3:14" s="237" customFormat="1" x14ac:dyDescent="0.2">
      <c r="C169" s="266"/>
      <c r="D169" s="266"/>
      <c r="E169" s="266"/>
      <c r="F169" s="266"/>
      <c r="G169" s="266"/>
      <c r="H169" s="266"/>
      <c r="I169" s="266"/>
      <c r="J169" s="266"/>
      <c r="K169" s="266"/>
      <c r="L169" s="266"/>
      <c r="M169" s="266"/>
      <c r="N169" s="266"/>
    </row>
    <row r="170" spans="3:14" s="237" customFormat="1" x14ac:dyDescent="0.2">
      <c r="C170" s="266"/>
      <c r="D170" s="266"/>
      <c r="E170" s="266"/>
      <c r="F170" s="266"/>
      <c r="G170" s="266"/>
      <c r="H170" s="266"/>
      <c r="I170" s="266"/>
      <c r="J170" s="266"/>
      <c r="K170" s="266"/>
      <c r="L170" s="266"/>
      <c r="M170" s="266"/>
      <c r="N170" s="266"/>
    </row>
    <row r="171" spans="3:14" s="237" customFormat="1" x14ac:dyDescent="0.2">
      <c r="C171" s="266"/>
      <c r="D171" s="266"/>
      <c r="E171" s="266"/>
      <c r="F171" s="266"/>
      <c r="G171" s="266"/>
      <c r="H171" s="266"/>
      <c r="I171" s="266"/>
      <c r="J171" s="266"/>
      <c r="K171" s="266"/>
      <c r="L171" s="266"/>
      <c r="M171" s="266"/>
      <c r="N171" s="266"/>
    </row>
    <row r="172" spans="3:14" s="237" customFormat="1" x14ac:dyDescent="0.2">
      <c r="C172" s="266"/>
      <c r="D172" s="266"/>
      <c r="E172" s="266"/>
      <c r="F172" s="266"/>
      <c r="G172" s="266"/>
      <c r="H172" s="266"/>
      <c r="I172" s="266"/>
      <c r="J172" s="266"/>
      <c r="K172" s="266"/>
      <c r="L172" s="266"/>
      <c r="M172" s="266"/>
      <c r="N172" s="266"/>
    </row>
    <row r="173" spans="3:14" s="237" customFormat="1" x14ac:dyDescent="0.2">
      <c r="C173" s="266"/>
      <c r="D173" s="266"/>
      <c r="E173" s="266"/>
      <c r="F173" s="266"/>
      <c r="G173" s="266"/>
      <c r="H173" s="266"/>
      <c r="I173" s="266"/>
      <c r="J173" s="266"/>
      <c r="K173" s="266"/>
      <c r="L173" s="266"/>
      <c r="M173" s="266"/>
      <c r="N173" s="266"/>
    </row>
    <row r="174" spans="3:14" s="237" customFormat="1" x14ac:dyDescent="0.2">
      <c r="C174" s="266"/>
      <c r="D174" s="266"/>
      <c r="E174" s="266"/>
      <c r="F174" s="266"/>
      <c r="G174" s="266"/>
      <c r="H174" s="266"/>
      <c r="I174" s="266"/>
      <c r="J174" s="266"/>
      <c r="K174" s="266"/>
      <c r="L174" s="266"/>
      <c r="M174" s="266"/>
      <c r="N174" s="266"/>
    </row>
    <row r="175" spans="3:14" s="237" customFormat="1" x14ac:dyDescent="0.2">
      <c r="C175" s="266"/>
      <c r="D175" s="266"/>
      <c r="E175" s="266"/>
      <c r="F175" s="266"/>
      <c r="G175" s="266"/>
      <c r="H175" s="266"/>
      <c r="I175" s="266"/>
      <c r="J175" s="266"/>
      <c r="K175" s="266"/>
      <c r="L175" s="266"/>
      <c r="M175" s="266"/>
      <c r="N175" s="266"/>
    </row>
    <row r="176" spans="3:14" s="237" customFormat="1" x14ac:dyDescent="0.2">
      <c r="C176" s="266"/>
      <c r="D176" s="266"/>
      <c r="E176" s="266"/>
      <c r="F176" s="266"/>
      <c r="G176" s="266"/>
      <c r="H176" s="266"/>
      <c r="I176" s="266"/>
      <c r="J176" s="266"/>
      <c r="K176" s="266"/>
      <c r="L176" s="266"/>
      <c r="M176" s="266"/>
      <c r="N176" s="266"/>
    </row>
    <row r="177" spans="3:14" s="237" customFormat="1" x14ac:dyDescent="0.2">
      <c r="C177" s="266"/>
      <c r="D177" s="266"/>
      <c r="E177" s="266"/>
      <c r="F177" s="266"/>
      <c r="G177" s="266"/>
      <c r="H177" s="266"/>
      <c r="I177" s="266"/>
      <c r="J177" s="266"/>
      <c r="K177" s="266"/>
      <c r="L177" s="266"/>
      <c r="M177" s="266"/>
      <c r="N177" s="266"/>
    </row>
    <row r="178" spans="3:14" s="237" customFormat="1" x14ac:dyDescent="0.2">
      <c r="C178" s="266"/>
      <c r="D178" s="266"/>
      <c r="E178" s="266"/>
      <c r="F178" s="266"/>
      <c r="G178" s="266"/>
      <c r="H178" s="266"/>
      <c r="I178" s="266"/>
      <c r="J178" s="266"/>
      <c r="K178" s="266"/>
      <c r="L178" s="266"/>
      <c r="M178" s="266"/>
      <c r="N178" s="266"/>
    </row>
    <row r="179" spans="3:14" s="237" customFormat="1" x14ac:dyDescent="0.2">
      <c r="C179" s="266"/>
      <c r="D179" s="266"/>
      <c r="E179" s="266"/>
      <c r="F179" s="266"/>
      <c r="G179" s="266"/>
      <c r="H179" s="266"/>
      <c r="I179" s="266"/>
      <c r="J179" s="266"/>
      <c r="K179" s="266"/>
      <c r="L179" s="266"/>
      <c r="M179" s="266"/>
      <c r="N179" s="266"/>
    </row>
    <row r="180" spans="3:14" s="237" customFormat="1" x14ac:dyDescent="0.2">
      <c r="C180" s="266"/>
      <c r="D180" s="266"/>
      <c r="E180" s="266"/>
      <c r="F180" s="266"/>
      <c r="G180" s="266"/>
      <c r="H180" s="266"/>
      <c r="I180" s="266"/>
      <c r="J180" s="266"/>
      <c r="K180" s="266"/>
      <c r="L180" s="266"/>
      <c r="M180" s="266"/>
      <c r="N180" s="266"/>
    </row>
    <row r="181" spans="3:14" s="237" customFormat="1" x14ac:dyDescent="0.2">
      <c r="C181" s="266"/>
      <c r="D181" s="266"/>
      <c r="E181" s="266"/>
      <c r="F181" s="266"/>
      <c r="G181" s="266"/>
      <c r="H181" s="266"/>
      <c r="I181" s="266"/>
      <c r="J181" s="266"/>
      <c r="K181" s="266"/>
      <c r="L181" s="266"/>
      <c r="M181" s="266"/>
      <c r="N181" s="266"/>
    </row>
    <row r="182" spans="3:14" s="237" customFormat="1" x14ac:dyDescent="0.2">
      <c r="C182" s="266"/>
      <c r="D182" s="266"/>
      <c r="E182" s="266"/>
      <c r="F182" s="266"/>
      <c r="G182" s="266"/>
      <c r="H182" s="266"/>
      <c r="I182" s="266"/>
      <c r="J182" s="266"/>
      <c r="K182" s="266"/>
      <c r="L182" s="266"/>
      <c r="M182" s="266"/>
      <c r="N182" s="266"/>
    </row>
    <row r="183" spans="3:14" s="237" customFormat="1" x14ac:dyDescent="0.2">
      <c r="C183" s="266"/>
      <c r="D183" s="266"/>
      <c r="E183" s="266"/>
      <c r="F183" s="266"/>
      <c r="G183" s="266"/>
      <c r="H183" s="266"/>
      <c r="I183" s="266"/>
      <c r="J183" s="266"/>
      <c r="K183" s="266"/>
      <c r="L183" s="266"/>
      <c r="M183" s="266"/>
      <c r="N183" s="266"/>
    </row>
    <row r="184" spans="3:14" s="237" customFormat="1" x14ac:dyDescent="0.2">
      <c r="C184" s="266"/>
      <c r="D184" s="266"/>
      <c r="E184" s="266"/>
      <c r="F184" s="266"/>
      <c r="G184" s="266"/>
      <c r="H184" s="266"/>
      <c r="I184" s="266"/>
      <c r="J184" s="266"/>
      <c r="K184" s="266"/>
      <c r="L184" s="266"/>
      <c r="M184" s="266"/>
      <c r="N184" s="266"/>
    </row>
    <row r="185" spans="3:14" s="237" customFormat="1" x14ac:dyDescent="0.2">
      <c r="C185" s="266"/>
      <c r="D185" s="266"/>
      <c r="E185" s="266"/>
      <c r="F185" s="266"/>
      <c r="G185" s="266"/>
      <c r="H185" s="266"/>
      <c r="I185" s="266"/>
      <c r="J185" s="266"/>
      <c r="K185" s="266"/>
      <c r="L185" s="266"/>
      <c r="M185" s="266"/>
      <c r="N185" s="266"/>
    </row>
    <row r="186" spans="3:14" s="237" customFormat="1" x14ac:dyDescent="0.2">
      <c r="C186" s="266"/>
      <c r="D186" s="266"/>
      <c r="E186" s="266"/>
      <c r="F186" s="266"/>
      <c r="G186" s="266"/>
      <c r="H186" s="266"/>
      <c r="I186" s="266"/>
      <c r="J186" s="266"/>
      <c r="K186" s="266"/>
      <c r="L186" s="266"/>
      <c r="M186" s="266"/>
      <c r="N186" s="266"/>
    </row>
    <row r="187" spans="3:14" s="237" customFormat="1" x14ac:dyDescent="0.2">
      <c r="C187" s="266"/>
      <c r="D187" s="266"/>
      <c r="E187" s="266"/>
      <c r="F187" s="266"/>
      <c r="G187" s="266"/>
      <c r="H187" s="266"/>
      <c r="I187" s="266"/>
      <c r="J187" s="266"/>
      <c r="K187" s="266"/>
      <c r="L187" s="266"/>
      <c r="M187" s="266"/>
      <c r="N187" s="266"/>
    </row>
    <row r="188" spans="3:14" s="237" customFormat="1" x14ac:dyDescent="0.2">
      <c r="C188" s="266"/>
      <c r="D188" s="266"/>
      <c r="E188" s="266"/>
      <c r="F188" s="266"/>
      <c r="G188" s="266"/>
      <c r="H188" s="266"/>
      <c r="I188" s="266"/>
      <c r="J188" s="266"/>
      <c r="K188" s="266"/>
      <c r="L188" s="266"/>
      <c r="M188" s="266"/>
      <c r="N188" s="266"/>
    </row>
    <row r="189" spans="3:14" s="237" customFormat="1" x14ac:dyDescent="0.2">
      <c r="C189" s="266"/>
      <c r="D189" s="266"/>
      <c r="E189" s="266"/>
      <c r="F189" s="266"/>
      <c r="G189" s="266"/>
      <c r="H189" s="266"/>
      <c r="I189" s="266"/>
      <c r="J189" s="266"/>
      <c r="K189" s="266"/>
      <c r="L189" s="266"/>
      <c r="M189" s="266"/>
      <c r="N189" s="266"/>
    </row>
    <row r="190" spans="3:14" s="237" customFormat="1" x14ac:dyDescent="0.2">
      <c r="C190" s="266"/>
      <c r="D190" s="266"/>
      <c r="E190" s="266"/>
      <c r="F190" s="266"/>
      <c r="G190" s="266"/>
      <c r="H190" s="266"/>
      <c r="I190" s="266"/>
      <c r="J190" s="266"/>
      <c r="K190" s="266"/>
      <c r="L190" s="266"/>
      <c r="M190" s="266"/>
      <c r="N190" s="266"/>
    </row>
    <row r="191" spans="3:14" s="237" customFormat="1" x14ac:dyDescent="0.2">
      <c r="C191" s="266"/>
      <c r="D191" s="266"/>
      <c r="E191" s="266"/>
      <c r="F191" s="266"/>
      <c r="G191" s="266"/>
      <c r="H191" s="266"/>
      <c r="I191" s="266"/>
      <c r="J191" s="266"/>
      <c r="K191" s="266"/>
      <c r="L191" s="266"/>
      <c r="M191" s="266"/>
      <c r="N191" s="266"/>
    </row>
    <row r="192" spans="3:14" s="237" customFormat="1" x14ac:dyDescent="0.2">
      <c r="C192" s="266"/>
      <c r="D192" s="266"/>
      <c r="E192" s="266"/>
      <c r="F192" s="266"/>
      <c r="G192" s="266"/>
      <c r="H192" s="266"/>
      <c r="I192" s="266"/>
      <c r="J192" s="266"/>
      <c r="K192" s="266"/>
      <c r="L192" s="266"/>
      <c r="M192" s="266"/>
      <c r="N192" s="266"/>
    </row>
    <row r="193" spans="3:14" s="237" customFormat="1" x14ac:dyDescent="0.2">
      <c r="C193" s="266"/>
      <c r="D193" s="266"/>
      <c r="E193" s="266"/>
      <c r="F193" s="266"/>
      <c r="G193" s="266"/>
      <c r="H193" s="266"/>
      <c r="I193" s="266"/>
      <c r="J193" s="266"/>
      <c r="K193" s="266"/>
      <c r="L193" s="266"/>
      <c r="M193" s="266"/>
      <c r="N193" s="266"/>
    </row>
    <row r="194" spans="3:14" s="237" customFormat="1" x14ac:dyDescent="0.2">
      <c r="C194" s="266"/>
      <c r="D194" s="266"/>
      <c r="E194" s="266"/>
      <c r="F194" s="266"/>
      <c r="G194" s="266"/>
      <c r="H194" s="266"/>
      <c r="I194" s="266"/>
      <c r="J194" s="266"/>
      <c r="K194" s="266"/>
      <c r="L194" s="266"/>
      <c r="M194" s="266"/>
      <c r="N194" s="266"/>
    </row>
    <row r="195" spans="3:14" s="237" customFormat="1" x14ac:dyDescent="0.2">
      <c r="C195" s="266"/>
      <c r="D195" s="266"/>
      <c r="E195" s="266"/>
      <c r="F195" s="266"/>
      <c r="G195" s="266"/>
      <c r="H195" s="266"/>
      <c r="I195" s="266"/>
      <c r="J195" s="266"/>
      <c r="K195" s="266"/>
      <c r="L195" s="266"/>
      <c r="M195" s="266"/>
      <c r="N195" s="266"/>
    </row>
    <row r="196" spans="3:14" s="237" customFormat="1" x14ac:dyDescent="0.2">
      <c r="C196" s="266"/>
      <c r="D196" s="266"/>
      <c r="E196" s="266"/>
      <c r="F196" s="266"/>
      <c r="G196" s="266"/>
      <c r="H196" s="266"/>
      <c r="I196" s="266"/>
      <c r="J196" s="266"/>
      <c r="K196" s="266"/>
      <c r="L196" s="266"/>
      <c r="M196" s="266"/>
      <c r="N196" s="266"/>
    </row>
    <row r="197" spans="3:14" s="237" customFormat="1" x14ac:dyDescent="0.2">
      <c r="C197" s="266"/>
      <c r="D197" s="266"/>
      <c r="E197" s="266"/>
      <c r="F197" s="266"/>
      <c r="G197" s="266"/>
      <c r="H197" s="266"/>
      <c r="I197" s="266"/>
      <c r="J197" s="266"/>
      <c r="K197" s="266"/>
      <c r="L197" s="266"/>
      <c r="M197" s="266"/>
      <c r="N197" s="266"/>
    </row>
    <row r="198" spans="3:14" s="237" customFormat="1" x14ac:dyDescent="0.2">
      <c r="C198" s="266"/>
      <c r="D198" s="266"/>
      <c r="E198" s="266"/>
      <c r="F198" s="266"/>
      <c r="G198" s="266"/>
      <c r="H198" s="266"/>
      <c r="I198" s="266"/>
      <c r="J198" s="266"/>
      <c r="K198" s="266"/>
      <c r="L198" s="266"/>
      <c r="M198" s="266"/>
      <c r="N198" s="266"/>
    </row>
    <row r="199" spans="3:14" s="237" customFormat="1" x14ac:dyDescent="0.2">
      <c r="C199" s="266"/>
      <c r="D199" s="266"/>
      <c r="E199" s="266"/>
      <c r="F199" s="266"/>
      <c r="G199" s="266"/>
      <c r="H199" s="266"/>
      <c r="I199" s="266"/>
      <c r="J199" s="266"/>
      <c r="K199" s="266"/>
      <c r="L199" s="266"/>
      <c r="M199" s="266"/>
      <c r="N199" s="266"/>
    </row>
    <row r="200" spans="3:14" s="237" customFormat="1" x14ac:dyDescent="0.2">
      <c r="C200" s="266"/>
      <c r="D200" s="266"/>
      <c r="E200" s="266"/>
      <c r="F200" s="266"/>
      <c r="G200" s="266"/>
      <c r="H200" s="266"/>
      <c r="I200" s="266"/>
      <c r="J200" s="266"/>
      <c r="K200" s="266"/>
      <c r="L200" s="266"/>
      <c r="M200" s="266"/>
      <c r="N200" s="266"/>
    </row>
    <row r="201" spans="3:14" s="237" customFormat="1" x14ac:dyDescent="0.2">
      <c r="C201" s="266"/>
      <c r="D201" s="266"/>
      <c r="E201" s="266"/>
      <c r="F201" s="266"/>
      <c r="G201" s="266"/>
      <c r="H201" s="266"/>
      <c r="I201" s="266"/>
      <c r="J201" s="266"/>
      <c r="K201" s="266"/>
      <c r="L201" s="266"/>
      <c r="M201" s="266"/>
      <c r="N201" s="266"/>
    </row>
    <row r="202" spans="3:14" s="237" customFormat="1" x14ac:dyDescent="0.2">
      <c r="C202" s="266"/>
      <c r="D202" s="266"/>
      <c r="E202" s="266"/>
      <c r="F202" s="266"/>
      <c r="G202" s="266"/>
      <c r="H202" s="266"/>
      <c r="I202" s="266"/>
      <c r="J202" s="266"/>
      <c r="K202" s="266"/>
      <c r="L202" s="266"/>
      <c r="M202" s="266"/>
      <c r="N202" s="266"/>
    </row>
    <row r="203" spans="3:14" s="237" customFormat="1" x14ac:dyDescent="0.2">
      <c r="C203" s="266"/>
      <c r="D203" s="266"/>
      <c r="E203" s="266"/>
      <c r="F203" s="266"/>
      <c r="G203" s="266"/>
      <c r="H203" s="266"/>
      <c r="I203" s="266"/>
      <c r="J203" s="266"/>
      <c r="K203" s="266"/>
      <c r="L203" s="266"/>
      <c r="M203" s="266"/>
      <c r="N203" s="266"/>
    </row>
    <row r="204" spans="3:14" s="237" customFormat="1" x14ac:dyDescent="0.2">
      <c r="C204" s="266"/>
      <c r="D204" s="266"/>
      <c r="E204" s="266"/>
      <c r="F204" s="266"/>
      <c r="G204" s="266"/>
      <c r="H204" s="266"/>
      <c r="I204" s="266"/>
      <c r="J204" s="266"/>
      <c r="K204" s="266"/>
      <c r="L204" s="266"/>
      <c r="M204" s="266"/>
      <c r="N204" s="266"/>
    </row>
    <row r="205" spans="3:14" s="237" customFormat="1" x14ac:dyDescent="0.2">
      <c r="C205" s="266"/>
      <c r="D205" s="266"/>
      <c r="E205" s="266"/>
      <c r="F205" s="266"/>
      <c r="G205" s="266"/>
      <c r="H205" s="266"/>
      <c r="I205" s="266"/>
      <c r="J205" s="266"/>
      <c r="K205" s="266"/>
      <c r="L205" s="266"/>
      <c r="M205" s="266"/>
      <c r="N205" s="266"/>
    </row>
    <row r="206" spans="3:14" s="237" customFormat="1" x14ac:dyDescent="0.2">
      <c r="C206" s="266"/>
      <c r="D206" s="266"/>
      <c r="E206" s="266"/>
      <c r="F206" s="266"/>
      <c r="G206" s="266"/>
      <c r="H206" s="266"/>
      <c r="I206" s="266"/>
      <c r="J206" s="266"/>
      <c r="K206" s="266"/>
      <c r="L206" s="266"/>
      <c r="M206" s="266"/>
      <c r="N206" s="266"/>
    </row>
    <row r="207" spans="3:14" s="237" customFormat="1" x14ac:dyDescent="0.2">
      <c r="C207" s="266"/>
      <c r="D207" s="266"/>
      <c r="E207" s="266"/>
      <c r="F207" s="266"/>
      <c r="G207" s="266"/>
      <c r="H207" s="266"/>
      <c r="I207" s="266"/>
      <c r="J207" s="266"/>
      <c r="K207" s="266"/>
      <c r="L207" s="266"/>
      <c r="M207" s="266"/>
      <c r="N207" s="266"/>
    </row>
    <row r="208" spans="3:14" s="237" customFormat="1" x14ac:dyDescent="0.2">
      <c r="C208" s="266"/>
      <c r="D208" s="266"/>
      <c r="E208" s="266"/>
      <c r="F208" s="266"/>
      <c r="G208" s="266"/>
      <c r="H208" s="266"/>
      <c r="I208" s="266"/>
      <c r="J208" s="266"/>
      <c r="K208" s="266"/>
      <c r="L208" s="266"/>
      <c r="M208" s="266"/>
      <c r="N208" s="266"/>
    </row>
    <row r="209" spans="3:14" s="237" customFormat="1" x14ac:dyDescent="0.2">
      <c r="C209" s="266"/>
      <c r="D209" s="266"/>
      <c r="E209" s="266"/>
      <c r="F209" s="266"/>
      <c r="G209" s="266"/>
      <c r="H209" s="266"/>
      <c r="I209" s="266"/>
      <c r="J209" s="266"/>
      <c r="K209" s="266"/>
      <c r="L209" s="266"/>
      <c r="M209" s="266"/>
      <c r="N209" s="266"/>
    </row>
    <row r="210" spans="3:14" s="237" customFormat="1" x14ac:dyDescent="0.2">
      <c r="C210" s="266"/>
      <c r="D210" s="266"/>
      <c r="E210" s="266"/>
      <c r="F210" s="266"/>
      <c r="G210" s="266"/>
      <c r="H210" s="266"/>
      <c r="I210" s="266"/>
      <c r="J210" s="266"/>
      <c r="K210" s="266"/>
      <c r="L210" s="266"/>
      <c r="M210" s="266"/>
      <c r="N210" s="266"/>
    </row>
    <row r="211" spans="3:14" s="237" customFormat="1" x14ac:dyDescent="0.2">
      <c r="C211" s="266"/>
      <c r="D211" s="266"/>
      <c r="E211" s="266"/>
      <c r="F211" s="266"/>
      <c r="G211" s="266"/>
      <c r="H211" s="266"/>
      <c r="I211" s="266"/>
      <c r="J211" s="266"/>
      <c r="K211" s="266"/>
      <c r="L211" s="266"/>
      <c r="M211" s="266"/>
      <c r="N211" s="266"/>
    </row>
    <row r="212" spans="3:14" s="237" customFormat="1" x14ac:dyDescent="0.2">
      <c r="C212" s="266"/>
      <c r="D212" s="266"/>
      <c r="E212" s="266"/>
      <c r="F212" s="266"/>
      <c r="G212" s="266"/>
      <c r="H212" s="266"/>
      <c r="I212" s="266"/>
      <c r="J212" s="266"/>
      <c r="K212" s="266"/>
      <c r="L212" s="266"/>
      <c r="M212" s="266"/>
      <c r="N212" s="266"/>
    </row>
    <row r="213" spans="3:14" s="237" customFormat="1" x14ac:dyDescent="0.2">
      <c r="C213" s="266"/>
      <c r="D213" s="266"/>
      <c r="E213" s="266"/>
      <c r="F213" s="266"/>
      <c r="G213" s="266"/>
      <c r="H213" s="266"/>
      <c r="I213" s="266"/>
      <c r="J213" s="266"/>
      <c r="K213" s="266"/>
      <c r="L213" s="266"/>
      <c r="M213" s="266"/>
      <c r="N213" s="266"/>
    </row>
    <row r="214" spans="3:14" s="237" customFormat="1" x14ac:dyDescent="0.2">
      <c r="C214" s="266"/>
      <c r="D214" s="266"/>
      <c r="E214" s="266"/>
      <c r="F214" s="266"/>
      <c r="G214" s="266"/>
      <c r="H214" s="266"/>
      <c r="I214" s="266"/>
      <c r="J214" s="266"/>
      <c r="K214" s="266"/>
      <c r="L214" s="266"/>
      <c r="M214" s="266"/>
      <c r="N214" s="266"/>
    </row>
    <row r="215" spans="3:14" s="237" customFormat="1" x14ac:dyDescent="0.2">
      <c r="C215" s="266"/>
      <c r="D215" s="266"/>
      <c r="E215" s="266"/>
      <c r="F215" s="266"/>
      <c r="G215" s="266"/>
      <c r="H215" s="266"/>
      <c r="I215" s="266"/>
      <c r="J215" s="266"/>
      <c r="K215" s="266"/>
      <c r="L215" s="266"/>
      <c r="M215" s="266"/>
      <c r="N215" s="266"/>
    </row>
    <row r="216" spans="3:14" s="237" customFormat="1" x14ac:dyDescent="0.2">
      <c r="C216" s="266"/>
      <c r="D216" s="266"/>
      <c r="E216" s="266"/>
      <c r="F216" s="266"/>
      <c r="G216" s="266"/>
      <c r="H216" s="266"/>
      <c r="I216" s="266"/>
      <c r="J216" s="266"/>
      <c r="K216" s="266"/>
      <c r="L216" s="266"/>
      <c r="M216" s="266"/>
      <c r="N216" s="266"/>
    </row>
    <row r="217" spans="3:14" s="237" customFormat="1" x14ac:dyDescent="0.2">
      <c r="C217" s="266"/>
      <c r="D217" s="266"/>
      <c r="E217" s="266"/>
      <c r="F217" s="266"/>
      <c r="G217" s="266"/>
      <c r="H217" s="266"/>
      <c r="I217" s="266"/>
      <c r="J217" s="266"/>
      <c r="K217" s="266"/>
      <c r="L217" s="266"/>
      <c r="M217" s="266"/>
      <c r="N217" s="266"/>
    </row>
    <row r="218" spans="3:14" s="237" customFormat="1" x14ac:dyDescent="0.2">
      <c r="C218" s="266"/>
      <c r="D218" s="266"/>
      <c r="E218" s="266"/>
      <c r="F218" s="266"/>
      <c r="G218" s="266"/>
      <c r="H218" s="266"/>
      <c r="I218" s="266"/>
      <c r="J218" s="266"/>
      <c r="K218" s="266"/>
      <c r="L218" s="266"/>
      <c r="M218" s="266"/>
      <c r="N218" s="266"/>
    </row>
    <row r="219" spans="3:14" s="237" customFormat="1" x14ac:dyDescent="0.2">
      <c r="C219" s="266"/>
      <c r="D219" s="266"/>
      <c r="E219" s="266"/>
      <c r="F219" s="266"/>
      <c r="G219" s="266"/>
      <c r="H219" s="266"/>
      <c r="I219" s="266"/>
      <c r="J219" s="266"/>
      <c r="K219" s="266"/>
      <c r="L219" s="266"/>
      <c r="M219" s="266"/>
      <c r="N219" s="266"/>
    </row>
    <row r="220" spans="3:14" s="237" customFormat="1" x14ac:dyDescent="0.2">
      <c r="C220" s="266"/>
      <c r="D220" s="266"/>
      <c r="E220" s="266"/>
      <c r="F220" s="266"/>
      <c r="G220" s="266"/>
      <c r="H220" s="266"/>
      <c r="I220" s="266"/>
      <c r="J220" s="266"/>
      <c r="K220" s="266"/>
      <c r="L220" s="266"/>
      <c r="M220" s="266"/>
      <c r="N220" s="266"/>
    </row>
    <row r="221" spans="3:14" s="237" customFormat="1" x14ac:dyDescent="0.2">
      <c r="C221" s="266"/>
      <c r="D221" s="266"/>
      <c r="E221" s="266"/>
      <c r="F221" s="266"/>
      <c r="G221" s="266"/>
      <c r="H221" s="266"/>
      <c r="I221" s="266"/>
      <c r="J221" s="266"/>
      <c r="K221" s="266"/>
      <c r="L221" s="266"/>
      <c r="M221" s="266"/>
      <c r="N221" s="266"/>
    </row>
    <row r="222" spans="3:14" s="237" customFormat="1" x14ac:dyDescent="0.2">
      <c r="C222" s="266"/>
      <c r="D222" s="266"/>
      <c r="E222" s="266"/>
      <c r="F222" s="266"/>
      <c r="G222" s="266"/>
      <c r="H222" s="266"/>
      <c r="I222" s="266"/>
      <c r="J222" s="266"/>
      <c r="K222" s="266"/>
      <c r="L222" s="266"/>
      <c r="M222" s="266"/>
      <c r="N222" s="266"/>
    </row>
    <row r="223" spans="3:14" s="237" customFormat="1" x14ac:dyDescent="0.2">
      <c r="C223" s="266"/>
      <c r="D223" s="266"/>
      <c r="E223" s="266"/>
      <c r="F223" s="266"/>
      <c r="G223" s="266"/>
      <c r="H223" s="266"/>
      <c r="I223" s="266"/>
      <c r="J223" s="266"/>
      <c r="K223" s="266"/>
      <c r="L223" s="266"/>
      <c r="M223" s="266"/>
      <c r="N223" s="266"/>
    </row>
    <row r="224" spans="3:14" s="237" customFormat="1" x14ac:dyDescent="0.2">
      <c r="C224" s="266"/>
      <c r="D224" s="266"/>
      <c r="E224" s="266"/>
      <c r="F224" s="266"/>
      <c r="G224" s="266"/>
      <c r="H224" s="266"/>
      <c r="I224" s="266"/>
      <c r="J224" s="266"/>
      <c r="K224" s="266"/>
      <c r="L224" s="266"/>
      <c r="M224" s="266"/>
      <c r="N224" s="266"/>
    </row>
    <row r="225" spans="3:14" s="237" customFormat="1" x14ac:dyDescent="0.2">
      <c r="C225" s="266"/>
      <c r="D225" s="266"/>
      <c r="E225" s="266"/>
      <c r="F225" s="266"/>
      <c r="G225" s="266"/>
      <c r="H225" s="266"/>
      <c r="I225" s="266"/>
      <c r="J225" s="266"/>
      <c r="K225" s="266"/>
      <c r="L225" s="266"/>
      <c r="M225" s="266"/>
      <c r="N225" s="266"/>
    </row>
    <row r="226" spans="3:14" s="237" customFormat="1" x14ac:dyDescent="0.2">
      <c r="C226" s="266"/>
      <c r="D226" s="266"/>
      <c r="E226" s="266"/>
      <c r="F226" s="266"/>
      <c r="G226" s="266"/>
      <c r="H226" s="266"/>
      <c r="I226" s="266"/>
      <c r="J226" s="266"/>
      <c r="K226" s="266"/>
      <c r="L226" s="266"/>
      <c r="M226" s="266"/>
      <c r="N226" s="266"/>
    </row>
    <row r="227" spans="3:14" s="237" customFormat="1" x14ac:dyDescent="0.2">
      <c r="C227" s="266"/>
      <c r="D227" s="266"/>
      <c r="E227" s="266"/>
      <c r="F227" s="266"/>
      <c r="G227" s="266"/>
      <c r="H227" s="266"/>
      <c r="I227" s="266"/>
      <c r="J227" s="266"/>
      <c r="K227" s="266"/>
      <c r="L227" s="266"/>
      <c r="M227" s="266"/>
      <c r="N227" s="266"/>
    </row>
    <row r="228" spans="3:14" s="237" customFormat="1" x14ac:dyDescent="0.2">
      <c r="C228" s="266"/>
      <c r="D228" s="266"/>
      <c r="E228" s="266"/>
      <c r="F228" s="266"/>
      <c r="G228" s="266"/>
      <c r="H228" s="266"/>
      <c r="I228" s="266"/>
      <c r="J228" s="266"/>
      <c r="K228" s="266"/>
      <c r="L228" s="266"/>
      <c r="M228" s="266"/>
      <c r="N228" s="266"/>
    </row>
    <row r="229" spans="3:14" s="237" customFormat="1" x14ac:dyDescent="0.2">
      <c r="C229" s="266"/>
      <c r="D229" s="266"/>
      <c r="E229" s="266"/>
      <c r="F229" s="266"/>
      <c r="G229" s="266"/>
      <c r="H229" s="266"/>
      <c r="I229" s="266"/>
      <c r="J229" s="266"/>
      <c r="K229" s="266"/>
      <c r="L229" s="266"/>
      <c r="M229" s="266"/>
      <c r="N229" s="266"/>
    </row>
    <row r="230" spans="3:14" s="237" customFormat="1" x14ac:dyDescent="0.2">
      <c r="C230" s="266"/>
      <c r="D230" s="266"/>
      <c r="E230" s="266"/>
      <c r="F230" s="266"/>
      <c r="G230" s="266"/>
      <c r="H230" s="266"/>
      <c r="I230" s="266"/>
      <c r="J230" s="266"/>
      <c r="K230" s="266"/>
      <c r="L230" s="266"/>
      <c r="M230" s="266"/>
      <c r="N230" s="266"/>
    </row>
    <row r="231" spans="3:14" s="237" customFormat="1" x14ac:dyDescent="0.2">
      <c r="C231" s="266"/>
      <c r="D231" s="266"/>
      <c r="E231" s="266"/>
      <c r="F231" s="266"/>
      <c r="G231" s="266"/>
      <c r="H231" s="266"/>
      <c r="I231" s="266"/>
      <c r="J231" s="266"/>
      <c r="K231" s="266"/>
      <c r="L231" s="266"/>
      <c r="M231" s="266"/>
      <c r="N231" s="266"/>
    </row>
    <row r="232" spans="3:14" s="237" customFormat="1" x14ac:dyDescent="0.2">
      <c r="C232" s="266"/>
      <c r="D232" s="266"/>
      <c r="E232" s="266"/>
      <c r="F232" s="266"/>
      <c r="G232" s="266"/>
      <c r="H232" s="266"/>
      <c r="I232" s="266"/>
      <c r="J232" s="266"/>
      <c r="K232" s="266"/>
      <c r="L232" s="266"/>
      <c r="M232" s="266"/>
      <c r="N232" s="266"/>
    </row>
    <row r="233" spans="3:14" s="237" customFormat="1" x14ac:dyDescent="0.2">
      <c r="C233" s="266"/>
      <c r="D233" s="266"/>
      <c r="E233" s="266"/>
      <c r="F233" s="266"/>
      <c r="G233" s="266"/>
      <c r="H233" s="266"/>
      <c r="I233" s="266"/>
      <c r="J233" s="266"/>
      <c r="K233" s="266"/>
      <c r="L233" s="266"/>
      <c r="M233" s="266"/>
      <c r="N233" s="266"/>
    </row>
    <row r="234" spans="3:14" s="237" customFormat="1" x14ac:dyDescent="0.2">
      <c r="C234" s="266"/>
      <c r="D234" s="266"/>
      <c r="E234" s="266"/>
      <c r="F234" s="266"/>
      <c r="G234" s="266"/>
      <c r="H234" s="266"/>
      <c r="I234" s="266"/>
      <c r="J234" s="266"/>
      <c r="K234" s="266"/>
      <c r="L234" s="266"/>
      <c r="M234" s="266"/>
      <c r="N234" s="266"/>
    </row>
    <row r="235" spans="3:14" s="237" customFormat="1" x14ac:dyDescent="0.2">
      <c r="C235" s="266"/>
      <c r="D235" s="266"/>
      <c r="E235" s="266"/>
      <c r="F235" s="266"/>
      <c r="G235" s="266"/>
      <c r="H235" s="266"/>
      <c r="I235" s="266"/>
      <c r="J235" s="266"/>
      <c r="K235" s="266"/>
      <c r="L235" s="266"/>
      <c r="M235" s="266"/>
      <c r="N235" s="266"/>
    </row>
    <row r="236" spans="3:14" s="237" customFormat="1" x14ac:dyDescent="0.2">
      <c r="C236" s="266"/>
      <c r="D236" s="266"/>
      <c r="E236" s="266"/>
      <c r="F236" s="266"/>
      <c r="G236" s="266"/>
      <c r="H236" s="266"/>
      <c r="I236" s="266"/>
      <c r="J236" s="266"/>
      <c r="K236" s="266"/>
      <c r="L236" s="266"/>
      <c r="M236" s="266"/>
      <c r="N236" s="266"/>
    </row>
    <row r="237" spans="3:14" s="237" customFormat="1" x14ac:dyDescent="0.2">
      <c r="C237" s="266"/>
      <c r="D237" s="266"/>
      <c r="E237" s="266"/>
      <c r="F237" s="266"/>
      <c r="G237" s="266"/>
      <c r="H237" s="266"/>
      <c r="I237" s="266"/>
      <c r="J237" s="266"/>
      <c r="K237" s="266"/>
      <c r="L237" s="266"/>
      <c r="M237" s="266"/>
      <c r="N237" s="266"/>
    </row>
    <row r="238" spans="3:14" s="237" customFormat="1" x14ac:dyDescent="0.2">
      <c r="C238" s="266"/>
      <c r="D238" s="266"/>
      <c r="E238" s="266"/>
      <c r="F238" s="266"/>
      <c r="G238" s="266"/>
      <c r="H238" s="266"/>
      <c r="I238" s="266"/>
      <c r="J238" s="266"/>
      <c r="K238" s="266"/>
      <c r="L238" s="266"/>
      <c r="M238" s="266"/>
      <c r="N238" s="266"/>
    </row>
    <row r="239" spans="3:14" s="237" customFormat="1" x14ac:dyDescent="0.2">
      <c r="C239" s="266"/>
      <c r="D239" s="266"/>
      <c r="E239" s="266"/>
      <c r="F239" s="266"/>
      <c r="G239" s="266"/>
      <c r="H239" s="266"/>
      <c r="I239" s="266"/>
      <c r="J239" s="266"/>
      <c r="K239" s="266"/>
      <c r="L239" s="266"/>
      <c r="M239" s="266"/>
      <c r="N239" s="266"/>
    </row>
    <row r="240" spans="3:14" s="237" customFormat="1" x14ac:dyDescent="0.2">
      <c r="C240" s="266"/>
      <c r="D240" s="266"/>
      <c r="E240" s="266"/>
      <c r="F240" s="266"/>
      <c r="G240" s="266"/>
      <c r="H240" s="266"/>
      <c r="I240" s="266"/>
      <c r="J240" s="266"/>
      <c r="K240" s="266"/>
      <c r="L240" s="266"/>
      <c r="M240" s="266"/>
      <c r="N240" s="266"/>
    </row>
    <row r="241" spans="3:14" s="237" customFormat="1" x14ac:dyDescent="0.2">
      <c r="C241" s="266"/>
      <c r="D241" s="266"/>
      <c r="E241" s="266"/>
      <c r="F241" s="266"/>
      <c r="G241" s="266"/>
      <c r="H241" s="266"/>
      <c r="I241" s="266"/>
      <c r="J241" s="266"/>
      <c r="K241" s="266"/>
      <c r="L241" s="266"/>
      <c r="M241" s="266"/>
      <c r="N241" s="266"/>
    </row>
    <row r="242" spans="3:14" s="237" customFormat="1" x14ac:dyDescent="0.2">
      <c r="C242" s="266"/>
      <c r="D242" s="266"/>
      <c r="E242" s="266"/>
      <c r="F242" s="266"/>
      <c r="G242" s="266"/>
      <c r="H242" s="266"/>
      <c r="I242" s="266"/>
      <c r="J242" s="266"/>
      <c r="K242" s="266"/>
      <c r="L242" s="266"/>
      <c r="M242" s="266"/>
      <c r="N242" s="266"/>
    </row>
    <row r="243" spans="3:14" s="237" customFormat="1" x14ac:dyDescent="0.2">
      <c r="C243" s="266"/>
      <c r="D243" s="266"/>
      <c r="E243" s="266"/>
      <c r="F243" s="266"/>
      <c r="G243" s="266"/>
      <c r="H243" s="266"/>
      <c r="I243" s="266"/>
      <c r="J243" s="266"/>
      <c r="K243" s="266"/>
      <c r="L243" s="266"/>
      <c r="M243" s="266"/>
      <c r="N243" s="266"/>
    </row>
    <row r="244" spans="3:14" s="237" customFormat="1" x14ac:dyDescent="0.2">
      <c r="C244" s="266"/>
      <c r="D244" s="266"/>
      <c r="E244" s="266"/>
      <c r="F244" s="266"/>
      <c r="G244" s="266"/>
      <c r="H244" s="266"/>
      <c r="I244" s="266"/>
      <c r="J244" s="266"/>
      <c r="K244" s="266"/>
      <c r="L244" s="266"/>
      <c r="M244" s="266"/>
      <c r="N244" s="266"/>
    </row>
    <row r="245" spans="3:14" s="237" customFormat="1" x14ac:dyDescent="0.2">
      <c r="C245" s="266"/>
      <c r="D245" s="266"/>
      <c r="E245" s="266"/>
      <c r="F245" s="266"/>
      <c r="G245" s="266"/>
      <c r="H245" s="266"/>
      <c r="I245" s="266"/>
      <c r="J245" s="266"/>
      <c r="K245" s="266"/>
      <c r="L245" s="266"/>
      <c r="M245" s="266"/>
      <c r="N245" s="266"/>
    </row>
    <row r="246" spans="3:14" s="237" customFormat="1" x14ac:dyDescent="0.2">
      <c r="C246" s="266"/>
      <c r="D246" s="266"/>
      <c r="E246" s="266"/>
      <c r="F246" s="266"/>
      <c r="G246" s="266"/>
      <c r="H246" s="266"/>
      <c r="I246" s="266"/>
      <c r="J246" s="266"/>
      <c r="K246" s="266"/>
      <c r="L246" s="266"/>
      <c r="M246" s="266"/>
      <c r="N246" s="266"/>
    </row>
    <row r="247" spans="3:14" s="237" customFormat="1" x14ac:dyDescent="0.2">
      <c r="C247" s="266"/>
      <c r="D247" s="266"/>
      <c r="E247" s="266"/>
      <c r="F247" s="266"/>
      <c r="G247" s="266"/>
      <c r="H247" s="266"/>
      <c r="I247" s="266"/>
      <c r="J247" s="266"/>
      <c r="K247" s="266"/>
      <c r="L247" s="266"/>
      <c r="M247" s="266"/>
      <c r="N247" s="266"/>
    </row>
    <row r="248" spans="3:14" s="237" customFormat="1" x14ac:dyDescent="0.2">
      <c r="C248" s="266"/>
      <c r="D248" s="266"/>
      <c r="E248" s="266"/>
      <c r="F248" s="266"/>
      <c r="G248" s="266"/>
      <c r="H248" s="266"/>
      <c r="I248" s="266"/>
      <c r="J248" s="266"/>
      <c r="K248" s="266"/>
      <c r="L248" s="266"/>
      <c r="M248" s="266"/>
      <c r="N248" s="266"/>
    </row>
    <row r="249" spans="3:14" s="237" customFormat="1" x14ac:dyDescent="0.2">
      <c r="C249" s="266"/>
      <c r="D249" s="266"/>
      <c r="E249" s="266"/>
      <c r="F249" s="266"/>
      <c r="G249" s="266"/>
      <c r="H249" s="266"/>
      <c r="I249" s="266"/>
      <c r="J249" s="266"/>
      <c r="K249" s="266"/>
      <c r="L249" s="266"/>
      <c r="M249" s="266"/>
      <c r="N249" s="266"/>
    </row>
    <row r="250" spans="3:14" s="237" customFormat="1" x14ac:dyDescent="0.2">
      <c r="C250" s="266"/>
      <c r="D250" s="266"/>
      <c r="E250" s="266"/>
      <c r="F250" s="266"/>
      <c r="G250" s="266"/>
      <c r="H250" s="266"/>
      <c r="I250" s="266"/>
      <c r="J250" s="266"/>
      <c r="K250" s="266"/>
      <c r="L250" s="266"/>
      <c r="M250" s="266"/>
      <c r="N250" s="266"/>
    </row>
    <row r="251" spans="3:14" s="237" customFormat="1" x14ac:dyDescent="0.2">
      <c r="C251" s="266"/>
      <c r="D251" s="266"/>
      <c r="E251" s="266"/>
      <c r="F251" s="266"/>
      <c r="G251" s="266"/>
      <c r="H251" s="266"/>
      <c r="I251" s="266"/>
      <c r="J251" s="266"/>
      <c r="K251" s="266"/>
      <c r="L251" s="266"/>
      <c r="M251" s="266"/>
      <c r="N251" s="266"/>
    </row>
    <row r="252" spans="3:14" s="237" customFormat="1" x14ac:dyDescent="0.2">
      <c r="C252" s="266"/>
      <c r="D252" s="266"/>
      <c r="E252" s="266"/>
      <c r="F252" s="266"/>
      <c r="G252" s="266"/>
      <c r="H252" s="266"/>
      <c r="I252" s="266"/>
      <c r="J252" s="266"/>
      <c r="K252" s="266"/>
      <c r="L252" s="266"/>
      <c r="M252" s="266"/>
      <c r="N252" s="266"/>
    </row>
    <row r="253" spans="3:14" s="237" customFormat="1" x14ac:dyDescent="0.2">
      <c r="C253" s="266"/>
      <c r="D253" s="266"/>
      <c r="E253" s="266"/>
      <c r="F253" s="266"/>
      <c r="G253" s="266"/>
      <c r="H253" s="266"/>
      <c r="I253" s="266"/>
      <c r="J253" s="266"/>
      <c r="K253" s="266"/>
      <c r="L253" s="266"/>
      <c r="M253" s="266"/>
      <c r="N253" s="266"/>
    </row>
  </sheetData>
  <mergeCells count="22">
    <mergeCell ref="A3:N3"/>
    <mergeCell ref="A2:N2"/>
    <mergeCell ref="A4:N4"/>
    <mergeCell ref="A5:A6"/>
    <mergeCell ref="B5:B6"/>
    <mergeCell ref="C5:C6"/>
    <mergeCell ref="D5:D6"/>
    <mergeCell ref="E5:E6"/>
    <mergeCell ref="J5:J6"/>
    <mergeCell ref="F5:F6"/>
    <mergeCell ref="G5:G6"/>
    <mergeCell ref="H5:H6"/>
    <mergeCell ref="I5:I6"/>
    <mergeCell ref="A28:B28"/>
    <mergeCell ref="L5:L6"/>
    <mergeCell ref="M5:M6"/>
    <mergeCell ref="K5:K6"/>
    <mergeCell ref="N5:N6"/>
    <mergeCell ref="A7:B7"/>
    <mergeCell ref="A9:B9"/>
    <mergeCell ref="A11:B11"/>
    <mergeCell ref="A26:B26"/>
  </mergeCells>
  <phoneticPr fontId="0" type="noConversion"/>
  <pageMargins left="0.7" right="0.7" top="0.75" bottom="0.75" header="0.3" footer="0.3"/>
  <pageSetup scale="85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BASE!$F$3:$F$4</xm:f>
          </x14:formula1>
          <xm:sqref>A12:A25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C253"/>
  <sheetViews>
    <sheetView workbookViewId="0">
      <selection activeCell="G17" sqref="G17"/>
    </sheetView>
  </sheetViews>
  <sheetFormatPr baseColWidth="10" defaultRowHeight="12.75" x14ac:dyDescent="0.2"/>
  <cols>
    <col min="1" max="1" width="10.7109375" customWidth="1"/>
    <col min="2" max="2" width="28.42578125" customWidth="1"/>
    <col min="3" max="3" width="12.85546875" style="277" customWidth="1"/>
    <col min="4" max="13" width="12.7109375" style="277" customWidth="1"/>
    <col min="14" max="14" width="12.85546875" style="277" customWidth="1"/>
    <col min="15" max="81" width="11.42578125" style="237"/>
  </cols>
  <sheetData>
    <row r="1" spans="1:14" x14ac:dyDescent="0.2">
      <c r="A1" s="237"/>
      <c r="B1" s="237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</row>
    <row r="2" spans="1:14" ht="20.25" customHeight="1" x14ac:dyDescent="0.25">
      <c r="A2" s="1255" t="s">
        <v>468</v>
      </c>
      <c r="B2" s="1255"/>
      <c r="C2" s="1255"/>
      <c r="D2" s="1255"/>
      <c r="E2" s="1255"/>
      <c r="F2" s="1255"/>
      <c r="G2" s="1255"/>
      <c r="H2" s="1255"/>
      <c r="I2" s="1255"/>
      <c r="J2" s="1255"/>
      <c r="K2" s="1255"/>
      <c r="L2" s="1255"/>
      <c r="M2" s="1255"/>
      <c r="N2" s="1255"/>
    </row>
    <row r="3" spans="1:14" ht="20.25" customHeight="1" x14ac:dyDescent="0.25">
      <c r="A3" s="1254" t="str">
        <f>+PRESUPUESTO!B2</f>
        <v>MEDICINA PREGRADO</v>
      </c>
      <c r="B3" s="1254"/>
      <c r="C3" s="1254"/>
      <c r="D3" s="1254"/>
      <c r="E3" s="1254"/>
      <c r="F3" s="1254"/>
      <c r="G3" s="1254"/>
      <c r="H3" s="1254"/>
      <c r="I3" s="1254"/>
      <c r="J3" s="1254"/>
      <c r="K3" s="1254"/>
      <c r="L3" s="1254"/>
      <c r="M3" s="1254"/>
      <c r="N3" s="1254"/>
    </row>
    <row r="4" spans="1:14" ht="2.25" customHeight="1" thickBot="1" x14ac:dyDescent="0.3">
      <c r="A4" s="1256">
        <v>2018</v>
      </c>
      <c r="B4" s="1256"/>
      <c r="C4" s="1256"/>
      <c r="D4" s="1256"/>
      <c r="E4" s="1256"/>
      <c r="F4" s="1256"/>
      <c r="G4" s="1256"/>
      <c r="H4" s="1256"/>
      <c r="I4" s="1256"/>
      <c r="J4" s="1256"/>
      <c r="K4" s="1256"/>
      <c r="L4" s="1256"/>
      <c r="M4" s="1256"/>
      <c r="N4" s="1256"/>
    </row>
    <row r="5" spans="1:14" ht="12.75" customHeight="1" x14ac:dyDescent="0.2">
      <c r="A5" s="1257" t="s">
        <v>440</v>
      </c>
      <c r="B5" s="1259" t="s">
        <v>441</v>
      </c>
      <c r="C5" s="1249" t="s">
        <v>463</v>
      </c>
      <c r="D5" s="1249" t="s">
        <v>463</v>
      </c>
      <c r="E5" s="1249" t="s">
        <v>463</v>
      </c>
      <c r="F5" s="1249" t="s">
        <v>463</v>
      </c>
      <c r="G5" s="1249" t="s">
        <v>463</v>
      </c>
      <c r="H5" s="1249" t="s">
        <v>463</v>
      </c>
      <c r="I5" s="1249" t="s">
        <v>463</v>
      </c>
      <c r="J5" s="1249" t="s">
        <v>463</v>
      </c>
      <c r="K5" s="1249" t="s">
        <v>463</v>
      </c>
      <c r="L5" s="1249" t="s">
        <v>463</v>
      </c>
      <c r="M5" s="1249" t="s">
        <v>463</v>
      </c>
      <c r="N5" s="1261" t="s">
        <v>869</v>
      </c>
    </row>
    <row r="6" spans="1:14" ht="60.75" customHeight="1" thickBot="1" x14ac:dyDescent="0.25">
      <c r="A6" s="1258"/>
      <c r="B6" s="1260"/>
      <c r="C6" s="1250"/>
      <c r="D6" s="1250"/>
      <c r="E6" s="1250"/>
      <c r="F6" s="1250"/>
      <c r="G6" s="1250"/>
      <c r="H6" s="1250"/>
      <c r="I6" s="1250"/>
      <c r="J6" s="1250"/>
      <c r="K6" s="1250"/>
      <c r="L6" s="1250"/>
      <c r="M6" s="1250"/>
      <c r="N6" s="1262"/>
    </row>
    <row r="7" spans="1:14" ht="13.5" thickBot="1" x14ac:dyDescent="0.25">
      <c r="A7" s="1251" t="s">
        <v>0</v>
      </c>
      <c r="B7" s="1252"/>
      <c r="C7" s="267"/>
      <c r="D7" s="267"/>
      <c r="E7" s="267"/>
      <c r="F7" s="267"/>
      <c r="G7" s="267"/>
      <c r="H7" s="267"/>
      <c r="I7" s="267"/>
      <c r="J7" s="267"/>
      <c r="K7" s="267"/>
      <c r="L7" s="267"/>
      <c r="M7" s="267"/>
      <c r="N7" s="268"/>
    </row>
    <row r="8" spans="1:14" x14ac:dyDescent="0.2">
      <c r="A8" s="249"/>
      <c r="B8" s="245" t="s">
        <v>464</v>
      </c>
      <c r="C8" s="269"/>
      <c r="D8" s="269"/>
      <c r="E8" s="269"/>
      <c r="F8" s="269"/>
      <c r="G8" s="269"/>
      <c r="H8" s="269"/>
      <c r="I8" s="269"/>
      <c r="J8" s="269"/>
      <c r="K8" s="269"/>
      <c r="L8" s="269"/>
      <c r="M8" s="269"/>
      <c r="N8" s="270">
        <f>SUM(C8:M8)</f>
        <v>0</v>
      </c>
    </row>
    <row r="9" spans="1:14" ht="13.5" thickBot="1" x14ac:dyDescent="0.25">
      <c r="A9" s="1253" t="s">
        <v>444</v>
      </c>
      <c r="B9" s="1252"/>
      <c r="C9" s="271">
        <f t="shared" ref="C9:M9" si="0">SUM(C8:C8)</f>
        <v>0</v>
      </c>
      <c r="D9" s="271">
        <f t="shared" si="0"/>
        <v>0</v>
      </c>
      <c r="E9" s="271">
        <f t="shared" si="0"/>
        <v>0</v>
      </c>
      <c r="F9" s="271">
        <f t="shared" si="0"/>
        <v>0</v>
      </c>
      <c r="G9" s="271">
        <f t="shared" si="0"/>
        <v>0</v>
      </c>
      <c r="H9" s="271">
        <f t="shared" si="0"/>
        <v>0</v>
      </c>
      <c r="I9" s="271">
        <f t="shared" si="0"/>
        <v>0</v>
      </c>
      <c r="J9" s="271">
        <f t="shared" si="0"/>
        <v>0</v>
      </c>
      <c r="K9" s="271">
        <f t="shared" si="0"/>
        <v>0</v>
      </c>
      <c r="L9" s="271">
        <f t="shared" si="0"/>
        <v>0</v>
      </c>
      <c r="M9" s="271">
        <f t="shared" si="0"/>
        <v>0</v>
      </c>
      <c r="N9" s="268">
        <f>SUM(C9:M9)</f>
        <v>0</v>
      </c>
    </row>
    <row r="10" spans="1:14" ht="13.5" thickBot="1" x14ac:dyDescent="0.25">
      <c r="A10" s="247"/>
      <c r="B10" s="244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</row>
    <row r="11" spans="1:14" ht="13.5" thickBot="1" x14ac:dyDescent="0.25">
      <c r="A11" s="1253" t="s">
        <v>445</v>
      </c>
      <c r="B11" s="1252"/>
      <c r="C11" s="272"/>
      <c r="D11" s="272"/>
      <c r="E11" s="272"/>
      <c r="F11" s="272"/>
      <c r="G11" s="272"/>
      <c r="H11" s="272"/>
      <c r="I11" s="272"/>
      <c r="J11" s="272"/>
      <c r="K11" s="272"/>
      <c r="L11" s="272"/>
      <c r="M11" s="272"/>
      <c r="N11" s="268"/>
    </row>
    <row r="12" spans="1:14" x14ac:dyDescent="0.2">
      <c r="A12" s="241">
        <v>5110950000</v>
      </c>
      <c r="B12" s="245" t="s">
        <v>223</v>
      </c>
      <c r="C12" s="269"/>
      <c r="D12" s="269"/>
      <c r="E12" s="269"/>
      <c r="F12" s="269"/>
      <c r="G12" s="269"/>
      <c r="H12" s="269"/>
      <c r="I12" s="269"/>
      <c r="J12" s="269"/>
      <c r="K12" s="269"/>
      <c r="L12" s="269"/>
      <c r="M12" s="269"/>
      <c r="N12" s="270">
        <f t="shared" ref="N12:N25" si="1">SUM(C12:M12)</f>
        <v>0</v>
      </c>
    </row>
    <row r="13" spans="1:14" x14ac:dyDescent="0.2">
      <c r="A13" s="242">
        <v>5120100000</v>
      </c>
      <c r="B13" s="245" t="s">
        <v>446</v>
      </c>
      <c r="C13" s="269"/>
      <c r="D13" s="269"/>
      <c r="E13" s="269"/>
      <c r="F13" s="269"/>
      <c r="G13" s="269"/>
      <c r="H13" s="269"/>
      <c r="I13" s="269"/>
      <c r="J13" s="269"/>
      <c r="K13" s="269"/>
      <c r="L13" s="269"/>
      <c r="M13" s="269"/>
      <c r="N13" s="270">
        <f t="shared" si="1"/>
        <v>0</v>
      </c>
    </row>
    <row r="14" spans="1:14" x14ac:dyDescent="0.2">
      <c r="A14" s="242">
        <v>5130100000</v>
      </c>
      <c r="B14" s="245" t="s">
        <v>447</v>
      </c>
      <c r="C14" s="269"/>
      <c r="D14" s="269"/>
      <c r="E14" s="269"/>
      <c r="F14" s="269"/>
      <c r="G14" s="269"/>
      <c r="H14" s="269"/>
      <c r="I14" s="269"/>
      <c r="J14" s="269" t="s">
        <v>169</v>
      </c>
      <c r="K14" s="269"/>
      <c r="L14" s="269"/>
      <c r="M14" s="269"/>
      <c r="N14" s="270">
        <f t="shared" si="1"/>
        <v>0</v>
      </c>
    </row>
    <row r="15" spans="1:14" x14ac:dyDescent="0.2">
      <c r="A15" s="242">
        <v>5135400000</v>
      </c>
      <c r="B15" s="245" t="s">
        <v>448</v>
      </c>
      <c r="C15" s="269"/>
      <c r="D15" s="269"/>
      <c r="E15" s="269" t="s">
        <v>169</v>
      </c>
      <c r="F15" s="269"/>
      <c r="G15" s="269" t="s">
        <v>169</v>
      </c>
      <c r="H15" s="269" t="s">
        <v>169</v>
      </c>
      <c r="I15" s="269" t="s">
        <v>169</v>
      </c>
      <c r="J15" s="269"/>
      <c r="K15" s="269"/>
      <c r="L15" s="269"/>
      <c r="M15" s="269"/>
      <c r="N15" s="270">
        <f t="shared" si="1"/>
        <v>0</v>
      </c>
    </row>
    <row r="16" spans="1:14" x14ac:dyDescent="0.2">
      <c r="A16" s="242">
        <v>5135950700</v>
      </c>
      <c r="B16" s="245" t="s">
        <v>466</v>
      </c>
      <c r="C16" s="269"/>
      <c r="D16" s="269"/>
      <c r="E16" s="269"/>
      <c r="F16" s="269"/>
      <c r="G16" s="269"/>
      <c r="H16" s="269"/>
      <c r="I16" s="269"/>
      <c r="J16" s="269"/>
      <c r="K16" s="269" t="s">
        <v>169</v>
      </c>
      <c r="L16" s="269"/>
      <c r="M16" s="269"/>
      <c r="N16" s="270">
        <f t="shared" si="1"/>
        <v>0</v>
      </c>
    </row>
    <row r="17" spans="1:14" x14ac:dyDescent="0.2">
      <c r="A17" s="242">
        <v>5155050000</v>
      </c>
      <c r="B17" s="245" t="s">
        <v>420</v>
      </c>
      <c r="C17" s="269"/>
      <c r="D17" s="269"/>
      <c r="E17" s="269"/>
      <c r="F17" s="269"/>
      <c r="G17" s="269"/>
      <c r="H17" s="269"/>
      <c r="I17" s="269"/>
      <c r="J17" s="269"/>
      <c r="K17" s="269"/>
      <c r="L17" s="269" t="s">
        <v>169</v>
      </c>
      <c r="M17" s="269"/>
      <c r="N17" s="270">
        <f t="shared" si="1"/>
        <v>0</v>
      </c>
    </row>
    <row r="18" spans="1:14" x14ac:dyDescent="0.2">
      <c r="A18" s="242">
        <v>5155150000</v>
      </c>
      <c r="B18" s="245" t="s">
        <v>233</v>
      </c>
      <c r="C18" s="269"/>
      <c r="D18" s="269"/>
      <c r="E18" s="269"/>
      <c r="F18" s="269"/>
      <c r="G18" s="269"/>
      <c r="H18" s="269"/>
      <c r="I18" s="269"/>
      <c r="J18" s="269"/>
      <c r="K18" s="269"/>
      <c r="L18" s="269"/>
      <c r="M18" s="269"/>
      <c r="N18" s="270">
        <f t="shared" si="1"/>
        <v>0</v>
      </c>
    </row>
    <row r="19" spans="1:14" x14ac:dyDescent="0.2">
      <c r="A19" s="242">
        <v>5195200000</v>
      </c>
      <c r="B19" s="245" t="s">
        <v>452</v>
      </c>
      <c r="C19" s="269"/>
      <c r="D19" s="269"/>
      <c r="E19" s="269"/>
      <c r="F19" s="269"/>
      <c r="G19" s="269"/>
      <c r="H19" s="269"/>
      <c r="I19" s="269"/>
      <c r="J19" s="269" t="s">
        <v>169</v>
      </c>
      <c r="K19" s="269"/>
      <c r="L19" s="269"/>
      <c r="M19" s="269"/>
      <c r="N19" s="270">
        <f t="shared" si="1"/>
        <v>0</v>
      </c>
    </row>
    <row r="20" spans="1:14" x14ac:dyDescent="0.2">
      <c r="A20" s="242">
        <v>5195300000</v>
      </c>
      <c r="B20" s="245" t="s">
        <v>453</v>
      </c>
      <c r="C20" s="269"/>
      <c r="D20" s="269"/>
      <c r="E20" s="269" t="s">
        <v>169</v>
      </c>
      <c r="F20" s="269" t="s">
        <v>169</v>
      </c>
      <c r="G20" s="269" t="s">
        <v>169</v>
      </c>
      <c r="H20" s="269" t="s">
        <v>169</v>
      </c>
      <c r="I20" s="269" t="s">
        <v>169</v>
      </c>
      <c r="J20" s="269"/>
      <c r="K20" s="269"/>
      <c r="L20" s="269"/>
      <c r="M20" s="269"/>
      <c r="N20" s="270">
        <f t="shared" si="1"/>
        <v>0</v>
      </c>
    </row>
    <row r="21" spans="1:14" x14ac:dyDescent="0.2">
      <c r="A21" s="242">
        <v>5195450000</v>
      </c>
      <c r="B21" s="245" t="s">
        <v>454</v>
      </c>
      <c r="C21" s="269"/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70">
        <f t="shared" si="1"/>
        <v>0</v>
      </c>
    </row>
    <row r="22" spans="1:14" x14ac:dyDescent="0.2">
      <c r="A22" s="242">
        <v>5195950200</v>
      </c>
      <c r="B22" s="245" t="s">
        <v>455</v>
      </c>
      <c r="C22" s="269"/>
      <c r="D22" s="269"/>
      <c r="E22" s="269"/>
      <c r="F22" s="269"/>
      <c r="G22" s="269"/>
      <c r="H22" s="269"/>
      <c r="I22" s="269"/>
      <c r="J22" s="269"/>
      <c r="K22" s="269" t="s">
        <v>169</v>
      </c>
      <c r="L22" s="269"/>
      <c r="M22" s="269"/>
      <c r="N22" s="270">
        <f t="shared" si="1"/>
        <v>0</v>
      </c>
    </row>
    <row r="23" spans="1:14" x14ac:dyDescent="0.2">
      <c r="A23" s="242">
        <v>5195950100</v>
      </c>
      <c r="B23" s="246" t="s">
        <v>235</v>
      </c>
      <c r="C23" s="269"/>
      <c r="D23" s="269"/>
      <c r="E23" s="269" t="s">
        <v>169</v>
      </c>
      <c r="F23" s="269"/>
      <c r="G23" s="269" t="s">
        <v>169</v>
      </c>
      <c r="H23" s="269" t="s">
        <v>169</v>
      </c>
      <c r="I23" s="269" t="s">
        <v>169</v>
      </c>
      <c r="J23" s="269"/>
      <c r="K23" s="269"/>
      <c r="L23" s="269"/>
      <c r="M23" s="269"/>
      <c r="N23" s="270">
        <f t="shared" si="1"/>
        <v>0</v>
      </c>
    </row>
    <row r="24" spans="1:14" x14ac:dyDescent="0.2">
      <c r="A24" s="242">
        <v>5395950000</v>
      </c>
      <c r="B24" s="246" t="s">
        <v>457</v>
      </c>
      <c r="C24" s="269"/>
      <c r="D24" s="269"/>
      <c r="E24" s="269"/>
      <c r="F24" s="269"/>
      <c r="G24" s="269"/>
      <c r="H24" s="269"/>
      <c r="I24" s="269"/>
      <c r="J24" s="269"/>
      <c r="K24" s="269"/>
      <c r="L24" s="269"/>
      <c r="M24" s="269"/>
      <c r="N24" s="270">
        <f t="shared" si="1"/>
        <v>0</v>
      </c>
    </row>
    <row r="25" spans="1:14" x14ac:dyDescent="0.2">
      <c r="A25" s="242" t="s">
        <v>417</v>
      </c>
      <c r="B25" s="246" t="s">
        <v>467</v>
      </c>
      <c r="C25" s="269"/>
      <c r="D25" s="269"/>
      <c r="E25" s="269"/>
      <c r="F25" s="269"/>
      <c r="G25" s="269"/>
      <c r="H25" s="269"/>
      <c r="I25" s="269"/>
      <c r="J25" s="269"/>
      <c r="K25" s="269"/>
      <c r="L25" s="269"/>
      <c r="M25" s="269"/>
      <c r="N25" s="270">
        <f t="shared" si="1"/>
        <v>0</v>
      </c>
    </row>
    <row r="26" spans="1:14" ht="13.5" thickBot="1" x14ac:dyDescent="0.25">
      <c r="A26" s="1253" t="s">
        <v>458</v>
      </c>
      <c r="B26" s="1252"/>
      <c r="C26" s="272">
        <f>SUM(C12:C25)</f>
        <v>0</v>
      </c>
      <c r="D26" s="272">
        <f t="shared" ref="D26:M26" si="2">SUM(D12:D25)</f>
        <v>0</v>
      </c>
      <c r="E26" s="272">
        <f t="shared" si="2"/>
        <v>0</v>
      </c>
      <c r="F26" s="272">
        <f>SUM(F12:F25)</f>
        <v>0</v>
      </c>
      <c r="G26" s="272">
        <f>SUM(G12:G25)</f>
        <v>0</v>
      </c>
      <c r="H26" s="272">
        <f>SUM(H12:H25)</f>
        <v>0</v>
      </c>
      <c r="I26" s="272">
        <f>SUM(I12:I25)</f>
        <v>0</v>
      </c>
      <c r="J26" s="272">
        <f t="shared" si="2"/>
        <v>0</v>
      </c>
      <c r="K26" s="272">
        <f t="shared" si="2"/>
        <v>0</v>
      </c>
      <c r="L26" s="272">
        <f t="shared" si="2"/>
        <v>0</v>
      </c>
      <c r="M26" s="272">
        <f t="shared" si="2"/>
        <v>0</v>
      </c>
      <c r="N26" s="268">
        <f>SUM(C26:M26)</f>
        <v>0</v>
      </c>
    </row>
    <row r="27" spans="1:14" ht="13.5" thickBot="1" x14ac:dyDescent="0.25">
      <c r="A27" s="247"/>
      <c r="B27" s="248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</row>
    <row r="28" spans="1:14" ht="13.5" thickBot="1" x14ac:dyDescent="0.25">
      <c r="A28" s="1247" t="s">
        <v>460</v>
      </c>
      <c r="B28" s="1248"/>
      <c r="C28" s="274">
        <f t="shared" ref="C28:M28" si="3">+C9-C26</f>
        <v>0</v>
      </c>
      <c r="D28" s="274">
        <f t="shared" si="3"/>
        <v>0</v>
      </c>
      <c r="E28" s="274">
        <f t="shared" si="3"/>
        <v>0</v>
      </c>
      <c r="F28" s="274">
        <f>+F9-F26</f>
        <v>0</v>
      </c>
      <c r="G28" s="274">
        <f>+G9-G26</f>
        <v>0</v>
      </c>
      <c r="H28" s="274">
        <f>+H9-H26</f>
        <v>0</v>
      </c>
      <c r="I28" s="274">
        <f>+I9-I26</f>
        <v>0</v>
      </c>
      <c r="J28" s="274">
        <f t="shared" si="3"/>
        <v>0</v>
      </c>
      <c r="K28" s="274">
        <f t="shared" si="3"/>
        <v>0</v>
      </c>
      <c r="L28" s="274">
        <f t="shared" si="3"/>
        <v>0</v>
      </c>
      <c r="M28" s="274">
        <f t="shared" si="3"/>
        <v>0</v>
      </c>
      <c r="N28" s="275">
        <f>SUM(C28:M28)</f>
        <v>0</v>
      </c>
    </row>
    <row r="29" spans="1:14" x14ac:dyDescent="0.2">
      <c r="A29" s="237"/>
      <c r="B29" s="237"/>
      <c r="C29" s="266"/>
      <c r="D29" s="266"/>
      <c r="E29" s="266"/>
      <c r="F29" s="266"/>
      <c r="G29" s="266"/>
      <c r="H29" s="266"/>
      <c r="I29" s="266"/>
      <c r="J29" s="266"/>
      <c r="K29" s="266"/>
      <c r="L29" s="266"/>
      <c r="M29" s="266"/>
      <c r="N29" s="266"/>
    </row>
    <row r="30" spans="1:14" x14ac:dyDescent="0.2">
      <c r="A30" s="251" t="s">
        <v>482</v>
      </c>
      <c r="B30" s="252"/>
      <c r="C30" s="276"/>
      <c r="D30" s="276"/>
      <c r="E30" s="276"/>
      <c r="F30" s="276"/>
      <c r="G30" s="276"/>
      <c r="H30" s="276"/>
      <c r="I30" s="276"/>
      <c r="J30" s="276"/>
      <c r="K30" s="276"/>
      <c r="L30" s="276"/>
      <c r="M30" s="276"/>
      <c r="N30" s="266"/>
    </row>
    <row r="31" spans="1:14" x14ac:dyDescent="0.2">
      <c r="A31" s="237"/>
      <c r="B31" s="237"/>
      <c r="C31" s="266"/>
      <c r="D31" s="266"/>
      <c r="E31" s="266"/>
      <c r="F31" s="266"/>
      <c r="G31" s="266"/>
      <c r="H31" s="266"/>
      <c r="I31" s="266"/>
      <c r="J31" s="266"/>
      <c r="K31" s="266"/>
      <c r="L31" s="266"/>
      <c r="M31" s="266"/>
      <c r="N31" s="266"/>
    </row>
    <row r="32" spans="1:14" s="237" customFormat="1" x14ac:dyDescent="0.2">
      <c r="C32" s="266"/>
      <c r="D32" s="266"/>
      <c r="E32" s="266"/>
      <c r="F32" s="266"/>
      <c r="G32" s="266"/>
      <c r="H32" s="266"/>
      <c r="I32" s="266"/>
      <c r="J32" s="266"/>
      <c r="K32" s="266"/>
      <c r="L32" s="266"/>
      <c r="M32" s="266"/>
      <c r="N32" s="266"/>
    </row>
    <row r="33" spans="3:14" s="237" customFormat="1" x14ac:dyDescent="0.2">
      <c r="C33" s="266"/>
      <c r="D33" s="266"/>
      <c r="E33" s="266"/>
      <c r="F33" s="266"/>
      <c r="G33" s="266"/>
      <c r="H33" s="266"/>
      <c r="I33" s="266"/>
      <c r="J33" s="266"/>
      <c r="K33" s="266"/>
      <c r="L33" s="266"/>
      <c r="M33" s="266"/>
      <c r="N33" s="266"/>
    </row>
    <row r="34" spans="3:14" s="237" customFormat="1" x14ac:dyDescent="0.2">
      <c r="C34" s="266"/>
      <c r="D34" s="266"/>
      <c r="E34" s="266"/>
      <c r="F34" s="266"/>
      <c r="G34" s="266"/>
      <c r="H34" s="266"/>
      <c r="I34" s="266"/>
      <c r="J34" s="266"/>
      <c r="K34" s="266"/>
      <c r="L34" s="266"/>
      <c r="M34" s="266"/>
      <c r="N34" s="266"/>
    </row>
    <row r="35" spans="3:14" s="237" customFormat="1" x14ac:dyDescent="0.2">
      <c r="C35" s="266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</row>
    <row r="36" spans="3:14" s="237" customFormat="1" x14ac:dyDescent="0.2"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</row>
    <row r="37" spans="3:14" s="237" customFormat="1" x14ac:dyDescent="0.2">
      <c r="C37" s="266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</row>
    <row r="38" spans="3:14" s="237" customFormat="1" x14ac:dyDescent="0.2">
      <c r="C38" s="266"/>
      <c r="D38" s="266"/>
      <c r="E38" s="266"/>
      <c r="F38" s="266"/>
      <c r="G38" s="266"/>
      <c r="H38" s="266"/>
      <c r="I38" s="266"/>
      <c r="J38" s="266"/>
      <c r="K38" s="266"/>
      <c r="L38" s="266"/>
      <c r="M38" s="266"/>
      <c r="N38" s="266"/>
    </row>
    <row r="39" spans="3:14" s="237" customFormat="1" x14ac:dyDescent="0.2"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</row>
    <row r="40" spans="3:14" s="237" customFormat="1" x14ac:dyDescent="0.2">
      <c r="C40" s="266"/>
      <c r="D40" s="266"/>
      <c r="E40" s="266"/>
      <c r="F40" s="266"/>
      <c r="G40" s="266"/>
      <c r="H40" s="266"/>
      <c r="I40" s="266"/>
      <c r="J40" s="266"/>
      <c r="K40" s="266"/>
      <c r="L40" s="266"/>
      <c r="M40" s="266"/>
      <c r="N40" s="266"/>
    </row>
    <row r="41" spans="3:14" s="237" customFormat="1" x14ac:dyDescent="0.2">
      <c r="C41" s="266"/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</row>
    <row r="42" spans="3:14" s="237" customFormat="1" x14ac:dyDescent="0.2">
      <c r="C42" s="266"/>
      <c r="D42" s="266"/>
      <c r="E42" s="266"/>
      <c r="F42" s="266"/>
      <c r="G42" s="266"/>
      <c r="H42" s="266"/>
      <c r="I42" s="266"/>
      <c r="J42" s="266"/>
      <c r="K42" s="266"/>
      <c r="L42" s="266"/>
      <c r="M42" s="266"/>
      <c r="N42" s="266"/>
    </row>
    <row r="43" spans="3:14" s="237" customFormat="1" x14ac:dyDescent="0.2"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6"/>
      <c r="N43" s="266"/>
    </row>
    <row r="44" spans="3:14" s="237" customFormat="1" x14ac:dyDescent="0.2">
      <c r="C44" s="266"/>
      <c r="D44" s="266"/>
      <c r="E44" s="266"/>
      <c r="F44" s="266"/>
      <c r="G44" s="266"/>
      <c r="H44" s="266"/>
      <c r="I44" s="266"/>
      <c r="J44" s="266"/>
      <c r="K44" s="266"/>
      <c r="L44" s="266"/>
      <c r="M44" s="266"/>
      <c r="N44" s="266"/>
    </row>
    <row r="45" spans="3:14" s="237" customFormat="1" x14ac:dyDescent="0.2">
      <c r="C45" s="266"/>
      <c r="D45" s="266"/>
      <c r="E45" s="266"/>
      <c r="F45" s="266"/>
      <c r="G45" s="266"/>
      <c r="H45" s="266"/>
      <c r="I45" s="266"/>
      <c r="J45" s="266"/>
      <c r="K45" s="266"/>
      <c r="L45" s="266"/>
      <c r="M45" s="266"/>
      <c r="N45" s="266"/>
    </row>
    <row r="46" spans="3:14" s="237" customFormat="1" x14ac:dyDescent="0.2">
      <c r="C46" s="266"/>
      <c r="D46" s="266"/>
      <c r="E46" s="266"/>
      <c r="F46" s="266"/>
      <c r="G46" s="266"/>
      <c r="H46" s="266"/>
      <c r="I46" s="266"/>
      <c r="J46" s="266"/>
      <c r="K46" s="266"/>
      <c r="L46" s="266"/>
      <c r="M46" s="266"/>
      <c r="N46" s="266"/>
    </row>
    <row r="47" spans="3:14" s="237" customFormat="1" x14ac:dyDescent="0.2">
      <c r="C47" s="266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</row>
    <row r="48" spans="3:14" s="237" customFormat="1" x14ac:dyDescent="0.2">
      <c r="C48" s="266"/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</row>
    <row r="49" spans="3:14" s="237" customFormat="1" x14ac:dyDescent="0.2">
      <c r="C49" s="266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</row>
    <row r="50" spans="3:14" s="237" customFormat="1" x14ac:dyDescent="0.2"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</row>
    <row r="51" spans="3:14" s="237" customFormat="1" x14ac:dyDescent="0.2"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</row>
    <row r="52" spans="3:14" s="237" customFormat="1" x14ac:dyDescent="0.2"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</row>
    <row r="53" spans="3:14" s="237" customFormat="1" x14ac:dyDescent="0.2">
      <c r="C53" s="266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</row>
    <row r="54" spans="3:14" s="237" customFormat="1" x14ac:dyDescent="0.2">
      <c r="C54" s="266"/>
      <c r="D54" s="266"/>
      <c r="E54" s="266"/>
      <c r="F54" s="266"/>
      <c r="G54" s="266"/>
      <c r="H54" s="266"/>
      <c r="I54" s="266"/>
      <c r="J54" s="266"/>
      <c r="K54" s="266"/>
      <c r="L54" s="266"/>
      <c r="M54" s="266"/>
      <c r="N54" s="266"/>
    </row>
    <row r="55" spans="3:14" s="237" customFormat="1" x14ac:dyDescent="0.2">
      <c r="C55" s="266"/>
      <c r="D55" s="266"/>
      <c r="E55" s="266"/>
      <c r="F55" s="266"/>
      <c r="G55" s="266"/>
      <c r="H55" s="266"/>
      <c r="I55" s="266"/>
      <c r="J55" s="266"/>
      <c r="K55" s="266"/>
      <c r="L55" s="266"/>
      <c r="M55" s="266"/>
      <c r="N55" s="266"/>
    </row>
    <row r="56" spans="3:14" s="237" customFormat="1" x14ac:dyDescent="0.2">
      <c r="C56" s="266"/>
      <c r="D56" s="266"/>
      <c r="E56" s="266"/>
      <c r="F56" s="266"/>
      <c r="G56" s="266"/>
      <c r="H56" s="266"/>
      <c r="I56" s="266"/>
      <c r="J56" s="266"/>
      <c r="K56" s="266"/>
      <c r="L56" s="266"/>
      <c r="M56" s="266"/>
      <c r="N56" s="266"/>
    </row>
    <row r="57" spans="3:14" s="237" customFormat="1" x14ac:dyDescent="0.2"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</row>
    <row r="58" spans="3:14" s="237" customFormat="1" x14ac:dyDescent="0.2">
      <c r="C58" s="266"/>
      <c r="D58" s="266"/>
      <c r="E58" s="266"/>
      <c r="F58" s="266"/>
      <c r="G58" s="266"/>
      <c r="H58" s="266"/>
      <c r="I58" s="266"/>
      <c r="J58" s="266"/>
      <c r="K58" s="266"/>
      <c r="L58" s="266"/>
      <c r="M58" s="266"/>
      <c r="N58" s="266"/>
    </row>
    <row r="59" spans="3:14" s="237" customFormat="1" x14ac:dyDescent="0.2">
      <c r="C59" s="266"/>
      <c r="D59" s="266"/>
      <c r="E59" s="266"/>
      <c r="F59" s="266"/>
      <c r="G59" s="266"/>
      <c r="H59" s="266"/>
      <c r="I59" s="266"/>
      <c r="J59" s="266"/>
      <c r="K59" s="266"/>
      <c r="L59" s="266"/>
      <c r="M59" s="266"/>
      <c r="N59" s="266"/>
    </row>
    <row r="60" spans="3:14" s="237" customFormat="1" x14ac:dyDescent="0.2">
      <c r="C60" s="266"/>
      <c r="D60" s="266"/>
      <c r="E60" s="266"/>
      <c r="F60" s="266"/>
      <c r="G60" s="266"/>
      <c r="H60" s="266"/>
      <c r="I60" s="266"/>
      <c r="J60" s="266"/>
      <c r="K60" s="266"/>
      <c r="L60" s="266"/>
      <c r="M60" s="266"/>
      <c r="N60" s="266"/>
    </row>
    <row r="61" spans="3:14" s="237" customFormat="1" x14ac:dyDescent="0.2">
      <c r="C61" s="266"/>
      <c r="D61" s="266"/>
      <c r="E61" s="266"/>
      <c r="F61" s="266"/>
      <c r="G61" s="266"/>
      <c r="H61" s="266"/>
      <c r="I61" s="266"/>
      <c r="J61" s="266"/>
      <c r="K61" s="266"/>
      <c r="L61" s="266"/>
      <c r="M61" s="266"/>
      <c r="N61" s="266"/>
    </row>
    <row r="62" spans="3:14" s="237" customFormat="1" x14ac:dyDescent="0.2"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6"/>
      <c r="N62" s="266"/>
    </row>
    <row r="63" spans="3:14" s="237" customFormat="1" x14ac:dyDescent="0.2">
      <c r="C63" s="266"/>
      <c r="D63" s="266"/>
      <c r="E63" s="266"/>
      <c r="F63" s="266"/>
      <c r="G63" s="266"/>
      <c r="H63" s="266"/>
      <c r="I63" s="266"/>
      <c r="J63" s="266"/>
      <c r="K63" s="266"/>
      <c r="L63" s="266"/>
      <c r="M63" s="266"/>
      <c r="N63" s="266"/>
    </row>
    <row r="64" spans="3:14" s="237" customFormat="1" x14ac:dyDescent="0.2">
      <c r="C64" s="266"/>
      <c r="D64" s="266"/>
      <c r="E64" s="266"/>
      <c r="F64" s="266"/>
      <c r="G64" s="266"/>
      <c r="H64" s="266"/>
      <c r="I64" s="266"/>
      <c r="J64" s="266"/>
      <c r="K64" s="266"/>
      <c r="L64" s="266"/>
      <c r="M64" s="266"/>
      <c r="N64" s="266"/>
    </row>
    <row r="65" spans="3:14" s="237" customFormat="1" x14ac:dyDescent="0.2">
      <c r="C65" s="266"/>
      <c r="D65" s="266"/>
      <c r="E65" s="266"/>
      <c r="F65" s="266"/>
      <c r="G65" s="266"/>
      <c r="H65" s="266"/>
      <c r="I65" s="266"/>
      <c r="J65" s="266"/>
      <c r="K65" s="266"/>
      <c r="L65" s="266"/>
      <c r="M65" s="266"/>
      <c r="N65" s="266"/>
    </row>
    <row r="66" spans="3:14" s="237" customFormat="1" x14ac:dyDescent="0.2"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6"/>
      <c r="N66" s="266"/>
    </row>
    <row r="67" spans="3:14" s="237" customFormat="1" x14ac:dyDescent="0.2">
      <c r="C67" s="266"/>
      <c r="D67" s="266"/>
      <c r="E67" s="266"/>
      <c r="F67" s="266"/>
      <c r="G67" s="266"/>
      <c r="H67" s="266"/>
      <c r="I67" s="266"/>
      <c r="J67" s="266"/>
      <c r="K67" s="266"/>
      <c r="L67" s="266"/>
      <c r="M67" s="266"/>
      <c r="N67" s="266"/>
    </row>
    <row r="68" spans="3:14" s="237" customFormat="1" x14ac:dyDescent="0.2">
      <c r="C68" s="266"/>
      <c r="D68" s="266"/>
      <c r="E68" s="266"/>
      <c r="F68" s="266"/>
      <c r="G68" s="266"/>
      <c r="H68" s="266"/>
      <c r="I68" s="266"/>
      <c r="J68" s="266"/>
      <c r="K68" s="266"/>
      <c r="L68" s="266"/>
      <c r="M68" s="266"/>
      <c r="N68" s="266"/>
    </row>
    <row r="69" spans="3:14" s="237" customFormat="1" x14ac:dyDescent="0.2">
      <c r="C69" s="266"/>
      <c r="D69" s="266"/>
      <c r="E69" s="266"/>
      <c r="F69" s="266"/>
      <c r="G69" s="266"/>
      <c r="H69" s="266"/>
      <c r="I69" s="266"/>
      <c r="J69" s="266"/>
      <c r="K69" s="266"/>
      <c r="L69" s="266"/>
      <c r="M69" s="266"/>
      <c r="N69" s="266"/>
    </row>
    <row r="70" spans="3:14" s="237" customFormat="1" x14ac:dyDescent="0.2">
      <c r="C70" s="266"/>
      <c r="D70" s="266"/>
      <c r="E70" s="266"/>
      <c r="F70" s="266"/>
      <c r="G70" s="266"/>
      <c r="H70" s="266"/>
      <c r="I70" s="266"/>
      <c r="J70" s="266"/>
      <c r="K70" s="266"/>
      <c r="L70" s="266"/>
      <c r="M70" s="266"/>
      <c r="N70" s="266"/>
    </row>
    <row r="71" spans="3:14" s="237" customFormat="1" x14ac:dyDescent="0.2">
      <c r="C71" s="266"/>
      <c r="D71" s="266"/>
      <c r="E71" s="266"/>
      <c r="F71" s="266"/>
      <c r="G71" s="266"/>
      <c r="H71" s="266"/>
      <c r="I71" s="266"/>
      <c r="J71" s="266"/>
      <c r="K71" s="266"/>
      <c r="L71" s="266"/>
      <c r="M71" s="266"/>
      <c r="N71" s="266"/>
    </row>
    <row r="72" spans="3:14" s="237" customFormat="1" x14ac:dyDescent="0.2">
      <c r="C72" s="266"/>
      <c r="D72" s="266"/>
      <c r="E72" s="266"/>
      <c r="F72" s="266"/>
      <c r="G72" s="266"/>
      <c r="H72" s="266"/>
      <c r="I72" s="266"/>
      <c r="J72" s="266"/>
      <c r="K72" s="266"/>
      <c r="L72" s="266"/>
      <c r="M72" s="266"/>
      <c r="N72" s="266"/>
    </row>
    <row r="73" spans="3:14" s="237" customFormat="1" x14ac:dyDescent="0.2">
      <c r="C73" s="266"/>
      <c r="D73" s="266"/>
      <c r="E73" s="266"/>
      <c r="F73" s="266"/>
      <c r="G73" s="266"/>
      <c r="H73" s="266"/>
      <c r="I73" s="266"/>
      <c r="J73" s="266"/>
      <c r="K73" s="266"/>
      <c r="L73" s="266"/>
      <c r="M73" s="266"/>
      <c r="N73" s="266"/>
    </row>
    <row r="74" spans="3:14" s="237" customFormat="1" x14ac:dyDescent="0.2">
      <c r="C74" s="266"/>
      <c r="D74" s="266"/>
      <c r="E74" s="266"/>
      <c r="F74" s="266"/>
      <c r="G74" s="266"/>
      <c r="H74" s="266"/>
      <c r="I74" s="266"/>
      <c r="J74" s="266"/>
      <c r="K74" s="266"/>
      <c r="L74" s="266"/>
      <c r="M74" s="266"/>
      <c r="N74" s="266"/>
    </row>
    <row r="75" spans="3:14" s="237" customFormat="1" x14ac:dyDescent="0.2">
      <c r="C75" s="266"/>
      <c r="D75" s="266"/>
      <c r="E75" s="266"/>
      <c r="F75" s="266"/>
      <c r="G75" s="266"/>
      <c r="H75" s="266"/>
      <c r="I75" s="266"/>
      <c r="J75" s="266"/>
      <c r="K75" s="266"/>
      <c r="L75" s="266"/>
      <c r="M75" s="266"/>
      <c r="N75" s="266"/>
    </row>
    <row r="76" spans="3:14" s="237" customFormat="1" x14ac:dyDescent="0.2">
      <c r="C76" s="266"/>
      <c r="D76" s="266"/>
      <c r="E76" s="266"/>
      <c r="F76" s="266"/>
      <c r="G76" s="266"/>
      <c r="H76" s="266"/>
      <c r="I76" s="266"/>
      <c r="J76" s="266"/>
      <c r="K76" s="266"/>
      <c r="L76" s="266"/>
      <c r="M76" s="266"/>
      <c r="N76" s="266"/>
    </row>
    <row r="77" spans="3:14" s="237" customFormat="1" x14ac:dyDescent="0.2">
      <c r="C77" s="266"/>
      <c r="D77" s="266"/>
      <c r="E77" s="266"/>
      <c r="F77" s="266"/>
      <c r="G77" s="266"/>
      <c r="H77" s="266"/>
      <c r="I77" s="266"/>
      <c r="J77" s="266"/>
      <c r="K77" s="266"/>
      <c r="L77" s="266"/>
      <c r="M77" s="266"/>
      <c r="N77" s="266"/>
    </row>
    <row r="78" spans="3:14" s="237" customFormat="1" x14ac:dyDescent="0.2">
      <c r="C78" s="266"/>
      <c r="D78" s="266"/>
      <c r="E78" s="266"/>
      <c r="F78" s="266"/>
      <c r="G78" s="266"/>
      <c r="H78" s="266"/>
      <c r="I78" s="266"/>
      <c r="J78" s="266"/>
      <c r="K78" s="266"/>
      <c r="L78" s="266"/>
      <c r="M78" s="266"/>
      <c r="N78" s="266"/>
    </row>
    <row r="79" spans="3:14" s="237" customFormat="1" x14ac:dyDescent="0.2">
      <c r="C79" s="266"/>
      <c r="D79" s="266"/>
      <c r="E79" s="266"/>
      <c r="F79" s="266"/>
      <c r="G79" s="266"/>
      <c r="H79" s="266"/>
      <c r="I79" s="266"/>
      <c r="J79" s="266"/>
      <c r="K79" s="266"/>
      <c r="L79" s="266"/>
      <c r="M79" s="266"/>
      <c r="N79" s="266"/>
    </row>
    <row r="80" spans="3:14" s="237" customFormat="1" x14ac:dyDescent="0.2">
      <c r="C80" s="266"/>
      <c r="D80" s="266"/>
      <c r="E80" s="266"/>
      <c r="F80" s="266"/>
      <c r="G80" s="266"/>
      <c r="H80" s="266"/>
      <c r="I80" s="266"/>
      <c r="J80" s="266"/>
      <c r="K80" s="266"/>
      <c r="L80" s="266"/>
      <c r="M80" s="266"/>
      <c r="N80" s="266"/>
    </row>
    <row r="81" spans="3:14" s="237" customFormat="1" x14ac:dyDescent="0.2">
      <c r="C81" s="266"/>
      <c r="D81" s="266"/>
      <c r="E81" s="266"/>
      <c r="F81" s="266"/>
      <c r="G81" s="266"/>
      <c r="H81" s="266"/>
      <c r="I81" s="266"/>
      <c r="J81" s="266"/>
      <c r="K81" s="266"/>
      <c r="L81" s="266"/>
      <c r="M81" s="266"/>
      <c r="N81" s="266"/>
    </row>
    <row r="82" spans="3:14" s="237" customFormat="1" x14ac:dyDescent="0.2">
      <c r="C82" s="266"/>
      <c r="D82" s="266"/>
      <c r="E82" s="266"/>
      <c r="F82" s="266"/>
      <c r="G82" s="266"/>
      <c r="H82" s="266"/>
      <c r="I82" s="266"/>
      <c r="J82" s="266"/>
      <c r="K82" s="266"/>
      <c r="L82" s="266"/>
      <c r="M82" s="266"/>
      <c r="N82" s="266"/>
    </row>
    <row r="83" spans="3:14" s="237" customFormat="1" x14ac:dyDescent="0.2">
      <c r="C83" s="266"/>
      <c r="D83" s="266"/>
      <c r="E83" s="266"/>
      <c r="F83" s="266"/>
      <c r="G83" s="266"/>
      <c r="H83" s="266"/>
      <c r="I83" s="266"/>
      <c r="J83" s="266"/>
      <c r="K83" s="266"/>
      <c r="L83" s="266"/>
      <c r="M83" s="266"/>
      <c r="N83" s="266"/>
    </row>
    <row r="84" spans="3:14" s="237" customFormat="1" x14ac:dyDescent="0.2">
      <c r="C84" s="266"/>
      <c r="D84" s="266"/>
      <c r="E84" s="266"/>
      <c r="F84" s="266"/>
      <c r="G84" s="266"/>
      <c r="H84" s="266"/>
      <c r="I84" s="266"/>
      <c r="J84" s="266"/>
      <c r="K84" s="266"/>
      <c r="L84" s="266"/>
      <c r="M84" s="266"/>
      <c r="N84" s="266"/>
    </row>
    <row r="85" spans="3:14" s="237" customFormat="1" x14ac:dyDescent="0.2">
      <c r="C85" s="266"/>
      <c r="D85" s="266"/>
      <c r="E85" s="266"/>
      <c r="F85" s="266"/>
      <c r="G85" s="266"/>
      <c r="H85" s="266"/>
      <c r="I85" s="266"/>
      <c r="J85" s="266"/>
      <c r="K85" s="266"/>
      <c r="L85" s="266"/>
      <c r="M85" s="266"/>
      <c r="N85" s="266"/>
    </row>
    <row r="86" spans="3:14" s="237" customFormat="1" x14ac:dyDescent="0.2">
      <c r="C86" s="266"/>
      <c r="D86" s="266"/>
      <c r="E86" s="266"/>
      <c r="F86" s="266"/>
      <c r="G86" s="266"/>
      <c r="H86" s="266"/>
      <c r="I86" s="266"/>
      <c r="J86" s="266"/>
      <c r="K86" s="266"/>
      <c r="L86" s="266"/>
      <c r="M86" s="266"/>
      <c r="N86" s="266"/>
    </row>
    <row r="87" spans="3:14" s="237" customFormat="1" x14ac:dyDescent="0.2">
      <c r="C87" s="266"/>
      <c r="D87" s="266"/>
      <c r="E87" s="266"/>
      <c r="F87" s="266"/>
      <c r="G87" s="266"/>
      <c r="H87" s="266"/>
      <c r="I87" s="266"/>
      <c r="J87" s="266"/>
      <c r="K87" s="266"/>
      <c r="L87" s="266"/>
      <c r="M87" s="266"/>
      <c r="N87" s="266"/>
    </row>
    <row r="88" spans="3:14" s="237" customFormat="1" x14ac:dyDescent="0.2">
      <c r="C88" s="266"/>
      <c r="D88" s="266"/>
      <c r="E88" s="266"/>
      <c r="F88" s="266"/>
      <c r="G88" s="266"/>
      <c r="H88" s="266"/>
      <c r="I88" s="266"/>
      <c r="J88" s="266"/>
      <c r="K88" s="266"/>
      <c r="L88" s="266"/>
      <c r="M88" s="266"/>
      <c r="N88" s="266"/>
    </row>
    <row r="89" spans="3:14" s="237" customFormat="1" x14ac:dyDescent="0.2">
      <c r="C89" s="266"/>
      <c r="D89" s="266"/>
      <c r="E89" s="266"/>
      <c r="F89" s="266"/>
      <c r="G89" s="266"/>
      <c r="H89" s="266"/>
      <c r="I89" s="266"/>
      <c r="J89" s="266"/>
      <c r="K89" s="266"/>
      <c r="L89" s="266"/>
      <c r="M89" s="266"/>
      <c r="N89" s="266"/>
    </row>
    <row r="90" spans="3:14" s="237" customFormat="1" x14ac:dyDescent="0.2">
      <c r="C90" s="266"/>
      <c r="D90" s="266"/>
      <c r="E90" s="266"/>
      <c r="F90" s="266"/>
      <c r="G90" s="266"/>
      <c r="H90" s="266"/>
      <c r="I90" s="266"/>
      <c r="J90" s="266"/>
      <c r="K90" s="266"/>
      <c r="L90" s="266"/>
      <c r="M90" s="266"/>
      <c r="N90" s="266"/>
    </row>
    <row r="91" spans="3:14" s="237" customFormat="1" x14ac:dyDescent="0.2">
      <c r="C91" s="266"/>
      <c r="D91" s="266"/>
      <c r="E91" s="266"/>
      <c r="F91" s="266"/>
      <c r="G91" s="266"/>
      <c r="H91" s="266"/>
      <c r="I91" s="266"/>
      <c r="J91" s="266"/>
      <c r="K91" s="266"/>
      <c r="L91" s="266"/>
      <c r="M91" s="266"/>
      <c r="N91" s="266"/>
    </row>
    <row r="92" spans="3:14" s="237" customFormat="1" x14ac:dyDescent="0.2">
      <c r="C92" s="266"/>
      <c r="D92" s="266"/>
      <c r="E92" s="266"/>
      <c r="F92" s="266"/>
      <c r="G92" s="266"/>
      <c r="H92" s="266"/>
      <c r="I92" s="266"/>
      <c r="J92" s="266"/>
      <c r="K92" s="266"/>
      <c r="L92" s="266"/>
      <c r="M92" s="266"/>
      <c r="N92" s="266"/>
    </row>
    <row r="93" spans="3:14" s="237" customFormat="1" x14ac:dyDescent="0.2">
      <c r="C93" s="266"/>
      <c r="D93" s="266"/>
      <c r="E93" s="266"/>
      <c r="F93" s="266"/>
      <c r="G93" s="266"/>
      <c r="H93" s="266"/>
      <c r="I93" s="266"/>
      <c r="J93" s="266"/>
      <c r="K93" s="266"/>
      <c r="L93" s="266"/>
      <c r="M93" s="266"/>
      <c r="N93" s="266"/>
    </row>
    <row r="94" spans="3:14" s="237" customFormat="1" x14ac:dyDescent="0.2">
      <c r="C94" s="266"/>
      <c r="D94" s="266"/>
      <c r="E94" s="266"/>
      <c r="F94" s="266"/>
      <c r="G94" s="266"/>
      <c r="H94" s="266"/>
      <c r="I94" s="266"/>
      <c r="J94" s="266"/>
      <c r="K94" s="266"/>
      <c r="L94" s="266"/>
      <c r="M94" s="266"/>
      <c r="N94" s="266"/>
    </row>
    <row r="95" spans="3:14" s="237" customFormat="1" x14ac:dyDescent="0.2">
      <c r="C95" s="266"/>
      <c r="D95" s="266"/>
      <c r="E95" s="266"/>
      <c r="F95" s="266"/>
      <c r="G95" s="266"/>
      <c r="H95" s="266"/>
      <c r="I95" s="266"/>
      <c r="J95" s="266"/>
      <c r="K95" s="266"/>
      <c r="L95" s="266"/>
      <c r="M95" s="266"/>
      <c r="N95" s="266"/>
    </row>
    <row r="96" spans="3:14" s="237" customFormat="1" x14ac:dyDescent="0.2">
      <c r="C96" s="266"/>
      <c r="D96" s="266"/>
      <c r="E96" s="266"/>
      <c r="F96" s="266"/>
      <c r="G96" s="266"/>
      <c r="H96" s="266"/>
      <c r="I96" s="266"/>
      <c r="J96" s="266"/>
      <c r="K96" s="266"/>
      <c r="L96" s="266"/>
      <c r="M96" s="266"/>
      <c r="N96" s="266"/>
    </row>
    <row r="97" spans="3:14" s="237" customFormat="1" x14ac:dyDescent="0.2">
      <c r="C97" s="266"/>
      <c r="D97" s="266"/>
      <c r="E97" s="266"/>
      <c r="F97" s="266"/>
      <c r="G97" s="266"/>
      <c r="H97" s="266"/>
      <c r="I97" s="266"/>
      <c r="J97" s="266"/>
      <c r="K97" s="266"/>
      <c r="L97" s="266"/>
      <c r="M97" s="266"/>
      <c r="N97" s="266"/>
    </row>
    <row r="98" spans="3:14" s="237" customFormat="1" x14ac:dyDescent="0.2">
      <c r="C98" s="266"/>
      <c r="D98" s="266"/>
      <c r="E98" s="266"/>
      <c r="F98" s="266"/>
      <c r="G98" s="266"/>
      <c r="H98" s="266"/>
      <c r="I98" s="266"/>
      <c r="J98" s="266"/>
      <c r="K98" s="266"/>
      <c r="L98" s="266"/>
      <c r="M98" s="266"/>
      <c r="N98" s="266"/>
    </row>
    <row r="99" spans="3:14" s="237" customFormat="1" x14ac:dyDescent="0.2">
      <c r="C99" s="266"/>
      <c r="D99" s="266"/>
      <c r="E99" s="266"/>
      <c r="F99" s="266"/>
      <c r="G99" s="266"/>
      <c r="H99" s="266"/>
      <c r="I99" s="266"/>
      <c r="J99" s="266"/>
      <c r="K99" s="266"/>
      <c r="L99" s="266"/>
      <c r="M99" s="266"/>
      <c r="N99" s="266"/>
    </row>
    <row r="100" spans="3:14" s="237" customFormat="1" x14ac:dyDescent="0.2">
      <c r="C100" s="266"/>
      <c r="D100" s="266"/>
      <c r="E100" s="266"/>
      <c r="F100" s="266"/>
      <c r="G100" s="266"/>
      <c r="H100" s="266"/>
      <c r="I100" s="266"/>
      <c r="J100" s="266"/>
      <c r="K100" s="266"/>
      <c r="L100" s="266"/>
      <c r="M100" s="266"/>
      <c r="N100" s="266"/>
    </row>
    <row r="101" spans="3:14" s="237" customFormat="1" x14ac:dyDescent="0.2">
      <c r="C101" s="266"/>
      <c r="D101" s="266"/>
      <c r="E101" s="266"/>
      <c r="F101" s="266"/>
      <c r="G101" s="266"/>
      <c r="H101" s="266"/>
      <c r="I101" s="266"/>
      <c r="J101" s="266"/>
      <c r="K101" s="266"/>
      <c r="L101" s="266"/>
      <c r="M101" s="266"/>
      <c r="N101" s="266"/>
    </row>
    <row r="102" spans="3:14" s="237" customFormat="1" x14ac:dyDescent="0.2">
      <c r="C102" s="266"/>
      <c r="D102" s="266"/>
      <c r="E102" s="266"/>
      <c r="F102" s="266"/>
      <c r="G102" s="266"/>
      <c r="H102" s="266"/>
      <c r="I102" s="266"/>
      <c r="J102" s="266"/>
      <c r="K102" s="266"/>
      <c r="L102" s="266"/>
      <c r="M102" s="266"/>
      <c r="N102" s="266"/>
    </row>
    <row r="103" spans="3:14" s="237" customFormat="1" x14ac:dyDescent="0.2">
      <c r="C103" s="266"/>
      <c r="D103" s="266"/>
      <c r="E103" s="266"/>
      <c r="F103" s="266"/>
      <c r="G103" s="266"/>
      <c r="H103" s="266"/>
      <c r="I103" s="266"/>
      <c r="J103" s="266"/>
      <c r="K103" s="266"/>
      <c r="L103" s="266"/>
      <c r="M103" s="266"/>
      <c r="N103" s="266"/>
    </row>
    <row r="104" spans="3:14" s="237" customFormat="1" x14ac:dyDescent="0.2">
      <c r="C104" s="266"/>
      <c r="D104" s="266"/>
      <c r="E104" s="266"/>
      <c r="F104" s="266"/>
      <c r="G104" s="266"/>
      <c r="H104" s="266"/>
      <c r="I104" s="266"/>
      <c r="J104" s="266"/>
      <c r="K104" s="266"/>
      <c r="L104" s="266"/>
      <c r="M104" s="266"/>
      <c r="N104" s="266"/>
    </row>
    <row r="105" spans="3:14" s="237" customFormat="1" x14ac:dyDescent="0.2">
      <c r="C105" s="266"/>
      <c r="D105" s="266"/>
      <c r="E105" s="266"/>
      <c r="F105" s="266"/>
      <c r="G105" s="266"/>
      <c r="H105" s="266"/>
      <c r="I105" s="266"/>
      <c r="J105" s="266"/>
      <c r="K105" s="266"/>
      <c r="L105" s="266"/>
      <c r="M105" s="266"/>
      <c r="N105" s="266"/>
    </row>
    <row r="106" spans="3:14" s="237" customFormat="1" x14ac:dyDescent="0.2">
      <c r="C106" s="266"/>
      <c r="D106" s="266"/>
      <c r="E106" s="266"/>
      <c r="F106" s="266"/>
      <c r="G106" s="266"/>
      <c r="H106" s="266"/>
      <c r="I106" s="266"/>
      <c r="J106" s="266"/>
      <c r="K106" s="266"/>
      <c r="L106" s="266"/>
      <c r="M106" s="266"/>
      <c r="N106" s="266"/>
    </row>
    <row r="107" spans="3:14" s="237" customFormat="1" x14ac:dyDescent="0.2">
      <c r="C107" s="266"/>
      <c r="D107" s="266"/>
      <c r="E107" s="266"/>
      <c r="F107" s="266"/>
      <c r="G107" s="266"/>
      <c r="H107" s="266"/>
      <c r="I107" s="266"/>
      <c r="J107" s="266"/>
      <c r="K107" s="266"/>
      <c r="L107" s="266"/>
      <c r="M107" s="266"/>
      <c r="N107" s="266"/>
    </row>
    <row r="108" spans="3:14" s="237" customFormat="1" x14ac:dyDescent="0.2">
      <c r="C108" s="266"/>
      <c r="D108" s="266"/>
      <c r="E108" s="266"/>
      <c r="F108" s="266"/>
      <c r="G108" s="266"/>
      <c r="H108" s="266"/>
      <c r="I108" s="266"/>
      <c r="J108" s="266"/>
      <c r="K108" s="266"/>
      <c r="L108" s="266"/>
      <c r="M108" s="266"/>
      <c r="N108" s="266"/>
    </row>
    <row r="109" spans="3:14" s="237" customFormat="1" x14ac:dyDescent="0.2">
      <c r="C109" s="266"/>
      <c r="D109" s="266"/>
      <c r="E109" s="266"/>
      <c r="F109" s="266"/>
      <c r="G109" s="266"/>
      <c r="H109" s="266"/>
      <c r="I109" s="266"/>
      <c r="J109" s="266"/>
      <c r="K109" s="266"/>
      <c r="L109" s="266"/>
      <c r="M109" s="266"/>
      <c r="N109" s="266"/>
    </row>
    <row r="110" spans="3:14" s="237" customFormat="1" x14ac:dyDescent="0.2">
      <c r="C110" s="266"/>
      <c r="D110" s="266"/>
      <c r="E110" s="266"/>
      <c r="F110" s="266"/>
      <c r="G110" s="266"/>
      <c r="H110" s="266"/>
      <c r="I110" s="266"/>
      <c r="J110" s="266"/>
      <c r="K110" s="266"/>
      <c r="L110" s="266"/>
      <c r="M110" s="266"/>
      <c r="N110" s="266"/>
    </row>
    <row r="111" spans="3:14" s="237" customFormat="1" x14ac:dyDescent="0.2">
      <c r="C111" s="266"/>
      <c r="D111" s="266"/>
      <c r="E111" s="266"/>
      <c r="F111" s="266"/>
      <c r="G111" s="266"/>
      <c r="H111" s="266"/>
      <c r="I111" s="266"/>
      <c r="J111" s="266"/>
      <c r="K111" s="266"/>
      <c r="L111" s="266"/>
      <c r="M111" s="266"/>
      <c r="N111" s="266"/>
    </row>
    <row r="112" spans="3:14" s="237" customFormat="1" x14ac:dyDescent="0.2">
      <c r="C112" s="266"/>
      <c r="D112" s="266"/>
      <c r="E112" s="266"/>
      <c r="F112" s="266"/>
      <c r="G112" s="266"/>
      <c r="H112" s="266"/>
      <c r="I112" s="266"/>
      <c r="J112" s="266"/>
      <c r="K112" s="266"/>
      <c r="L112" s="266"/>
      <c r="M112" s="266"/>
      <c r="N112" s="266"/>
    </row>
    <row r="113" spans="3:14" s="237" customFormat="1" x14ac:dyDescent="0.2">
      <c r="C113" s="266"/>
      <c r="D113" s="266"/>
      <c r="E113" s="266"/>
      <c r="F113" s="266"/>
      <c r="G113" s="266"/>
      <c r="H113" s="266"/>
      <c r="I113" s="266"/>
      <c r="J113" s="266"/>
      <c r="K113" s="266"/>
      <c r="L113" s="266"/>
      <c r="M113" s="266"/>
      <c r="N113" s="266"/>
    </row>
    <row r="114" spans="3:14" s="237" customFormat="1" x14ac:dyDescent="0.2">
      <c r="C114" s="266"/>
      <c r="D114" s="266"/>
      <c r="E114" s="266"/>
      <c r="F114" s="266"/>
      <c r="G114" s="266"/>
      <c r="H114" s="266"/>
      <c r="I114" s="266"/>
      <c r="J114" s="266"/>
      <c r="K114" s="266"/>
      <c r="L114" s="266"/>
      <c r="M114" s="266"/>
      <c r="N114" s="266"/>
    </row>
    <row r="115" spans="3:14" s="237" customFormat="1" x14ac:dyDescent="0.2">
      <c r="C115" s="266"/>
      <c r="D115" s="266"/>
      <c r="E115" s="266"/>
      <c r="F115" s="266"/>
      <c r="G115" s="266"/>
      <c r="H115" s="266"/>
      <c r="I115" s="266"/>
      <c r="J115" s="266"/>
      <c r="K115" s="266"/>
      <c r="L115" s="266"/>
      <c r="M115" s="266"/>
      <c r="N115" s="266"/>
    </row>
    <row r="116" spans="3:14" s="237" customFormat="1" x14ac:dyDescent="0.2">
      <c r="C116" s="266"/>
      <c r="D116" s="266"/>
      <c r="E116" s="266"/>
      <c r="F116" s="266"/>
      <c r="G116" s="266"/>
      <c r="H116" s="266"/>
      <c r="I116" s="266"/>
      <c r="J116" s="266"/>
      <c r="K116" s="266"/>
      <c r="L116" s="266"/>
      <c r="M116" s="266"/>
      <c r="N116" s="266"/>
    </row>
    <row r="117" spans="3:14" s="237" customFormat="1" x14ac:dyDescent="0.2">
      <c r="C117" s="266"/>
      <c r="D117" s="266"/>
      <c r="E117" s="266"/>
      <c r="F117" s="266"/>
      <c r="G117" s="266"/>
      <c r="H117" s="266"/>
      <c r="I117" s="266"/>
      <c r="J117" s="266"/>
      <c r="K117" s="266"/>
      <c r="L117" s="266"/>
      <c r="M117" s="266"/>
      <c r="N117" s="266"/>
    </row>
    <row r="118" spans="3:14" s="237" customFormat="1" x14ac:dyDescent="0.2">
      <c r="C118" s="266"/>
      <c r="D118" s="266"/>
      <c r="E118" s="266"/>
      <c r="F118" s="266"/>
      <c r="G118" s="266"/>
      <c r="H118" s="266"/>
      <c r="I118" s="266"/>
      <c r="J118" s="266"/>
      <c r="K118" s="266"/>
      <c r="L118" s="266"/>
      <c r="M118" s="266"/>
      <c r="N118" s="266"/>
    </row>
    <row r="119" spans="3:14" s="237" customFormat="1" x14ac:dyDescent="0.2">
      <c r="C119" s="266"/>
      <c r="D119" s="266"/>
      <c r="E119" s="266"/>
      <c r="F119" s="266"/>
      <c r="G119" s="266"/>
      <c r="H119" s="266"/>
      <c r="I119" s="266"/>
      <c r="J119" s="266"/>
      <c r="K119" s="266"/>
      <c r="L119" s="266"/>
      <c r="M119" s="266"/>
      <c r="N119" s="266"/>
    </row>
    <row r="120" spans="3:14" s="237" customFormat="1" x14ac:dyDescent="0.2">
      <c r="C120" s="266"/>
      <c r="D120" s="266"/>
      <c r="E120" s="266"/>
      <c r="F120" s="266"/>
      <c r="G120" s="266"/>
      <c r="H120" s="266"/>
      <c r="I120" s="266"/>
      <c r="J120" s="266"/>
      <c r="K120" s="266"/>
      <c r="L120" s="266"/>
      <c r="M120" s="266"/>
      <c r="N120" s="266"/>
    </row>
    <row r="121" spans="3:14" s="237" customFormat="1" x14ac:dyDescent="0.2">
      <c r="C121" s="266"/>
      <c r="D121" s="266"/>
      <c r="E121" s="266"/>
      <c r="F121" s="266"/>
      <c r="G121" s="266"/>
      <c r="H121" s="266"/>
      <c r="I121" s="266"/>
      <c r="J121" s="266"/>
      <c r="K121" s="266"/>
      <c r="L121" s="266"/>
      <c r="M121" s="266"/>
      <c r="N121" s="266"/>
    </row>
    <row r="122" spans="3:14" s="237" customFormat="1" x14ac:dyDescent="0.2">
      <c r="C122" s="266"/>
      <c r="D122" s="266"/>
      <c r="E122" s="266"/>
      <c r="F122" s="266"/>
      <c r="G122" s="266"/>
      <c r="H122" s="266"/>
      <c r="I122" s="266"/>
      <c r="J122" s="266"/>
      <c r="K122" s="266"/>
      <c r="L122" s="266"/>
      <c r="M122" s="266"/>
      <c r="N122" s="266"/>
    </row>
    <row r="123" spans="3:14" s="237" customFormat="1" x14ac:dyDescent="0.2">
      <c r="C123" s="266"/>
      <c r="D123" s="266"/>
      <c r="E123" s="266"/>
      <c r="F123" s="266"/>
      <c r="G123" s="266"/>
      <c r="H123" s="266"/>
      <c r="I123" s="266"/>
      <c r="J123" s="266"/>
      <c r="K123" s="266"/>
      <c r="L123" s="266"/>
      <c r="M123" s="266"/>
      <c r="N123" s="266"/>
    </row>
    <row r="124" spans="3:14" s="237" customFormat="1" x14ac:dyDescent="0.2">
      <c r="C124" s="266"/>
      <c r="D124" s="266"/>
      <c r="E124" s="266"/>
      <c r="F124" s="266"/>
      <c r="G124" s="266"/>
      <c r="H124" s="266"/>
      <c r="I124" s="266"/>
      <c r="J124" s="266"/>
      <c r="K124" s="266"/>
      <c r="L124" s="266"/>
      <c r="M124" s="266"/>
      <c r="N124" s="266"/>
    </row>
    <row r="125" spans="3:14" s="237" customFormat="1" x14ac:dyDescent="0.2">
      <c r="C125" s="266"/>
      <c r="D125" s="266"/>
      <c r="E125" s="266"/>
      <c r="F125" s="266"/>
      <c r="G125" s="266"/>
      <c r="H125" s="266"/>
      <c r="I125" s="266"/>
      <c r="J125" s="266"/>
      <c r="K125" s="266"/>
      <c r="L125" s="266"/>
      <c r="M125" s="266"/>
      <c r="N125" s="266"/>
    </row>
    <row r="126" spans="3:14" s="237" customFormat="1" x14ac:dyDescent="0.2">
      <c r="C126" s="266"/>
      <c r="D126" s="266"/>
      <c r="E126" s="266"/>
      <c r="F126" s="266"/>
      <c r="G126" s="266"/>
      <c r="H126" s="266"/>
      <c r="I126" s="266"/>
      <c r="J126" s="266"/>
      <c r="K126" s="266"/>
      <c r="L126" s="266"/>
      <c r="M126" s="266"/>
      <c r="N126" s="266"/>
    </row>
    <row r="127" spans="3:14" s="237" customFormat="1" x14ac:dyDescent="0.2">
      <c r="C127" s="266"/>
      <c r="D127" s="266"/>
      <c r="E127" s="266"/>
      <c r="F127" s="266"/>
      <c r="G127" s="266"/>
      <c r="H127" s="266"/>
      <c r="I127" s="266"/>
      <c r="J127" s="266"/>
      <c r="K127" s="266"/>
      <c r="L127" s="266"/>
      <c r="M127" s="266"/>
      <c r="N127" s="266"/>
    </row>
    <row r="128" spans="3:14" s="237" customFormat="1" x14ac:dyDescent="0.2">
      <c r="C128" s="266"/>
      <c r="D128" s="266"/>
      <c r="E128" s="266"/>
      <c r="F128" s="266"/>
      <c r="G128" s="266"/>
      <c r="H128" s="266"/>
      <c r="I128" s="266"/>
      <c r="J128" s="266"/>
      <c r="K128" s="266"/>
      <c r="L128" s="266"/>
      <c r="M128" s="266"/>
      <c r="N128" s="266"/>
    </row>
    <row r="129" spans="3:14" s="237" customFormat="1" x14ac:dyDescent="0.2">
      <c r="C129" s="266"/>
      <c r="D129" s="266"/>
      <c r="E129" s="266"/>
      <c r="F129" s="266"/>
      <c r="G129" s="266"/>
      <c r="H129" s="266"/>
      <c r="I129" s="266"/>
      <c r="J129" s="266"/>
      <c r="K129" s="266"/>
      <c r="L129" s="266"/>
      <c r="M129" s="266"/>
      <c r="N129" s="266"/>
    </row>
    <row r="130" spans="3:14" s="237" customFormat="1" x14ac:dyDescent="0.2">
      <c r="C130" s="266"/>
      <c r="D130" s="266"/>
      <c r="E130" s="266"/>
      <c r="F130" s="266"/>
      <c r="G130" s="266"/>
      <c r="H130" s="266"/>
      <c r="I130" s="266"/>
      <c r="J130" s="266"/>
      <c r="K130" s="266"/>
      <c r="L130" s="266"/>
      <c r="M130" s="266"/>
      <c r="N130" s="266"/>
    </row>
    <row r="131" spans="3:14" s="237" customFormat="1" x14ac:dyDescent="0.2">
      <c r="C131" s="266"/>
      <c r="D131" s="266"/>
      <c r="E131" s="266"/>
      <c r="F131" s="266"/>
      <c r="G131" s="266"/>
      <c r="H131" s="266"/>
      <c r="I131" s="266"/>
      <c r="J131" s="266"/>
      <c r="K131" s="266"/>
      <c r="L131" s="266"/>
      <c r="M131" s="266"/>
      <c r="N131" s="266"/>
    </row>
    <row r="132" spans="3:14" s="237" customFormat="1" x14ac:dyDescent="0.2">
      <c r="C132" s="266"/>
      <c r="D132" s="266"/>
      <c r="E132" s="266"/>
      <c r="F132" s="266"/>
      <c r="G132" s="266"/>
      <c r="H132" s="266"/>
      <c r="I132" s="266"/>
      <c r="J132" s="266"/>
      <c r="K132" s="266"/>
      <c r="L132" s="266"/>
      <c r="M132" s="266"/>
      <c r="N132" s="266"/>
    </row>
    <row r="133" spans="3:14" s="237" customFormat="1" x14ac:dyDescent="0.2">
      <c r="C133" s="266"/>
      <c r="D133" s="266"/>
      <c r="E133" s="266"/>
      <c r="F133" s="266"/>
      <c r="G133" s="266"/>
      <c r="H133" s="266"/>
      <c r="I133" s="266"/>
      <c r="J133" s="266"/>
      <c r="K133" s="266"/>
      <c r="L133" s="266"/>
      <c r="M133" s="266"/>
      <c r="N133" s="266"/>
    </row>
    <row r="134" spans="3:14" s="237" customFormat="1" x14ac:dyDescent="0.2">
      <c r="C134" s="266"/>
      <c r="D134" s="266"/>
      <c r="E134" s="266"/>
      <c r="F134" s="266"/>
      <c r="G134" s="266"/>
      <c r="H134" s="266"/>
      <c r="I134" s="266"/>
      <c r="J134" s="266"/>
      <c r="K134" s="266"/>
      <c r="L134" s="266"/>
      <c r="M134" s="266"/>
      <c r="N134" s="266"/>
    </row>
    <row r="135" spans="3:14" s="237" customFormat="1" x14ac:dyDescent="0.2">
      <c r="C135" s="266"/>
      <c r="D135" s="266"/>
      <c r="E135" s="266"/>
      <c r="F135" s="266"/>
      <c r="G135" s="266"/>
      <c r="H135" s="266"/>
      <c r="I135" s="266"/>
      <c r="J135" s="266"/>
      <c r="K135" s="266"/>
      <c r="L135" s="266"/>
      <c r="M135" s="266"/>
      <c r="N135" s="266"/>
    </row>
    <row r="136" spans="3:14" s="237" customFormat="1" x14ac:dyDescent="0.2">
      <c r="C136" s="266"/>
      <c r="D136" s="266"/>
      <c r="E136" s="266"/>
      <c r="F136" s="266"/>
      <c r="G136" s="266"/>
      <c r="H136" s="266"/>
      <c r="I136" s="266"/>
      <c r="J136" s="266"/>
      <c r="K136" s="266"/>
      <c r="L136" s="266"/>
      <c r="M136" s="266"/>
      <c r="N136" s="266"/>
    </row>
    <row r="137" spans="3:14" s="237" customFormat="1" x14ac:dyDescent="0.2">
      <c r="C137" s="266"/>
      <c r="D137" s="266"/>
      <c r="E137" s="266"/>
      <c r="F137" s="266"/>
      <c r="G137" s="266"/>
      <c r="H137" s="266"/>
      <c r="I137" s="266"/>
      <c r="J137" s="266"/>
      <c r="K137" s="266"/>
      <c r="L137" s="266"/>
      <c r="M137" s="266"/>
      <c r="N137" s="266"/>
    </row>
    <row r="138" spans="3:14" s="237" customFormat="1" x14ac:dyDescent="0.2">
      <c r="C138" s="266"/>
      <c r="D138" s="266"/>
      <c r="E138" s="266"/>
      <c r="F138" s="266"/>
      <c r="G138" s="266"/>
      <c r="H138" s="266"/>
      <c r="I138" s="266"/>
      <c r="J138" s="266"/>
      <c r="K138" s="266"/>
      <c r="L138" s="266"/>
      <c r="M138" s="266"/>
      <c r="N138" s="266"/>
    </row>
    <row r="139" spans="3:14" s="237" customFormat="1" x14ac:dyDescent="0.2">
      <c r="C139" s="266"/>
      <c r="D139" s="266"/>
      <c r="E139" s="266"/>
      <c r="F139" s="266"/>
      <c r="G139" s="266"/>
      <c r="H139" s="266"/>
      <c r="I139" s="266"/>
      <c r="J139" s="266"/>
      <c r="K139" s="266"/>
      <c r="L139" s="266"/>
      <c r="M139" s="266"/>
      <c r="N139" s="266"/>
    </row>
    <row r="140" spans="3:14" s="237" customFormat="1" x14ac:dyDescent="0.2">
      <c r="C140" s="266"/>
      <c r="D140" s="266"/>
      <c r="E140" s="266"/>
      <c r="F140" s="266"/>
      <c r="G140" s="266"/>
      <c r="H140" s="266"/>
      <c r="I140" s="266"/>
      <c r="J140" s="266"/>
      <c r="K140" s="266"/>
      <c r="L140" s="266"/>
      <c r="M140" s="266"/>
      <c r="N140" s="266"/>
    </row>
    <row r="141" spans="3:14" s="237" customFormat="1" x14ac:dyDescent="0.2">
      <c r="C141" s="266"/>
      <c r="D141" s="266"/>
      <c r="E141" s="266"/>
      <c r="F141" s="266"/>
      <c r="G141" s="266"/>
      <c r="H141" s="266"/>
      <c r="I141" s="266"/>
      <c r="J141" s="266"/>
      <c r="K141" s="266"/>
      <c r="L141" s="266"/>
      <c r="M141" s="266"/>
      <c r="N141" s="266"/>
    </row>
    <row r="142" spans="3:14" s="237" customFormat="1" x14ac:dyDescent="0.2">
      <c r="C142" s="266"/>
      <c r="D142" s="266"/>
      <c r="E142" s="266"/>
      <c r="F142" s="266"/>
      <c r="G142" s="266"/>
      <c r="H142" s="266"/>
      <c r="I142" s="266"/>
      <c r="J142" s="266"/>
      <c r="K142" s="266"/>
      <c r="L142" s="266"/>
      <c r="M142" s="266"/>
      <c r="N142" s="266"/>
    </row>
    <row r="143" spans="3:14" s="237" customFormat="1" x14ac:dyDescent="0.2">
      <c r="C143" s="266"/>
      <c r="D143" s="266"/>
      <c r="E143" s="266"/>
      <c r="F143" s="266"/>
      <c r="G143" s="266"/>
      <c r="H143" s="266"/>
      <c r="I143" s="266"/>
      <c r="J143" s="266"/>
      <c r="K143" s="266"/>
      <c r="L143" s="266"/>
      <c r="M143" s="266"/>
      <c r="N143" s="266"/>
    </row>
    <row r="144" spans="3:14" s="237" customFormat="1" x14ac:dyDescent="0.2">
      <c r="C144" s="266"/>
      <c r="D144" s="266"/>
      <c r="E144" s="266"/>
      <c r="F144" s="266"/>
      <c r="G144" s="266"/>
      <c r="H144" s="266"/>
      <c r="I144" s="266"/>
      <c r="J144" s="266"/>
      <c r="K144" s="266"/>
      <c r="L144" s="266"/>
      <c r="M144" s="266"/>
      <c r="N144" s="266"/>
    </row>
    <row r="145" spans="3:14" s="237" customFormat="1" x14ac:dyDescent="0.2">
      <c r="C145" s="266"/>
      <c r="D145" s="266"/>
      <c r="E145" s="266"/>
      <c r="F145" s="266"/>
      <c r="G145" s="266"/>
      <c r="H145" s="266"/>
      <c r="I145" s="266"/>
      <c r="J145" s="266"/>
      <c r="K145" s="266"/>
      <c r="L145" s="266"/>
      <c r="M145" s="266"/>
      <c r="N145" s="266"/>
    </row>
    <row r="146" spans="3:14" s="237" customFormat="1" x14ac:dyDescent="0.2">
      <c r="C146" s="266"/>
      <c r="D146" s="266"/>
      <c r="E146" s="266"/>
      <c r="F146" s="266"/>
      <c r="G146" s="266"/>
      <c r="H146" s="266"/>
      <c r="I146" s="266"/>
      <c r="J146" s="266"/>
      <c r="K146" s="266"/>
      <c r="L146" s="266"/>
      <c r="M146" s="266"/>
      <c r="N146" s="266"/>
    </row>
    <row r="147" spans="3:14" s="237" customFormat="1" x14ac:dyDescent="0.2">
      <c r="C147" s="266"/>
      <c r="D147" s="266"/>
      <c r="E147" s="266"/>
      <c r="F147" s="266"/>
      <c r="G147" s="266"/>
      <c r="H147" s="266"/>
      <c r="I147" s="266"/>
      <c r="J147" s="266"/>
      <c r="K147" s="266"/>
      <c r="L147" s="266"/>
      <c r="M147" s="266"/>
      <c r="N147" s="266"/>
    </row>
    <row r="148" spans="3:14" s="237" customFormat="1" x14ac:dyDescent="0.2">
      <c r="C148" s="266"/>
      <c r="D148" s="266"/>
      <c r="E148" s="266"/>
      <c r="F148" s="266"/>
      <c r="G148" s="266"/>
      <c r="H148" s="266"/>
      <c r="I148" s="266"/>
      <c r="J148" s="266"/>
      <c r="K148" s="266"/>
      <c r="L148" s="266"/>
      <c r="M148" s="266"/>
      <c r="N148" s="266"/>
    </row>
    <row r="149" spans="3:14" s="237" customFormat="1" x14ac:dyDescent="0.2">
      <c r="C149" s="266"/>
      <c r="D149" s="266"/>
      <c r="E149" s="266"/>
      <c r="F149" s="266"/>
      <c r="G149" s="266"/>
      <c r="H149" s="266"/>
      <c r="I149" s="266"/>
      <c r="J149" s="266"/>
      <c r="K149" s="266"/>
      <c r="L149" s="266"/>
      <c r="M149" s="266"/>
      <c r="N149" s="266"/>
    </row>
    <row r="150" spans="3:14" s="237" customFormat="1" x14ac:dyDescent="0.2">
      <c r="C150" s="266"/>
      <c r="D150" s="266"/>
      <c r="E150" s="266"/>
      <c r="F150" s="266"/>
      <c r="G150" s="266"/>
      <c r="H150" s="266"/>
      <c r="I150" s="266"/>
      <c r="J150" s="266"/>
      <c r="K150" s="266"/>
      <c r="L150" s="266"/>
      <c r="M150" s="266"/>
      <c r="N150" s="266"/>
    </row>
    <row r="151" spans="3:14" s="237" customFormat="1" x14ac:dyDescent="0.2">
      <c r="C151" s="266"/>
      <c r="D151" s="266"/>
      <c r="E151" s="266"/>
      <c r="F151" s="266"/>
      <c r="G151" s="266"/>
      <c r="H151" s="266"/>
      <c r="I151" s="266"/>
      <c r="J151" s="266"/>
      <c r="K151" s="266"/>
      <c r="L151" s="266"/>
      <c r="M151" s="266"/>
      <c r="N151" s="266"/>
    </row>
    <row r="152" spans="3:14" s="237" customFormat="1" x14ac:dyDescent="0.2">
      <c r="C152" s="266"/>
      <c r="D152" s="266"/>
      <c r="E152" s="266"/>
      <c r="F152" s="266"/>
      <c r="G152" s="266"/>
      <c r="H152" s="266"/>
      <c r="I152" s="266"/>
      <c r="J152" s="266"/>
      <c r="K152" s="266"/>
      <c r="L152" s="266"/>
      <c r="M152" s="266"/>
      <c r="N152" s="266"/>
    </row>
    <row r="153" spans="3:14" s="237" customFormat="1" x14ac:dyDescent="0.2">
      <c r="C153" s="266"/>
      <c r="D153" s="266"/>
      <c r="E153" s="266"/>
      <c r="F153" s="266"/>
      <c r="G153" s="266"/>
      <c r="H153" s="266"/>
      <c r="I153" s="266"/>
      <c r="J153" s="266"/>
      <c r="K153" s="266"/>
      <c r="L153" s="266"/>
      <c r="M153" s="266"/>
      <c r="N153" s="266"/>
    </row>
    <row r="154" spans="3:14" s="237" customFormat="1" x14ac:dyDescent="0.2">
      <c r="C154" s="266"/>
      <c r="D154" s="266"/>
      <c r="E154" s="266"/>
      <c r="F154" s="266"/>
      <c r="G154" s="266"/>
      <c r="H154" s="266"/>
      <c r="I154" s="266"/>
      <c r="J154" s="266"/>
      <c r="K154" s="266"/>
      <c r="L154" s="266"/>
      <c r="M154" s="266"/>
      <c r="N154" s="266"/>
    </row>
    <row r="155" spans="3:14" s="237" customFormat="1" x14ac:dyDescent="0.2">
      <c r="C155" s="266"/>
      <c r="D155" s="266"/>
      <c r="E155" s="266"/>
      <c r="F155" s="266"/>
      <c r="G155" s="266"/>
      <c r="H155" s="266"/>
      <c r="I155" s="266"/>
      <c r="J155" s="266"/>
      <c r="K155" s="266"/>
      <c r="L155" s="266"/>
      <c r="M155" s="266"/>
      <c r="N155" s="266"/>
    </row>
    <row r="156" spans="3:14" s="237" customFormat="1" x14ac:dyDescent="0.2">
      <c r="C156" s="266"/>
      <c r="D156" s="266"/>
      <c r="E156" s="266"/>
      <c r="F156" s="266"/>
      <c r="G156" s="266"/>
      <c r="H156" s="266"/>
      <c r="I156" s="266"/>
      <c r="J156" s="266"/>
      <c r="K156" s="266"/>
      <c r="L156" s="266"/>
      <c r="M156" s="266"/>
      <c r="N156" s="266"/>
    </row>
    <row r="157" spans="3:14" s="237" customFormat="1" x14ac:dyDescent="0.2">
      <c r="C157" s="266"/>
      <c r="D157" s="266"/>
      <c r="E157" s="266"/>
      <c r="F157" s="266"/>
      <c r="G157" s="266"/>
      <c r="H157" s="266"/>
      <c r="I157" s="266"/>
      <c r="J157" s="266"/>
      <c r="K157" s="266"/>
      <c r="L157" s="266"/>
      <c r="M157" s="266"/>
      <c r="N157" s="266"/>
    </row>
    <row r="158" spans="3:14" s="237" customFormat="1" x14ac:dyDescent="0.2">
      <c r="C158" s="266"/>
      <c r="D158" s="266"/>
      <c r="E158" s="266"/>
      <c r="F158" s="266"/>
      <c r="G158" s="266"/>
      <c r="H158" s="266"/>
      <c r="I158" s="266"/>
      <c r="J158" s="266"/>
      <c r="K158" s="266"/>
      <c r="L158" s="266"/>
      <c r="M158" s="266"/>
      <c r="N158" s="266"/>
    </row>
    <row r="159" spans="3:14" s="237" customFormat="1" x14ac:dyDescent="0.2">
      <c r="C159" s="266"/>
      <c r="D159" s="266"/>
      <c r="E159" s="266"/>
      <c r="F159" s="266"/>
      <c r="G159" s="266"/>
      <c r="H159" s="266"/>
      <c r="I159" s="266"/>
      <c r="J159" s="266"/>
      <c r="K159" s="266"/>
      <c r="L159" s="266"/>
      <c r="M159" s="266"/>
      <c r="N159" s="266"/>
    </row>
    <row r="160" spans="3:14" s="237" customFormat="1" x14ac:dyDescent="0.2">
      <c r="C160" s="266"/>
      <c r="D160" s="266"/>
      <c r="E160" s="266"/>
      <c r="F160" s="266"/>
      <c r="G160" s="266"/>
      <c r="H160" s="266"/>
      <c r="I160" s="266"/>
      <c r="J160" s="266"/>
      <c r="K160" s="266"/>
      <c r="L160" s="266"/>
      <c r="M160" s="266"/>
      <c r="N160" s="266"/>
    </row>
    <row r="161" spans="3:14" s="237" customFormat="1" x14ac:dyDescent="0.2">
      <c r="C161" s="266"/>
      <c r="D161" s="266"/>
      <c r="E161" s="266"/>
      <c r="F161" s="266"/>
      <c r="G161" s="266"/>
      <c r="H161" s="266"/>
      <c r="I161" s="266"/>
      <c r="J161" s="266"/>
      <c r="K161" s="266"/>
      <c r="L161" s="266"/>
      <c r="M161" s="266"/>
      <c r="N161" s="266"/>
    </row>
    <row r="162" spans="3:14" s="237" customFormat="1" x14ac:dyDescent="0.2">
      <c r="C162" s="266"/>
      <c r="D162" s="266"/>
      <c r="E162" s="266"/>
      <c r="F162" s="266"/>
      <c r="G162" s="266"/>
      <c r="H162" s="266"/>
      <c r="I162" s="266"/>
      <c r="J162" s="266"/>
      <c r="K162" s="266"/>
      <c r="L162" s="266"/>
      <c r="M162" s="266"/>
      <c r="N162" s="266"/>
    </row>
    <row r="163" spans="3:14" s="237" customFormat="1" x14ac:dyDescent="0.2">
      <c r="C163" s="266"/>
      <c r="D163" s="266"/>
      <c r="E163" s="266"/>
      <c r="F163" s="266"/>
      <c r="G163" s="266"/>
      <c r="H163" s="266"/>
      <c r="I163" s="266"/>
      <c r="J163" s="266"/>
      <c r="K163" s="266"/>
      <c r="L163" s="266"/>
      <c r="M163" s="266"/>
      <c r="N163" s="266"/>
    </row>
    <row r="164" spans="3:14" s="237" customFormat="1" x14ac:dyDescent="0.2">
      <c r="C164" s="266"/>
      <c r="D164" s="266"/>
      <c r="E164" s="266"/>
      <c r="F164" s="266"/>
      <c r="G164" s="266"/>
      <c r="H164" s="266"/>
      <c r="I164" s="266"/>
      <c r="J164" s="266"/>
      <c r="K164" s="266"/>
      <c r="L164" s="266"/>
      <c r="M164" s="266"/>
      <c r="N164" s="266"/>
    </row>
    <row r="165" spans="3:14" s="237" customFormat="1" x14ac:dyDescent="0.2">
      <c r="C165" s="266"/>
      <c r="D165" s="266"/>
      <c r="E165" s="266"/>
      <c r="F165" s="266"/>
      <c r="G165" s="266"/>
      <c r="H165" s="266"/>
      <c r="I165" s="266"/>
      <c r="J165" s="266"/>
      <c r="K165" s="266"/>
      <c r="L165" s="266"/>
      <c r="M165" s="266"/>
      <c r="N165" s="266"/>
    </row>
    <row r="166" spans="3:14" s="237" customFormat="1" x14ac:dyDescent="0.2">
      <c r="C166" s="266"/>
      <c r="D166" s="266"/>
      <c r="E166" s="266"/>
      <c r="F166" s="266"/>
      <c r="G166" s="266"/>
      <c r="H166" s="266"/>
      <c r="I166" s="266"/>
      <c r="J166" s="266"/>
      <c r="K166" s="266"/>
      <c r="L166" s="266"/>
      <c r="M166" s="266"/>
      <c r="N166" s="266"/>
    </row>
    <row r="167" spans="3:14" s="237" customFormat="1" x14ac:dyDescent="0.2">
      <c r="C167" s="266"/>
      <c r="D167" s="266"/>
      <c r="E167" s="266"/>
      <c r="F167" s="266"/>
      <c r="G167" s="266"/>
      <c r="H167" s="266"/>
      <c r="I167" s="266"/>
      <c r="J167" s="266"/>
      <c r="K167" s="266"/>
      <c r="L167" s="266"/>
      <c r="M167" s="266"/>
      <c r="N167" s="266"/>
    </row>
    <row r="168" spans="3:14" s="237" customFormat="1" x14ac:dyDescent="0.2">
      <c r="C168" s="266"/>
      <c r="D168" s="266"/>
      <c r="E168" s="266"/>
      <c r="F168" s="266"/>
      <c r="G168" s="266"/>
      <c r="H168" s="266"/>
      <c r="I168" s="266"/>
      <c r="J168" s="266"/>
      <c r="K168" s="266"/>
      <c r="L168" s="266"/>
      <c r="M168" s="266"/>
      <c r="N168" s="266"/>
    </row>
    <row r="169" spans="3:14" s="237" customFormat="1" x14ac:dyDescent="0.2">
      <c r="C169" s="266"/>
      <c r="D169" s="266"/>
      <c r="E169" s="266"/>
      <c r="F169" s="266"/>
      <c r="G169" s="266"/>
      <c r="H169" s="266"/>
      <c r="I169" s="266"/>
      <c r="J169" s="266"/>
      <c r="K169" s="266"/>
      <c r="L169" s="266"/>
      <c r="M169" s="266"/>
      <c r="N169" s="266"/>
    </row>
    <row r="170" spans="3:14" s="237" customFormat="1" x14ac:dyDescent="0.2">
      <c r="C170" s="266"/>
      <c r="D170" s="266"/>
      <c r="E170" s="266"/>
      <c r="F170" s="266"/>
      <c r="G170" s="266"/>
      <c r="H170" s="266"/>
      <c r="I170" s="266"/>
      <c r="J170" s="266"/>
      <c r="K170" s="266"/>
      <c r="L170" s="266"/>
      <c r="M170" s="266"/>
      <c r="N170" s="266"/>
    </row>
    <row r="171" spans="3:14" s="237" customFormat="1" x14ac:dyDescent="0.2">
      <c r="C171" s="266"/>
      <c r="D171" s="266"/>
      <c r="E171" s="266"/>
      <c r="F171" s="266"/>
      <c r="G171" s="266"/>
      <c r="H171" s="266"/>
      <c r="I171" s="266"/>
      <c r="J171" s="266"/>
      <c r="K171" s="266"/>
      <c r="L171" s="266"/>
      <c r="M171" s="266"/>
      <c r="N171" s="266"/>
    </row>
    <row r="172" spans="3:14" s="237" customFormat="1" x14ac:dyDescent="0.2">
      <c r="C172" s="266"/>
      <c r="D172" s="266"/>
      <c r="E172" s="266"/>
      <c r="F172" s="266"/>
      <c r="G172" s="266"/>
      <c r="H172" s="266"/>
      <c r="I172" s="266"/>
      <c r="J172" s="266"/>
      <c r="K172" s="266"/>
      <c r="L172" s="266"/>
      <c r="M172" s="266"/>
      <c r="N172" s="266"/>
    </row>
    <row r="173" spans="3:14" s="237" customFormat="1" x14ac:dyDescent="0.2">
      <c r="C173" s="266"/>
      <c r="D173" s="266"/>
      <c r="E173" s="266"/>
      <c r="F173" s="266"/>
      <c r="G173" s="266"/>
      <c r="H173" s="266"/>
      <c r="I173" s="266"/>
      <c r="J173" s="266"/>
      <c r="K173" s="266"/>
      <c r="L173" s="266"/>
      <c r="M173" s="266"/>
      <c r="N173" s="266"/>
    </row>
    <row r="174" spans="3:14" s="237" customFormat="1" x14ac:dyDescent="0.2">
      <c r="C174" s="266"/>
      <c r="D174" s="266"/>
      <c r="E174" s="266"/>
      <c r="F174" s="266"/>
      <c r="G174" s="266"/>
      <c r="H174" s="266"/>
      <c r="I174" s="266"/>
      <c r="J174" s="266"/>
      <c r="K174" s="266"/>
      <c r="L174" s="266"/>
      <c r="M174" s="266"/>
      <c r="N174" s="266"/>
    </row>
    <row r="175" spans="3:14" s="237" customFormat="1" x14ac:dyDescent="0.2">
      <c r="C175" s="266"/>
      <c r="D175" s="266"/>
      <c r="E175" s="266"/>
      <c r="F175" s="266"/>
      <c r="G175" s="266"/>
      <c r="H175" s="266"/>
      <c r="I175" s="266"/>
      <c r="J175" s="266"/>
      <c r="K175" s="266"/>
      <c r="L175" s="266"/>
      <c r="M175" s="266"/>
      <c r="N175" s="266"/>
    </row>
    <row r="176" spans="3:14" s="237" customFormat="1" x14ac:dyDescent="0.2">
      <c r="C176" s="266"/>
      <c r="D176" s="266"/>
      <c r="E176" s="266"/>
      <c r="F176" s="266"/>
      <c r="G176" s="266"/>
      <c r="H176" s="266"/>
      <c r="I176" s="266"/>
      <c r="J176" s="266"/>
      <c r="K176" s="266"/>
      <c r="L176" s="266"/>
      <c r="M176" s="266"/>
      <c r="N176" s="266"/>
    </row>
    <row r="177" spans="3:14" s="237" customFormat="1" x14ac:dyDescent="0.2">
      <c r="C177" s="266"/>
      <c r="D177" s="266"/>
      <c r="E177" s="266"/>
      <c r="F177" s="266"/>
      <c r="G177" s="266"/>
      <c r="H177" s="266"/>
      <c r="I177" s="266"/>
      <c r="J177" s="266"/>
      <c r="K177" s="266"/>
      <c r="L177" s="266"/>
      <c r="M177" s="266"/>
      <c r="N177" s="266"/>
    </row>
    <row r="178" spans="3:14" s="237" customFormat="1" x14ac:dyDescent="0.2">
      <c r="C178" s="266"/>
      <c r="D178" s="266"/>
      <c r="E178" s="266"/>
      <c r="F178" s="266"/>
      <c r="G178" s="266"/>
      <c r="H178" s="266"/>
      <c r="I178" s="266"/>
      <c r="J178" s="266"/>
      <c r="K178" s="266"/>
      <c r="L178" s="266"/>
      <c r="M178" s="266"/>
      <c r="N178" s="266"/>
    </row>
    <row r="179" spans="3:14" s="237" customFormat="1" x14ac:dyDescent="0.2">
      <c r="C179" s="266"/>
      <c r="D179" s="266"/>
      <c r="E179" s="266"/>
      <c r="F179" s="266"/>
      <c r="G179" s="266"/>
      <c r="H179" s="266"/>
      <c r="I179" s="266"/>
      <c r="J179" s="266"/>
      <c r="K179" s="266"/>
      <c r="L179" s="266"/>
      <c r="M179" s="266"/>
      <c r="N179" s="266"/>
    </row>
    <row r="180" spans="3:14" s="237" customFormat="1" x14ac:dyDescent="0.2">
      <c r="C180" s="266"/>
      <c r="D180" s="266"/>
      <c r="E180" s="266"/>
      <c r="F180" s="266"/>
      <c r="G180" s="266"/>
      <c r="H180" s="266"/>
      <c r="I180" s="266"/>
      <c r="J180" s="266"/>
      <c r="K180" s="266"/>
      <c r="L180" s="266"/>
      <c r="M180" s="266"/>
      <c r="N180" s="266"/>
    </row>
    <row r="181" spans="3:14" s="237" customFormat="1" x14ac:dyDescent="0.2">
      <c r="C181" s="266"/>
      <c r="D181" s="266"/>
      <c r="E181" s="266"/>
      <c r="F181" s="266"/>
      <c r="G181" s="266"/>
      <c r="H181" s="266"/>
      <c r="I181" s="266"/>
      <c r="J181" s="266"/>
      <c r="K181" s="266"/>
      <c r="L181" s="266"/>
      <c r="M181" s="266"/>
      <c r="N181" s="266"/>
    </row>
    <row r="182" spans="3:14" s="237" customFormat="1" x14ac:dyDescent="0.2">
      <c r="C182" s="266"/>
      <c r="D182" s="266"/>
      <c r="E182" s="266"/>
      <c r="F182" s="266"/>
      <c r="G182" s="266"/>
      <c r="H182" s="266"/>
      <c r="I182" s="266"/>
      <c r="J182" s="266"/>
      <c r="K182" s="266"/>
      <c r="L182" s="266"/>
      <c r="M182" s="266"/>
      <c r="N182" s="266"/>
    </row>
    <row r="183" spans="3:14" s="237" customFormat="1" x14ac:dyDescent="0.2">
      <c r="C183" s="266"/>
      <c r="D183" s="266"/>
      <c r="E183" s="266"/>
      <c r="F183" s="266"/>
      <c r="G183" s="266"/>
      <c r="H183" s="266"/>
      <c r="I183" s="266"/>
      <c r="J183" s="266"/>
      <c r="K183" s="266"/>
      <c r="L183" s="266"/>
      <c r="M183" s="266"/>
      <c r="N183" s="266"/>
    </row>
    <row r="184" spans="3:14" s="237" customFormat="1" x14ac:dyDescent="0.2">
      <c r="C184" s="266"/>
      <c r="D184" s="266"/>
      <c r="E184" s="266"/>
      <c r="F184" s="266"/>
      <c r="G184" s="266"/>
      <c r="H184" s="266"/>
      <c r="I184" s="266"/>
      <c r="J184" s="266"/>
      <c r="K184" s="266"/>
      <c r="L184" s="266"/>
      <c r="M184" s="266"/>
      <c r="N184" s="266"/>
    </row>
    <row r="185" spans="3:14" s="237" customFormat="1" x14ac:dyDescent="0.2">
      <c r="C185" s="266"/>
      <c r="D185" s="266"/>
      <c r="E185" s="266"/>
      <c r="F185" s="266"/>
      <c r="G185" s="266"/>
      <c r="H185" s="266"/>
      <c r="I185" s="266"/>
      <c r="J185" s="266"/>
      <c r="K185" s="266"/>
      <c r="L185" s="266"/>
      <c r="M185" s="266"/>
      <c r="N185" s="266"/>
    </row>
    <row r="186" spans="3:14" s="237" customFormat="1" x14ac:dyDescent="0.2">
      <c r="C186" s="266"/>
      <c r="D186" s="266"/>
      <c r="E186" s="266"/>
      <c r="F186" s="266"/>
      <c r="G186" s="266"/>
      <c r="H186" s="266"/>
      <c r="I186" s="266"/>
      <c r="J186" s="266"/>
      <c r="K186" s="266"/>
      <c r="L186" s="266"/>
      <c r="M186" s="266"/>
      <c r="N186" s="266"/>
    </row>
    <row r="187" spans="3:14" s="237" customFormat="1" x14ac:dyDescent="0.2">
      <c r="C187" s="266"/>
      <c r="D187" s="266"/>
      <c r="E187" s="266"/>
      <c r="F187" s="266"/>
      <c r="G187" s="266"/>
      <c r="H187" s="266"/>
      <c r="I187" s="266"/>
      <c r="J187" s="266"/>
      <c r="K187" s="266"/>
      <c r="L187" s="266"/>
      <c r="M187" s="266"/>
      <c r="N187" s="266"/>
    </row>
    <row r="188" spans="3:14" s="237" customFormat="1" x14ac:dyDescent="0.2">
      <c r="C188" s="266"/>
      <c r="D188" s="266"/>
      <c r="E188" s="266"/>
      <c r="F188" s="266"/>
      <c r="G188" s="266"/>
      <c r="H188" s="266"/>
      <c r="I188" s="266"/>
      <c r="J188" s="266"/>
      <c r="K188" s="266"/>
      <c r="L188" s="266"/>
      <c r="M188" s="266"/>
      <c r="N188" s="266"/>
    </row>
    <row r="189" spans="3:14" s="237" customFormat="1" x14ac:dyDescent="0.2">
      <c r="C189" s="266"/>
      <c r="D189" s="266"/>
      <c r="E189" s="266"/>
      <c r="F189" s="266"/>
      <c r="G189" s="266"/>
      <c r="H189" s="266"/>
      <c r="I189" s="266"/>
      <c r="J189" s="266"/>
      <c r="K189" s="266"/>
      <c r="L189" s="266"/>
      <c r="M189" s="266"/>
      <c r="N189" s="266"/>
    </row>
    <row r="190" spans="3:14" s="237" customFormat="1" x14ac:dyDescent="0.2">
      <c r="C190" s="266"/>
      <c r="D190" s="266"/>
      <c r="E190" s="266"/>
      <c r="F190" s="266"/>
      <c r="G190" s="266"/>
      <c r="H190" s="266"/>
      <c r="I190" s="266"/>
      <c r="J190" s="266"/>
      <c r="K190" s="266"/>
      <c r="L190" s="266"/>
      <c r="M190" s="266"/>
      <c r="N190" s="266"/>
    </row>
    <row r="191" spans="3:14" s="237" customFormat="1" x14ac:dyDescent="0.2">
      <c r="C191" s="266"/>
      <c r="D191" s="266"/>
      <c r="E191" s="266"/>
      <c r="F191" s="266"/>
      <c r="G191" s="266"/>
      <c r="H191" s="266"/>
      <c r="I191" s="266"/>
      <c r="J191" s="266"/>
      <c r="K191" s="266"/>
      <c r="L191" s="266"/>
      <c r="M191" s="266"/>
      <c r="N191" s="266"/>
    </row>
    <row r="192" spans="3:14" s="237" customFormat="1" x14ac:dyDescent="0.2">
      <c r="C192" s="266"/>
      <c r="D192" s="266"/>
      <c r="E192" s="266"/>
      <c r="F192" s="266"/>
      <c r="G192" s="266"/>
      <c r="H192" s="266"/>
      <c r="I192" s="266"/>
      <c r="J192" s="266"/>
      <c r="K192" s="266"/>
      <c r="L192" s="266"/>
      <c r="M192" s="266"/>
      <c r="N192" s="266"/>
    </row>
    <row r="193" spans="3:14" s="237" customFormat="1" x14ac:dyDescent="0.2">
      <c r="C193" s="266"/>
      <c r="D193" s="266"/>
      <c r="E193" s="266"/>
      <c r="F193" s="266"/>
      <c r="G193" s="266"/>
      <c r="H193" s="266"/>
      <c r="I193" s="266"/>
      <c r="J193" s="266"/>
      <c r="K193" s="266"/>
      <c r="L193" s="266"/>
      <c r="M193" s="266"/>
      <c r="N193" s="266"/>
    </row>
    <row r="194" spans="3:14" s="237" customFormat="1" x14ac:dyDescent="0.2">
      <c r="C194" s="266"/>
      <c r="D194" s="266"/>
      <c r="E194" s="266"/>
      <c r="F194" s="266"/>
      <c r="G194" s="266"/>
      <c r="H194" s="266"/>
      <c r="I194" s="266"/>
      <c r="J194" s="266"/>
      <c r="K194" s="266"/>
      <c r="L194" s="266"/>
      <c r="M194" s="266"/>
      <c r="N194" s="266"/>
    </row>
    <row r="195" spans="3:14" s="237" customFormat="1" x14ac:dyDescent="0.2">
      <c r="C195" s="266"/>
      <c r="D195" s="266"/>
      <c r="E195" s="266"/>
      <c r="F195" s="266"/>
      <c r="G195" s="266"/>
      <c r="H195" s="266"/>
      <c r="I195" s="266"/>
      <c r="J195" s="266"/>
      <c r="K195" s="266"/>
      <c r="L195" s="266"/>
      <c r="M195" s="266"/>
      <c r="N195" s="266"/>
    </row>
    <row r="196" spans="3:14" s="237" customFormat="1" x14ac:dyDescent="0.2">
      <c r="C196" s="266"/>
      <c r="D196" s="266"/>
      <c r="E196" s="266"/>
      <c r="F196" s="266"/>
      <c r="G196" s="266"/>
      <c r="H196" s="266"/>
      <c r="I196" s="266"/>
      <c r="J196" s="266"/>
      <c r="K196" s="266"/>
      <c r="L196" s="266"/>
      <c r="M196" s="266"/>
      <c r="N196" s="266"/>
    </row>
    <row r="197" spans="3:14" s="237" customFormat="1" x14ac:dyDescent="0.2">
      <c r="C197" s="266"/>
      <c r="D197" s="266"/>
      <c r="E197" s="266"/>
      <c r="F197" s="266"/>
      <c r="G197" s="266"/>
      <c r="H197" s="266"/>
      <c r="I197" s="266"/>
      <c r="J197" s="266"/>
      <c r="K197" s="266"/>
      <c r="L197" s="266"/>
      <c r="M197" s="266"/>
      <c r="N197" s="266"/>
    </row>
    <row r="198" spans="3:14" s="237" customFormat="1" x14ac:dyDescent="0.2">
      <c r="C198" s="266"/>
      <c r="D198" s="266"/>
      <c r="E198" s="266"/>
      <c r="F198" s="266"/>
      <c r="G198" s="266"/>
      <c r="H198" s="266"/>
      <c r="I198" s="266"/>
      <c r="J198" s="266"/>
      <c r="K198" s="266"/>
      <c r="L198" s="266"/>
      <c r="M198" s="266"/>
      <c r="N198" s="266"/>
    </row>
    <row r="199" spans="3:14" s="237" customFormat="1" x14ac:dyDescent="0.2">
      <c r="C199" s="266"/>
      <c r="D199" s="266"/>
      <c r="E199" s="266"/>
      <c r="F199" s="266"/>
      <c r="G199" s="266"/>
      <c r="H199" s="266"/>
      <c r="I199" s="266"/>
      <c r="J199" s="266"/>
      <c r="K199" s="266"/>
      <c r="L199" s="266"/>
      <c r="M199" s="266"/>
      <c r="N199" s="266"/>
    </row>
    <row r="200" spans="3:14" s="237" customFormat="1" x14ac:dyDescent="0.2">
      <c r="C200" s="266"/>
      <c r="D200" s="266"/>
      <c r="E200" s="266"/>
      <c r="F200" s="266"/>
      <c r="G200" s="266"/>
      <c r="H200" s="266"/>
      <c r="I200" s="266"/>
      <c r="J200" s="266"/>
      <c r="K200" s="266"/>
      <c r="L200" s="266"/>
      <c r="M200" s="266"/>
      <c r="N200" s="266"/>
    </row>
    <row r="201" spans="3:14" s="237" customFormat="1" x14ac:dyDescent="0.2">
      <c r="C201" s="266"/>
      <c r="D201" s="266"/>
      <c r="E201" s="266"/>
      <c r="F201" s="266"/>
      <c r="G201" s="266"/>
      <c r="H201" s="266"/>
      <c r="I201" s="266"/>
      <c r="J201" s="266"/>
      <c r="K201" s="266"/>
      <c r="L201" s="266"/>
      <c r="M201" s="266"/>
      <c r="N201" s="266"/>
    </row>
    <row r="202" spans="3:14" s="237" customFormat="1" x14ac:dyDescent="0.2">
      <c r="C202" s="266"/>
      <c r="D202" s="266"/>
      <c r="E202" s="266"/>
      <c r="F202" s="266"/>
      <c r="G202" s="266"/>
      <c r="H202" s="266"/>
      <c r="I202" s="266"/>
      <c r="J202" s="266"/>
      <c r="K202" s="266"/>
      <c r="L202" s="266"/>
      <c r="M202" s="266"/>
      <c r="N202" s="266"/>
    </row>
    <row r="203" spans="3:14" s="237" customFormat="1" x14ac:dyDescent="0.2">
      <c r="C203" s="266"/>
      <c r="D203" s="266"/>
      <c r="E203" s="266"/>
      <c r="F203" s="266"/>
      <c r="G203" s="266"/>
      <c r="H203" s="266"/>
      <c r="I203" s="266"/>
      <c r="J203" s="266"/>
      <c r="K203" s="266"/>
      <c r="L203" s="266"/>
      <c r="M203" s="266"/>
      <c r="N203" s="266"/>
    </row>
    <row r="204" spans="3:14" s="237" customFormat="1" x14ac:dyDescent="0.2">
      <c r="C204" s="266"/>
      <c r="D204" s="266"/>
      <c r="E204" s="266"/>
      <c r="F204" s="266"/>
      <c r="G204" s="266"/>
      <c r="H204" s="266"/>
      <c r="I204" s="266"/>
      <c r="J204" s="266"/>
      <c r="K204" s="266"/>
      <c r="L204" s="266"/>
      <c r="M204" s="266"/>
      <c r="N204" s="266"/>
    </row>
    <row r="205" spans="3:14" s="237" customFormat="1" x14ac:dyDescent="0.2">
      <c r="C205" s="266"/>
      <c r="D205" s="266"/>
      <c r="E205" s="266"/>
      <c r="F205" s="266"/>
      <c r="G205" s="266"/>
      <c r="H205" s="266"/>
      <c r="I205" s="266"/>
      <c r="J205" s="266"/>
      <c r="K205" s="266"/>
      <c r="L205" s="266"/>
      <c r="M205" s="266"/>
      <c r="N205" s="266"/>
    </row>
    <row r="206" spans="3:14" s="237" customFormat="1" x14ac:dyDescent="0.2">
      <c r="C206" s="266"/>
      <c r="D206" s="266"/>
      <c r="E206" s="266"/>
      <c r="F206" s="266"/>
      <c r="G206" s="266"/>
      <c r="H206" s="266"/>
      <c r="I206" s="266"/>
      <c r="J206" s="266"/>
      <c r="K206" s="266"/>
      <c r="L206" s="266"/>
      <c r="M206" s="266"/>
      <c r="N206" s="266"/>
    </row>
    <row r="207" spans="3:14" s="237" customFormat="1" x14ac:dyDescent="0.2">
      <c r="C207" s="266"/>
      <c r="D207" s="266"/>
      <c r="E207" s="266"/>
      <c r="F207" s="266"/>
      <c r="G207" s="266"/>
      <c r="H207" s="266"/>
      <c r="I207" s="266"/>
      <c r="J207" s="266"/>
      <c r="K207" s="266"/>
      <c r="L207" s="266"/>
      <c r="M207" s="266"/>
      <c r="N207" s="266"/>
    </row>
    <row r="208" spans="3:14" s="237" customFormat="1" x14ac:dyDescent="0.2">
      <c r="C208" s="266"/>
      <c r="D208" s="266"/>
      <c r="E208" s="266"/>
      <c r="F208" s="266"/>
      <c r="G208" s="266"/>
      <c r="H208" s="266"/>
      <c r="I208" s="266"/>
      <c r="J208" s="266"/>
      <c r="K208" s="266"/>
      <c r="L208" s="266"/>
      <c r="M208" s="266"/>
      <c r="N208" s="266"/>
    </row>
    <row r="209" spans="3:14" s="237" customFormat="1" x14ac:dyDescent="0.2">
      <c r="C209" s="266"/>
      <c r="D209" s="266"/>
      <c r="E209" s="266"/>
      <c r="F209" s="266"/>
      <c r="G209" s="266"/>
      <c r="H209" s="266"/>
      <c r="I209" s="266"/>
      <c r="J209" s="266"/>
      <c r="K209" s="266"/>
      <c r="L209" s="266"/>
      <c r="M209" s="266"/>
      <c r="N209" s="266"/>
    </row>
    <row r="210" spans="3:14" s="237" customFormat="1" x14ac:dyDescent="0.2">
      <c r="C210" s="266"/>
      <c r="D210" s="266"/>
      <c r="E210" s="266"/>
      <c r="F210" s="266"/>
      <c r="G210" s="266"/>
      <c r="H210" s="266"/>
      <c r="I210" s="266"/>
      <c r="J210" s="266"/>
      <c r="K210" s="266"/>
      <c r="L210" s="266"/>
      <c r="M210" s="266"/>
      <c r="N210" s="266"/>
    </row>
    <row r="211" spans="3:14" s="237" customFormat="1" x14ac:dyDescent="0.2">
      <c r="C211" s="266"/>
      <c r="D211" s="266"/>
      <c r="E211" s="266"/>
      <c r="F211" s="266"/>
      <c r="G211" s="266"/>
      <c r="H211" s="266"/>
      <c r="I211" s="266"/>
      <c r="J211" s="266"/>
      <c r="K211" s="266"/>
      <c r="L211" s="266"/>
      <c r="M211" s="266"/>
      <c r="N211" s="266"/>
    </row>
    <row r="212" spans="3:14" s="237" customFormat="1" x14ac:dyDescent="0.2">
      <c r="C212" s="266"/>
      <c r="D212" s="266"/>
      <c r="E212" s="266"/>
      <c r="F212" s="266"/>
      <c r="G212" s="266"/>
      <c r="H212" s="266"/>
      <c r="I212" s="266"/>
      <c r="J212" s="266"/>
      <c r="K212" s="266"/>
      <c r="L212" s="266"/>
      <c r="M212" s="266"/>
      <c r="N212" s="266"/>
    </row>
    <row r="213" spans="3:14" s="237" customFormat="1" x14ac:dyDescent="0.2">
      <c r="C213" s="266"/>
      <c r="D213" s="266"/>
      <c r="E213" s="266"/>
      <c r="F213" s="266"/>
      <c r="G213" s="266"/>
      <c r="H213" s="266"/>
      <c r="I213" s="266"/>
      <c r="J213" s="266"/>
      <c r="K213" s="266"/>
      <c r="L213" s="266"/>
      <c r="M213" s="266"/>
      <c r="N213" s="266"/>
    </row>
    <row r="214" spans="3:14" s="237" customFormat="1" x14ac:dyDescent="0.2">
      <c r="C214" s="266"/>
      <c r="D214" s="266"/>
      <c r="E214" s="266"/>
      <c r="F214" s="266"/>
      <c r="G214" s="266"/>
      <c r="H214" s="266"/>
      <c r="I214" s="266"/>
      <c r="J214" s="266"/>
      <c r="K214" s="266"/>
      <c r="L214" s="266"/>
      <c r="M214" s="266"/>
      <c r="N214" s="266"/>
    </row>
    <row r="215" spans="3:14" s="237" customFormat="1" x14ac:dyDescent="0.2">
      <c r="C215" s="266"/>
      <c r="D215" s="266"/>
      <c r="E215" s="266"/>
      <c r="F215" s="266"/>
      <c r="G215" s="266"/>
      <c r="H215" s="266"/>
      <c r="I215" s="266"/>
      <c r="J215" s="266"/>
      <c r="K215" s="266"/>
      <c r="L215" s="266"/>
      <c r="M215" s="266"/>
      <c r="N215" s="266"/>
    </row>
    <row r="216" spans="3:14" s="237" customFormat="1" x14ac:dyDescent="0.2">
      <c r="C216" s="266"/>
      <c r="D216" s="266"/>
      <c r="E216" s="266"/>
      <c r="F216" s="266"/>
      <c r="G216" s="266"/>
      <c r="H216" s="266"/>
      <c r="I216" s="266"/>
      <c r="J216" s="266"/>
      <c r="K216" s="266"/>
      <c r="L216" s="266"/>
      <c r="M216" s="266"/>
      <c r="N216" s="266"/>
    </row>
    <row r="217" spans="3:14" s="237" customFormat="1" x14ac:dyDescent="0.2">
      <c r="C217" s="266"/>
      <c r="D217" s="266"/>
      <c r="E217" s="266"/>
      <c r="F217" s="266"/>
      <c r="G217" s="266"/>
      <c r="H217" s="266"/>
      <c r="I217" s="266"/>
      <c r="J217" s="266"/>
      <c r="K217" s="266"/>
      <c r="L217" s="266"/>
      <c r="M217" s="266"/>
      <c r="N217" s="266"/>
    </row>
    <row r="218" spans="3:14" s="237" customFormat="1" x14ac:dyDescent="0.2">
      <c r="C218" s="266"/>
      <c r="D218" s="266"/>
      <c r="E218" s="266"/>
      <c r="F218" s="266"/>
      <c r="G218" s="266"/>
      <c r="H218" s="266"/>
      <c r="I218" s="266"/>
      <c r="J218" s="266"/>
      <c r="K218" s="266"/>
      <c r="L218" s="266"/>
      <c r="M218" s="266"/>
      <c r="N218" s="266"/>
    </row>
    <row r="219" spans="3:14" s="237" customFormat="1" x14ac:dyDescent="0.2">
      <c r="C219" s="266"/>
      <c r="D219" s="266"/>
      <c r="E219" s="266"/>
      <c r="F219" s="266"/>
      <c r="G219" s="266"/>
      <c r="H219" s="266"/>
      <c r="I219" s="266"/>
      <c r="J219" s="266"/>
      <c r="K219" s="266"/>
      <c r="L219" s="266"/>
      <c r="M219" s="266"/>
      <c r="N219" s="266"/>
    </row>
    <row r="220" spans="3:14" s="237" customFormat="1" x14ac:dyDescent="0.2">
      <c r="C220" s="266"/>
      <c r="D220" s="266"/>
      <c r="E220" s="266"/>
      <c r="F220" s="266"/>
      <c r="G220" s="266"/>
      <c r="H220" s="266"/>
      <c r="I220" s="266"/>
      <c r="J220" s="266"/>
      <c r="K220" s="266"/>
      <c r="L220" s="266"/>
      <c r="M220" s="266"/>
      <c r="N220" s="266"/>
    </row>
    <row r="221" spans="3:14" s="237" customFormat="1" x14ac:dyDescent="0.2">
      <c r="C221" s="266"/>
      <c r="D221" s="266"/>
      <c r="E221" s="266"/>
      <c r="F221" s="266"/>
      <c r="G221" s="266"/>
      <c r="H221" s="266"/>
      <c r="I221" s="266"/>
      <c r="J221" s="266"/>
      <c r="K221" s="266"/>
      <c r="L221" s="266"/>
      <c r="M221" s="266"/>
      <c r="N221" s="266"/>
    </row>
    <row r="222" spans="3:14" s="237" customFormat="1" x14ac:dyDescent="0.2">
      <c r="C222" s="266"/>
      <c r="D222" s="266"/>
      <c r="E222" s="266"/>
      <c r="F222" s="266"/>
      <c r="G222" s="266"/>
      <c r="H222" s="266"/>
      <c r="I222" s="266"/>
      <c r="J222" s="266"/>
      <c r="K222" s="266"/>
      <c r="L222" s="266"/>
      <c r="M222" s="266"/>
      <c r="N222" s="266"/>
    </row>
    <row r="223" spans="3:14" s="237" customFormat="1" x14ac:dyDescent="0.2">
      <c r="C223" s="266"/>
      <c r="D223" s="266"/>
      <c r="E223" s="266"/>
      <c r="F223" s="266"/>
      <c r="G223" s="266"/>
      <c r="H223" s="266"/>
      <c r="I223" s="266"/>
      <c r="J223" s="266"/>
      <c r="K223" s="266"/>
      <c r="L223" s="266"/>
      <c r="M223" s="266"/>
      <c r="N223" s="266"/>
    </row>
    <row r="224" spans="3:14" s="237" customFormat="1" x14ac:dyDescent="0.2">
      <c r="C224" s="266"/>
      <c r="D224" s="266"/>
      <c r="E224" s="266"/>
      <c r="F224" s="266"/>
      <c r="G224" s="266"/>
      <c r="H224" s="266"/>
      <c r="I224" s="266"/>
      <c r="J224" s="266"/>
      <c r="K224" s="266"/>
      <c r="L224" s="266"/>
      <c r="M224" s="266"/>
      <c r="N224" s="266"/>
    </row>
    <row r="225" spans="3:14" s="237" customFormat="1" x14ac:dyDescent="0.2">
      <c r="C225" s="266"/>
      <c r="D225" s="266"/>
      <c r="E225" s="266"/>
      <c r="F225" s="266"/>
      <c r="G225" s="266"/>
      <c r="H225" s="266"/>
      <c r="I225" s="266"/>
      <c r="J225" s="266"/>
      <c r="K225" s="266"/>
      <c r="L225" s="266"/>
      <c r="M225" s="266"/>
      <c r="N225" s="266"/>
    </row>
    <row r="226" spans="3:14" s="237" customFormat="1" x14ac:dyDescent="0.2">
      <c r="C226" s="266"/>
      <c r="D226" s="266"/>
      <c r="E226" s="266"/>
      <c r="F226" s="266"/>
      <c r="G226" s="266"/>
      <c r="H226" s="266"/>
      <c r="I226" s="266"/>
      <c r="J226" s="266"/>
      <c r="K226" s="266"/>
      <c r="L226" s="266"/>
      <c r="M226" s="266"/>
      <c r="N226" s="266"/>
    </row>
    <row r="227" spans="3:14" s="237" customFormat="1" x14ac:dyDescent="0.2">
      <c r="C227" s="266"/>
      <c r="D227" s="266"/>
      <c r="E227" s="266"/>
      <c r="F227" s="266"/>
      <c r="G227" s="266"/>
      <c r="H227" s="266"/>
      <c r="I227" s="266"/>
      <c r="J227" s="266"/>
      <c r="K227" s="266"/>
      <c r="L227" s="266"/>
      <c r="M227" s="266"/>
      <c r="N227" s="266"/>
    </row>
    <row r="228" spans="3:14" s="237" customFormat="1" x14ac:dyDescent="0.2">
      <c r="C228" s="266"/>
      <c r="D228" s="266"/>
      <c r="E228" s="266"/>
      <c r="F228" s="266"/>
      <c r="G228" s="266"/>
      <c r="H228" s="266"/>
      <c r="I228" s="266"/>
      <c r="J228" s="266"/>
      <c r="K228" s="266"/>
      <c r="L228" s="266"/>
      <c r="M228" s="266"/>
      <c r="N228" s="266"/>
    </row>
    <row r="229" spans="3:14" s="237" customFormat="1" x14ac:dyDescent="0.2">
      <c r="C229" s="266"/>
      <c r="D229" s="266"/>
      <c r="E229" s="266"/>
      <c r="F229" s="266"/>
      <c r="G229" s="266"/>
      <c r="H229" s="266"/>
      <c r="I229" s="266"/>
      <c r="J229" s="266"/>
      <c r="K229" s="266"/>
      <c r="L229" s="266"/>
      <c r="M229" s="266"/>
      <c r="N229" s="266"/>
    </row>
    <row r="230" spans="3:14" s="237" customFormat="1" x14ac:dyDescent="0.2">
      <c r="C230" s="266"/>
      <c r="D230" s="266"/>
      <c r="E230" s="266"/>
      <c r="F230" s="266"/>
      <c r="G230" s="266"/>
      <c r="H230" s="266"/>
      <c r="I230" s="266"/>
      <c r="J230" s="266"/>
      <c r="K230" s="266"/>
      <c r="L230" s="266"/>
      <c r="M230" s="266"/>
      <c r="N230" s="266"/>
    </row>
    <row r="231" spans="3:14" s="237" customFormat="1" x14ac:dyDescent="0.2">
      <c r="C231" s="266"/>
      <c r="D231" s="266"/>
      <c r="E231" s="266"/>
      <c r="F231" s="266"/>
      <c r="G231" s="266"/>
      <c r="H231" s="266"/>
      <c r="I231" s="266"/>
      <c r="J231" s="266"/>
      <c r="K231" s="266"/>
      <c r="L231" s="266"/>
      <c r="M231" s="266"/>
      <c r="N231" s="266"/>
    </row>
    <row r="232" spans="3:14" s="237" customFormat="1" x14ac:dyDescent="0.2">
      <c r="C232" s="266"/>
      <c r="D232" s="266"/>
      <c r="E232" s="266"/>
      <c r="F232" s="266"/>
      <c r="G232" s="266"/>
      <c r="H232" s="266"/>
      <c r="I232" s="266"/>
      <c r="J232" s="266"/>
      <c r="K232" s="266"/>
      <c r="L232" s="266"/>
      <c r="M232" s="266"/>
      <c r="N232" s="266"/>
    </row>
    <row r="233" spans="3:14" s="237" customFormat="1" x14ac:dyDescent="0.2">
      <c r="C233" s="266"/>
      <c r="D233" s="266"/>
      <c r="E233" s="266"/>
      <c r="F233" s="266"/>
      <c r="G233" s="266"/>
      <c r="H233" s="266"/>
      <c r="I233" s="266"/>
      <c r="J233" s="266"/>
      <c r="K233" s="266"/>
      <c r="L233" s="266"/>
      <c r="M233" s="266"/>
      <c r="N233" s="266"/>
    </row>
    <row r="234" spans="3:14" s="237" customFormat="1" x14ac:dyDescent="0.2">
      <c r="C234" s="266"/>
      <c r="D234" s="266"/>
      <c r="E234" s="266"/>
      <c r="F234" s="266"/>
      <c r="G234" s="266"/>
      <c r="H234" s="266"/>
      <c r="I234" s="266"/>
      <c r="J234" s="266"/>
      <c r="K234" s="266"/>
      <c r="L234" s="266"/>
      <c r="M234" s="266"/>
      <c r="N234" s="266"/>
    </row>
    <row r="235" spans="3:14" s="237" customFormat="1" x14ac:dyDescent="0.2">
      <c r="C235" s="266"/>
      <c r="D235" s="266"/>
      <c r="E235" s="266"/>
      <c r="F235" s="266"/>
      <c r="G235" s="266"/>
      <c r="H235" s="266"/>
      <c r="I235" s="266"/>
      <c r="J235" s="266"/>
      <c r="K235" s="266"/>
      <c r="L235" s="266"/>
      <c r="M235" s="266"/>
      <c r="N235" s="266"/>
    </row>
    <row r="236" spans="3:14" s="237" customFormat="1" x14ac:dyDescent="0.2">
      <c r="C236" s="266"/>
      <c r="D236" s="266"/>
      <c r="E236" s="266"/>
      <c r="F236" s="266"/>
      <c r="G236" s="266"/>
      <c r="H236" s="266"/>
      <c r="I236" s="266"/>
      <c r="J236" s="266"/>
      <c r="K236" s="266"/>
      <c r="L236" s="266"/>
      <c r="M236" s="266"/>
      <c r="N236" s="266"/>
    </row>
    <row r="237" spans="3:14" s="237" customFormat="1" x14ac:dyDescent="0.2">
      <c r="C237" s="266"/>
      <c r="D237" s="266"/>
      <c r="E237" s="266"/>
      <c r="F237" s="266"/>
      <c r="G237" s="266"/>
      <c r="H237" s="266"/>
      <c r="I237" s="266"/>
      <c r="J237" s="266"/>
      <c r="K237" s="266"/>
      <c r="L237" s="266"/>
      <c r="M237" s="266"/>
      <c r="N237" s="266"/>
    </row>
    <row r="238" spans="3:14" s="237" customFormat="1" x14ac:dyDescent="0.2">
      <c r="C238" s="266"/>
      <c r="D238" s="266"/>
      <c r="E238" s="266"/>
      <c r="F238" s="266"/>
      <c r="G238" s="266"/>
      <c r="H238" s="266"/>
      <c r="I238" s="266"/>
      <c r="J238" s="266"/>
      <c r="K238" s="266"/>
      <c r="L238" s="266"/>
      <c r="M238" s="266"/>
      <c r="N238" s="266"/>
    </row>
    <row r="239" spans="3:14" s="237" customFormat="1" x14ac:dyDescent="0.2">
      <c r="C239" s="266"/>
      <c r="D239" s="266"/>
      <c r="E239" s="266"/>
      <c r="F239" s="266"/>
      <c r="G239" s="266"/>
      <c r="H239" s="266"/>
      <c r="I239" s="266"/>
      <c r="J239" s="266"/>
      <c r="K239" s="266"/>
      <c r="L239" s="266"/>
      <c r="M239" s="266"/>
      <c r="N239" s="266"/>
    </row>
    <row r="240" spans="3:14" s="237" customFormat="1" x14ac:dyDescent="0.2">
      <c r="C240" s="266"/>
      <c r="D240" s="266"/>
      <c r="E240" s="266"/>
      <c r="F240" s="266"/>
      <c r="G240" s="266"/>
      <c r="H240" s="266"/>
      <c r="I240" s="266"/>
      <c r="J240" s="266"/>
      <c r="K240" s="266"/>
      <c r="L240" s="266"/>
      <c r="M240" s="266"/>
      <c r="N240" s="266"/>
    </row>
    <row r="241" spans="3:14" s="237" customFormat="1" x14ac:dyDescent="0.2">
      <c r="C241" s="266"/>
      <c r="D241" s="266"/>
      <c r="E241" s="266"/>
      <c r="F241" s="266"/>
      <c r="G241" s="266"/>
      <c r="H241" s="266"/>
      <c r="I241" s="266"/>
      <c r="J241" s="266"/>
      <c r="K241" s="266"/>
      <c r="L241" s="266"/>
      <c r="M241" s="266"/>
      <c r="N241" s="266"/>
    </row>
    <row r="242" spans="3:14" s="237" customFormat="1" x14ac:dyDescent="0.2">
      <c r="C242" s="266"/>
      <c r="D242" s="266"/>
      <c r="E242" s="266"/>
      <c r="F242" s="266"/>
      <c r="G242" s="266"/>
      <c r="H242" s="266"/>
      <c r="I242" s="266"/>
      <c r="J242" s="266"/>
      <c r="K242" s="266"/>
      <c r="L242" s="266"/>
      <c r="M242" s="266"/>
      <c r="N242" s="266"/>
    </row>
    <row r="243" spans="3:14" s="237" customFormat="1" x14ac:dyDescent="0.2">
      <c r="C243" s="266"/>
      <c r="D243" s="266"/>
      <c r="E243" s="266"/>
      <c r="F243" s="266"/>
      <c r="G243" s="266"/>
      <c r="H243" s="266"/>
      <c r="I243" s="266"/>
      <c r="J243" s="266"/>
      <c r="K243" s="266"/>
      <c r="L243" s="266"/>
      <c r="M243" s="266"/>
      <c r="N243" s="266"/>
    </row>
    <row r="244" spans="3:14" s="237" customFormat="1" x14ac:dyDescent="0.2">
      <c r="C244" s="266"/>
      <c r="D244" s="266"/>
      <c r="E244" s="266"/>
      <c r="F244" s="266"/>
      <c r="G244" s="266"/>
      <c r="H244" s="266"/>
      <c r="I244" s="266"/>
      <c r="J244" s="266"/>
      <c r="K244" s="266"/>
      <c r="L244" s="266"/>
      <c r="M244" s="266"/>
      <c r="N244" s="266"/>
    </row>
    <row r="245" spans="3:14" s="237" customFormat="1" x14ac:dyDescent="0.2">
      <c r="C245" s="266"/>
      <c r="D245" s="266"/>
      <c r="E245" s="266"/>
      <c r="F245" s="266"/>
      <c r="G245" s="266"/>
      <c r="H245" s="266"/>
      <c r="I245" s="266"/>
      <c r="J245" s="266"/>
      <c r="K245" s="266"/>
      <c r="L245" s="266"/>
      <c r="M245" s="266"/>
      <c r="N245" s="266"/>
    </row>
    <row r="246" spans="3:14" s="237" customFormat="1" x14ac:dyDescent="0.2">
      <c r="C246" s="266"/>
      <c r="D246" s="266"/>
      <c r="E246" s="266"/>
      <c r="F246" s="266"/>
      <c r="G246" s="266"/>
      <c r="H246" s="266"/>
      <c r="I246" s="266"/>
      <c r="J246" s="266"/>
      <c r="K246" s="266"/>
      <c r="L246" s="266"/>
      <c r="M246" s="266"/>
      <c r="N246" s="266"/>
    </row>
    <row r="247" spans="3:14" s="237" customFormat="1" x14ac:dyDescent="0.2">
      <c r="C247" s="266"/>
      <c r="D247" s="266"/>
      <c r="E247" s="266"/>
      <c r="F247" s="266"/>
      <c r="G247" s="266"/>
      <c r="H247" s="266"/>
      <c r="I247" s="266"/>
      <c r="J247" s="266"/>
      <c r="K247" s="266"/>
      <c r="L247" s="266"/>
      <c r="M247" s="266"/>
      <c r="N247" s="266"/>
    </row>
    <row r="248" spans="3:14" s="237" customFormat="1" x14ac:dyDescent="0.2">
      <c r="C248" s="266"/>
      <c r="D248" s="266"/>
      <c r="E248" s="266"/>
      <c r="F248" s="266"/>
      <c r="G248" s="266"/>
      <c r="H248" s="266"/>
      <c r="I248" s="266"/>
      <c r="J248" s="266"/>
      <c r="K248" s="266"/>
      <c r="L248" s="266"/>
      <c r="M248" s="266"/>
      <c r="N248" s="266"/>
    </row>
    <row r="249" spans="3:14" s="237" customFormat="1" x14ac:dyDescent="0.2">
      <c r="C249" s="266"/>
      <c r="D249" s="266"/>
      <c r="E249" s="266"/>
      <c r="F249" s="266"/>
      <c r="G249" s="266"/>
      <c r="H249" s="266"/>
      <c r="I249" s="266"/>
      <c r="J249" s="266"/>
      <c r="K249" s="266"/>
      <c r="L249" s="266"/>
      <c r="M249" s="266"/>
      <c r="N249" s="266"/>
    </row>
    <row r="250" spans="3:14" s="237" customFormat="1" x14ac:dyDescent="0.2">
      <c r="C250" s="266"/>
      <c r="D250" s="266"/>
      <c r="E250" s="266"/>
      <c r="F250" s="266"/>
      <c r="G250" s="266"/>
      <c r="H250" s="266"/>
      <c r="I250" s="266"/>
      <c r="J250" s="266"/>
      <c r="K250" s="266"/>
      <c r="L250" s="266"/>
      <c r="M250" s="266"/>
      <c r="N250" s="266"/>
    </row>
    <row r="251" spans="3:14" s="237" customFormat="1" x14ac:dyDescent="0.2">
      <c r="C251" s="266"/>
      <c r="D251" s="266"/>
      <c r="E251" s="266"/>
      <c r="F251" s="266"/>
      <c r="G251" s="266"/>
      <c r="H251" s="266"/>
      <c r="I251" s="266"/>
      <c r="J251" s="266"/>
      <c r="K251" s="266"/>
      <c r="L251" s="266"/>
      <c r="M251" s="266"/>
      <c r="N251" s="266"/>
    </row>
    <row r="252" spans="3:14" s="237" customFormat="1" x14ac:dyDescent="0.2">
      <c r="C252" s="266"/>
      <c r="D252" s="266"/>
      <c r="E252" s="266"/>
      <c r="F252" s="266"/>
      <c r="G252" s="266"/>
      <c r="H252" s="266"/>
      <c r="I252" s="266"/>
      <c r="J252" s="266"/>
      <c r="K252" s="266"/>
      <c r="L252" s="266"/>
      <c r="M252" s="266"/>
      <c r="N252" s="266"/>
    </row>
    <row r="253" spans="3:14" s="237" customFormat="1" x14ac:dyDescent="0.2">
      <c r="C253" s="266"/>
      <c r="D253" s="266"/>
      <c r="E253" s="266"/>
      <c r="F253" s="266"/>
      <c r="G253" s="266"/>
      <c r="H253" s="266"/>
      <c r="I253" s="266"/>
      <c r="J253" s="266"/>
      <c r="K253" s="266"/>
      <c r="L253" s="266"/>
      <c r="M253" s="266"/>
      <c r="N253" s="266"/>
    </row>
  </sheetData>
  <mergeCells count="22">
    <mergeCell ref="A3:N3"/>
    <mergeCell ref="A2:N2"/>
    <mergeCell ref="A4:N4"/>
    <mergeCell ref="A5:A6"/>
    <mergeCell ref="B5:B6"/>
    <mergeCell ref="C5:C6"/>
    <mergeCell ref="D5:D6"/>
    <mergeCell ref="E5:E6"/>
    <mergeCell ref="J5:J6"/>
    <mergeCell ref="F5:F6"/>
    <mergeCell ref="G5:G6"/>
    <mergeCell ref="H5:H6"/>
    <mergeCell ref="I5:I6"/>
    <mergeCell ref="A28:B28"/>
    <mergeCell ref="L5:L6"/>
    <mergeCell ref="M5:M6"/>
    <mergeCell ref="K5:K6"/>
    <mergeCell ref="N5:N6"/>
    <mergeCell ref="A7:B7"/>
    <mergeCell ref="A9:B9"/>
    <mergeCell ref="A11:B11"/>
    <mergeCell ref="A26:B26"/>
  </mergeCells>
  <phoneticPr fontId="0" type="noConversion"/>
  <pageMargins left="0.16" right="0.7" top="0.75" bottom="0.75" header="0.3" footer="0.3"/>
  <pageSetup scale="9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BASE!$F$3:$F$4</xm:f>
          </x14:formula1>
          <xm:sqref>A12:A25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C264"/>
  <sheetViews>
    <sheetView topLeftCell="A10" zoomScaleNormal="100" workbookViewId="0">
      <selection activeCell="K29" sqref="K29"/>
    </sheetView>
  </sheetViews>
  <sheetFormatPr baseColWidth="10" defaultRowHeight="12.75" x14ac:dyDescent="0.2"/>
  <cols>
    <col min="1" max="1" width="11.28515625" customWidth="1"/>
    <col min="2" max="2" width="26.7109375" customWidth="1"/>
    <col min="3" max="4" width="14.42578125" style="277" customWidth="1"/>
    <col min="5" max="9" width="12.7109375" style="277" customWidth="1"/>
    <col min="10" max="10" width="13.42578125" style="277" customWidth="1"/>
    <col min="11" max="13" width="12.7109375" style="277" customWidth="1"/>
    <col min="14" max="14" width="12.85546875" style="277" customWidth="1"/>
    <col min="15" max="81" width="11.42578125" style="237"/>
  </cols>
  <sheetData>
    <row r="1" spans="1:14" x14ac:dyDescent="0.2">
      <c r="A1" s="237"/>
      <c r="B1" s="237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</row>
    <row r="2" spans="1:14" ht="20.25" customHeight="1" x14ac:dyDescent="0.25">
      <c r="A2" s="1255" t="s">
        <v>471</v>
      </c>
      <c r="B2" s="1255"/>
      <c r="C2" s="1255"/>
      <c r="D2" s="1255"/>
      <c r="E2" s="1255"/>
      <c r="F2" s="1255"/>
      <c r="G2" s="1255"/>
      <c r="H2" s="1255"/>
      <c r="I2" s="1255"/>
      <c r="J2" s="1255"/>
      <c r="K2" s="1255"/>
      <c r="L2" s="1255"/>
      <c r="M2" s="1255"/>
      <c r="N2" s="1255"/>
    </row>
    <row r="3" spans="1:14" ht="20.25" customHeight="1" x14ac:dyDescent="0.25">
      <c r="A3" s="1254" t="str">
        <f>+PRESUPUESTO!B2</f>
        <v>MEDICINA PREGRADO</v>
      </c>
      <c r="B3" s="1254"/>
      <c r="C3" s="1254"/>
      <c r="D3" s="1254"/>
      <c r="E3" s="1254"/>
      <c r="F3" s="1254"/>
      <c r="G3" s="1254"/>
      <c r="H3" s="1254"/>
      <c r="I3" s="1254"/>
      <c r="J3" s="1254"/>
      <c r="K3" s="1254"/>
      <c r="L3" s="1254"/>
      <c r="M3" s="1254"/>
      <c r="N3" s="1254"/>
    </row>
    <row r="4" spans="1:14" ht="20.25" customHeight="1" thickBot="1" x14ac:dyDescent="0.3">
      <c r="A4" s="1256">
        <v>2018</v>
      </c>
      <c r="B4" s="1256"/>
      <c r="C4" s="1256"/>
      <c r="D4" s="1256"/>
      <c r="E4" s="1256"/>
      <c r="F4" s="1256"/>
      <c r="G4" s="1256"/>
      <c r="H4" s="1256"/>
      <c r="I4" s="1256"/>
      <c r="J4" s="1256"/>
      <c r="K4" s="1256"/>
      <c r="L4" s="1256"/>
      <c r="M4" s="1256"/>
      <c r="N4" s="1256"/>
    </row>
    <row r="5" spans="1:14" ht="12.75" customHeight="1" thickBot="1" x14ac:dyDescent="0.25">
      <c r="A5" s="1268" t="s">
        <v>828</v>
      </c>
      <c r="B5" s="1269"/>
      <c r="C5" s="1269"/>
      <c r="D5" s="1269"/>
      <c r="E5" s="1269"/>
      <c r="F5" s="1269"/>
      <c r="G5" s="1269"/>
      <c r="H5" s="1269"/>
      <c r="I5" s="1269"/>
      <c r="J5" s="1269"/>
      <c r="K5" s="1269"/>
      <c r="L5" s="1269"/>
      <c r="M5" s="1269"/>
      <c r="N5" s="1270"/>
    </row>
    <row r="6" spans="1:14" ht="12.75" customHeight="1" x14ac:dyDescent="0.2">
      <c r="A6" s="1257" t="s">
        <v>440</v>
      </c>
      <c r="B6" s="1259" t="s">
        <v>441</v>
      </c>
      <c r="C6" s="1249" t="s">
        <v>666</v>
      </c>
      <c r="D6" s="1249" t="s">
        <v>666</v>
      </c>
      <c r="E6" s="1249" t="s">
        <v>666</v>
      </c>
      <c r="F6" s="1249" t="s">
        <v>666</v>
      </c>
      <c r="G6" s="1249" t="s">
        <v>666</v>
      </c>
      <c r="H6" s="1249" t="s">
        <v>666</v>
      </c>
      <c r="I6" s="1249" t="s">
        <v>666</v>
      </c>
      <c r="J6" s="1249" t="s">
        <v>666</v>
      </c>
      <c r="K6" s="1249" t="s">
        <v>666</v>
      </c>
      <c r="L6" s="1249" t="s">
        <v>666</v>
      </c>
      <c r="M6" s="1249" t="s">
        <v>666</v>
      </c>
      <c r="N6" s="1249" t="s">
        <v>869</v>
      </c>
    </row>
    <row r="7" spans="1:14" ht="33" customHeight="1" thickBot="1" x14ac:dyDescent="0.25">
      <c r="A7" s="1258"/>
      <c r="B7" s="1260"/>
      <c r="C7" s="1250"/>
      <c r="D7" s="1250"/>
      <c r="E7" s="1250"/>
      <c r="F7" s="1250"/>
      <c r="G7" s="1250"/>
      <c r="H7" s="1250"/>
      <c r="I7" s="1250"/>
      <c r="J7" s="1250"/>
      <c r="K7" s="1250"/>
      <c r="L7" s="1250"/>
      <c r="M7" s="1250"/>
      <c r="N7" s="1250"/>
    </row>
    <row r="8" spans="1:14" ht="33" customHeight="1" thickBot="1" x14ac:dyDescent="0.25">
      <c r="A8" s="1263" t="s">
        <v>503</v>
      </c>
      <c r="B8" s="1264"/>
      <c r="C8" s="310"/>
      <c r="D8" s="310"/>
      <c r="E8" s="310"/>
      <c r="F8" s="310"/>
      <c r="G8" s="310"/>
      <c r="H8" s="310"/>
      <c r="I8" s="1060" t="s">
        <v>1463</v>
      </c>
      <c r="J8" s="310" t="s">
        <v>169</v>
      </c>
      <c r="K8" s="310" t="s">
        <v>169</v>
      </c>
      <c r="L8" s="267"/>
      <c r="M8" s="267"/>
      <c r="N8" s="268"/>
    </row>
    <row r="9" spans="1:14" x14ac:dyDescent="0.2">
      <c r="A9" s="249"/>
      <c r="B9" s="245" t="s">
        <v>469</v>
      </c>
      <c r="C9" s="292" t="s">
        <v>1258</v>
      </c>
      <c r="D9" s="292" t="s">
        <v>1260</v>
      </c>
      <c r="E9" s="292" t="s">
        <v>1261</v>
      </c>
      <c r="F9" s="984" t="s">
        <v>1263</v>
      </c>
      <c r="G9" s="292" t="s">
        <v>1265</v>
      </c>
      <c r="H9" s="292" t="s">
        <v>1267</v>
      </c>
      <c r="I9" s="1061" t="s">
        <v>169</v>
      </c>
      <c r="J9" s="292" t="s">
        <v>169</v>
      </c>
      <c r="K9" s="269"/>
      <c r="L9" s="269"/>
      <c r="M9" s="269"/>
      <c r="N9" s="279" t="s">
        <v>169</v>
      </c>
    </row>
    <row r="10" spans="1:14" x14ac:dyDescent="0.2">
      <c r="A10" s="239"/>
      <c r="B10" s="307" t="s">
        <v>474</v>
      </c>
      <c r="C10" s="308">
        <v>5</v>
      </c>
      <c r="D10" s="296">
        <v>2</v>
      </c>
      <c r="E10" s="296">
        <v>2</v>
      </c>
      <c r="F10" s="296">
        <v>10</v>
      </c>
      <c r="G10" s="296">
        <v>4</v>
      </c>
      <c r="H10" s="296">
        <v>2</v>
      </c>
      <c r="I10" s="1062" t="s">
        <v>169</v>
      </c>
      <c r="J10" s="296" t="s">
        <v>169</v>
      </c>
      <c r="K10" s="269"/>
      <c r="L10" s="269"/>
      <c r="M10" s="269"/>
      <c r="N10" s="279" t="s">
        <v>169</v>
      </c>
    </row>
    <row r="11" spans="1:14" ht="13.5" thickBot="1" x14ac:dyDescent="0.25">
      <c r="A11" s="250"/>
      <c r="B11" s="245" t="s">
        <v>504</v>
      </c>
      <c r="C11" s="293" t="s">
        <v>1259</v>
      </c>
      <c r="D11" s="293" t="s">
        <v>1259</v>
      </c>
      <c r="E11" s="985" t="s">
        <v>1262</v>
      </c>
      <c r="F11" s="985" t="s">
        <v>1264</v>
      </c>
      <c r="G11" s="293" t="s">
        <v>1266</v>
      </c>
      <c r="H11" s="293" t="s">
        <v>1268</v>
      </c>
      <c r="I11" s="1063" t="s">
        <v>169</v>
      </c>
      <c r="J11" s="314" t="s">
        <v>169</v>
      </c>
      <c r="K11" s="269"/>
      <c r="L11" s="269"/>
      <c r="M11" s="269"/>
      <c r="N11" s="270"/>
    </row>
    <row r="12" spans="1:14" ht="13.5" thickBot="1" x14ac:dyDescent="0.25">
      <c r="A12" s="247"/>
      <c r="B12" s="245" t="s">
        <v>472</v>
      </c>
      <c r="C12" s="294"/>
      <c r="D12" s="294"/>
      <c r="E12" s="280"/>
      <c r="F12" s="280"/>
      <c r="G12" s="294"/>
      <c r="H12" s="280"/>
      <c r="I12" s="1064"/>
      <c r="J12" s="309"/>
      <c r="K12" s="280"/>
      <c r="L12" s="280"/>
      <c r="M12" s="280"/>
      <c r="N12" s="270"/>
    </row>
    <row r="13" spans="1:14" ht="13.5" thickBot="1" x14ac:dyDescent="0.25">
      <c r="A13" s="1253" t="s">
        <v>445</v>
      </c>
      <c r="B13" s="1272"/>
      <c r="C13" s="920"/>
      <c r="D13" s="920"/>
      <c r="E13" s="899"/>
      <c r="F13" s="899"/>
      <c r="G13" s="899"/>
      <c r="H13" s="899"/>
      <c r="I13" s="1065"/>
      <c r="J13" s="899"/>
      <c r="K13" s="899"/>
      <c r="L13" s="899"/>
      <c r="M13" s="899"/>
      <c r="N13" s="268"/>
    </row>
    <row r="14" spans="1:14" x14ac:dyDescent="0.2">
      <c r="A14" s="912">
        <v>5105630000</v>
      </c>
      <c r="B14" s="902" t="s">
        <v>738</v>
      </c>
      <c r="C14" s="986"/>
      <c r="D14" s="986"/>
      <c r="E14" s="986"/>
      <c r="F14" s="986">
        <v>8000000</v>
      </c>
      <c r="G14" s="986">
        <v>4000000</v>
      </c>
      <c r="H14" s="986">
        <v>1400000</v>
      </c>
      <c r="I14" s="1066">
        <v>-4000000</v>
      </c>
      <c r="J14" s="924"/>
      <c r="K14" s="924"/>
      <c r="L14" s="924"/>
      <c r="M14" s="924"/>
      <c r="N14" s="915">
        <f t="shared" ref="N14:N20" si="0">SUM(C14:M14)</f>
        <v>9400000</v>
      </c>
    </row>
    <row r="15" spans="1:14" x14ac:dyDescent="0.2">
      <c r="A15" s="913">
        <v>5110950000</v>
      </c>
      <c r="B15" s="245" t="s">
        <v>223</v>
      </c>
      <c r="C15" s="986"/>
      <c r="D15" s="986"/>
      <c r="E15" s="986"/>
      <c r="F15" s="986"/>
      <c r="G15" s="986"/>
      <c r="H15" s="986"/>
      <c r="I15" s="1067"/>
      <c r="J15" s="289"/>
      <c r="K15" s="289"/>
      <c r="L15" s="289"/>
      <c r="M15" s="289"/>
      <c r="N15" s="270">
        <f t="shared" si="0"/>
        <v>0</v>
      </c>
    </row>
    <row r="16" spans="1:14" x14ac:dyDescent="0.2">
      <c r="A16" s="913">
        <v>5155050000</v>
      </c>
      <c r="B16" s="245" t="s">
        <v>420</v>
      </c>
      <c r="C16" s="986">
        <v>5000000</v>
      </c>
      <c r="D16" s="986">
        <v>2000000</v>
      </c>
      <c r="E16" s="986">
        <v>2000000</v>
      </c>
      <c r="F16" s="986"/>
      <c r="G16" s="986">
        <v>4000000</v>
      </c>
      <c r="H16" s="986"/>
      <c r="I16" s="1067">
        <v>-4000000</v>
      </c>
      <c r="J16" s="289"/>
      <c r="K16" s="289"/>
      <c r="L16" s="289"/>
      <c r="M16" s="289"/>
      <c r="N16" s="270">
        <f t="shared" si="0"/>
        <v>9000000</v>
      </c>
    </row>
    <row r="17" spans="1:14" x14ac:dyDescent="0.2">
      <c r="A17" s="913">
        <v>5155150000</v>
      </c>
      <c r="B17" s="245" t="s">
        <v>473</v>
      </c>
      <c r="C17" s="986">
        <v>7500000</v>
      </c>
      <c r="D17" s="986">
        <v>3000000</v>
      </c>
      <c r="E17" s="986">
        <v>3000000</v>
      </c>
      <c r="F17" s="986"/>
      <c r="G17" s="986">
        <v>4000000</v>
      </c>
      <c r="H17" s="986">
        <v>1000000</v>
      </c>
      <c r="I17" s="1067">
        <v>-4000000</v>
      </c>
      <c r="J17" s="289"/>
      <c r="K17" s="289"/>
      <c r="L17" s="289"/>
      <c r="M17" s="289"/>
      <c r="N17" s="270">
        <f t="shared" si="0"/>
        <v>14500000</v>
      </c>
    </row>
    <row r="18" spans="1:14" x14ac:dyDescent="0.2">
      <c r="A18" s="913">
        <v>5195200000</v>
      </c>
      <c r="B18" s="245" t="s">
        <v>451</v>
      </c>
      <c r="C18" s="986"/>
      <c r="D18" s="986"/>
      <c r="E18" s="986"/>
      <c r="F18" s="986"/>
      <c r="G18" s="986"/>
      <c r="H18" s="986"/>
      <c r="I18" s="1067"/>
      <c r="J18" s="289"/>
      <c r="K18" s="289"/>
      <c r="L18" s="289"/>
      <c r="M18" s="289"/>
      <c r="N18" s="270">
        <f t="shared" si="0"/>
        <v>0</v>
      </c>
    </row>
    <row r="19" spans="1:14" x14ac:dyDescent="0.2">
      <c r="A19" s="913">
        <v>5195450000</v>
      </c>
      <c r="B19" s="245" t="s">
        <v>454</v>
      </c>
      <c r="C19" s="986"/>
      <c r="D19" s="986"/>
      <c r="E19" s="986"/>
      <c r="F19" s="986"/>
      <c r="G19" s="986"/>
      <c r="H19" s="986"/>
      <c r="I19" s="1067"/>
      <c r="J19" s="289"/>
      <c r="K19" s="289"/>
      <c r="L19" s="289"/>
      <c r="M19" s="289"/>
      <c r="N19" s="270">
        <f t="shared" si="0"/>
        <v>0</v>
      </c>
    </row>
    <row r="20" spans="1:14" ht="13.5" thickBot="1" x14ac:dyDescent="0.25">
      <c r="A20" s="914">
        <v>5395950000</v>
      </c>
      <c r="B20" s="916" t="s">
        <v>457</v>
      </c>
      <c r="C20" s="925"/>
      <c r="D20" s="925"/>
      <c r="E20" s="925"/>
      <c r="F20" s="925"/>
      <c r="G20" s="925"/>
      <c r="H20" s="925"/>
      <c r="I20" s="1068"/>
      <c r="J20" s="925"/>
      <c r="K20" s="925"/>
      <c r="L20" s="925"/>
      <c r="M20" s="925"/>
      <c r="N20" s="919">
        <f t="shared" si="0"/>
        <v>0</v>
      </c>
    </row>
    <row r="21" spans="1:14" ht="13.5" thickBot="1" x14ac:dyDescent="0.25">
      <c r="A21" s="1265" t="s">
        <v>458</v>
      </c>
      <c r="B21" s="1267"/>
      <c r="C21" s="921">
        <f t="shared" ref="C21:M21" si="1">SUM(C14:C20)</f>
        <v>12500000</v>
      </c>
      <c r="D21" s="921">
        <f t="shared" si="1"/>
        <v>5000000</v>
      </c>
      <c r="E21" s="275">
        <f t="shared" si="1"/>
        <v>5000000</v>
      </c>
      <c r="F21" s="275">
        <f t="shared" si="1"/>
        <v>8000000</v>
      </c>
      <c r="G21" s="275">
        <f t="shared" si="1"/>
        <v>12000000</v>
      </c>
      <c r="H21" s="275">
        <f t="shared" si="1"/>
        <v>2400000</v>
      </c>
      <c r="I21" s="1069">
        <f t="shared" si="1"/>
        <v>-12000000</v>
      </c>
      <c r="J21" s="275">
        <f t="shared" si="1"/>
        <v>0</v>
      </c>
      <c r="K21" s="275">
        <f t="shared" si="1"/>
        <v>0</v>
      </c>
      <c r="L21" s="275">
        <f t="shared" si="1"/>
        <v>0</v>
      </c>
      <c r="M21" s="922">
        <f t="shared" si="1"/>
        <v>0</v>
      </c>
      <c r="N21" s="923">
        <f>SUM(C21:M21)</f>
        <v>32900000</v>
      </c>
    </row>
    <row r="22" spans="1:14" s="572" customFormat="1" ht="13.5" thickBot="1" x14ac:dyDescent="0.25">
      <c r="A22" s="674"/>
      <c r="B22" s="674"/>
      <c r="C22" s="675"/>
      <c r="D22" s="675"/>
      <c r="E22" s="676"/>
      <c r="F22" s="676"/>
      <c r="G22" s="676"/>
      <c r="H22" s="676"/>
      <c r="I22" s="676"/>
      <c r="J22" s="676"/>
      <c r="K22" s="676"/>
      <c r="L22" s="676"/>
      <c r="M22" s="676"/>
      <c r="N22" s="676"/>
    </row>
    <row r="23" spans="1:14" ht="13.5" thickBot="1" x14ac:dyDescent="0.25">
      <c r="A23" s="1268" t="s">
        <v>852</v>
      </c>
      <c r="B23" s="1269"/>
      <c r="C23" s="1269"/>
      <c r="D23" s="1269"/>
      <c r="E23" s="1269"/>
      <c r="F23" s="1269"/>
      <c r="G23" s="1269"/>
      <c r="H23" s="1269"/>
      <c r="I23" s="1269"/>
      <c r="J23" s="1269"/>
      <c r="K23" s="1269"/>
      <c r="L23" s="1269"/>
      <c r="M23" s="1269"/>
      <c r="N23" s="1270"/>
    </row>
    <row r="24" spans="1:14" ht="12.75" customHeight="1" x14ac:dyDescent="0.2">
      <c r="A24" s="1273" t="s">
        <v>418</v>
      </c>
      <c r="B24" s="1259" t="s">
        <v>441</v>
      </c>
      <c r="C24" s="1249" t="s">
        <v>666</v>
      </c>
      <c r="D24" s="1249" t="s">
        <v>666</v>
      </c>
      <c r="E24" s="1249" t="s">
        <v>666</v>
      </c>
      <c r="F24" s="1249" t="s">
        <v>666</v>
      </c>
      <c r="G24" s="1249" t="s">
        <v>666</v>
      </c>
      <c r="H24" s="1249" t="s">
        <v>666</v>
      </c>
      <c r="I24" s="1249" t="s">
        <v>666</v>
      </c>
      <c r="J24" s="1249" t="s">
        <v>666</v>
      </c>
      <c r="K24" s="1249" t="s">
        <v>666</v>
      </c>
      <c r="L24" s="1249" t="s">
        <v>666</v>
      </c>
      <c r="M24" s="1249" t="s">
        <v>666</v>
      </c>
      <c r="N24" s="1249" t="s">
        <v>869</v>
      </c>
    </row>
    <row r="25" spans="1:14" ht="13.5" thickBot="1" x14ac:dyDescent="0.25">
      <c r="A25" s="1274"/>
      <c r="B25" s="1260"/>
      <c r="C25" s="1250"/>
      <c r="D25" s="1250"/>
      <c r="E25" s="1250"/>
      <c r="F25" s="1250"/>
      <c r="G25" s="1250"/>
      <c r="H25" s="1250"/>
      <c r="I25" s="1250"/>
      <c r="J25" s="1250"/>
      <c r="K25" s="1250"/>
      <c r="L25" s="1250"/>
      <c r="M25" s="1250"/>
      <c r="N25" s="1250"/>
    </row>
    <row r="26" spans="1:14" ht="13.5" thickBot="1" x14ac:dyDescent="0.25">
      <c r="A26" s="1263" t="s">
        <v>503</v>
      </c>
      <c r="B26" s="1264"/>
      <c r="C26" s="521" t="s">
        <v>169</v>
      </c>
      <c r="D26" s="310" t="s">
        <v>169</v>
      </c>
      <c r="E26" s="310" t="s">
        <v>169</v>
      </c>
      <c r="F26" s="310" t="s">
        <v>169</v>
      </c>
      <c r="G26" s="310" t="s">
        <v>169</v>
      </c>
      <c r="H26" s="310" t="s">
        <v>169</v>
      </c>
      <c r="I26" s="310" t="s">
        <v>169</v>
      </c>
      <c r="J26" s="310" t="s">
        <v>169</v>
      </c>
      <c r="K26" s="310" t="s">
        <v>169</v>
      </c>
      <c r="L26" s="1070" t="s">
        <v>1463</v>
      </c>
      <c r="M26" s="267"/>
      <c r="N26" s="268"/>
    </row>
    <row r="27" spans="1:14" x14ac:dyDescent="0.2">
      <c r="A27" s="249"/>
      <c r="B27" s="245" t="s">
        <v>469</v>
      </c>
      <c r="C27" s="292" t="s">
        <v>1269</v>
      </c>
      <c r="D27" s="292" t="s">
        <v>1270</v>
      </c>
      <c r="E27" s="292" t="s">
        <v>1405</v>
      </c>
      <c r="F27" s="292" t="s">
        <v>1406</v>
      </c>
      <c r="G27" s="292" t="s">
        <v>1407</v>
      </c>
      <c r="H27" s="292" t="s">
        <v>1408</v>
      </c>
      <c r="I27" s="292" t="s">
        <v>1409</v>
      </c>
      <c r="J27" s="292" t="s">
        <v>1410</v>
      </c>
      <c r="K27" s="269"/>
      <c r="L27" s="1064"/>
      <c r="M27" s="269"/>
      <c r="N27" s="279" t="s">
        <v>169</v>
      </c>
    </row>
    <row r="28" spans="1:14" x14ac:dyDescent="0.2">
      <c r="A28" s="239"/>
      <c r="B28" s="307" t="s">
        <v>474</v>
      </c>
      <c r="C28" s="308">
        <v>4</v>
      </c>
      <c r="D28" s="308">
        <v>4</v>
      </c>
      <c r="E28" s="296">
        <v>2</v>
      </c>
      <c r="F28" s="296">
        <v>2</v>
      </c>
      <c r="G28" s="296">
        <v>2</v>
      </c>
      <c r="H28" s="296">
        <v>2</v>
      </c>
      <c r="I28" s="296">
        <v>2</v>
      </c>
      <c r="J28" s="296">
        <v>2</v>
      </c>
      <c r="K28" s="269"/>
      <c r="L28" s="1064"/>
      <c r="M28" s="269"/>
      <c r="N28" s="279" t="s">
        <v>169</v>
      </c>
    </row>
    <row r="29" spans="1:14" ht="13.5" thickBot="1" x14ac:dyDescent="0.25">
      <c r="A29" s="250"/>
      <c r="B29" s="245" t="s">
        <v>504</v>
      </c>
      <c r="C29" s="293" t="s">
        <v>1264</v>
      </c>
      <c r="D29" s="293" t="s">
        <v>1264</v>
      </c>
      <c r="E29" s="293" t="s">
        <v>169</v>
      </c>
      <c r="F29" s="293" t="s">
        <v>169</v>
      </c>
      <c r="G29" s="293" t="s">
        <v>169</v>
      </c>
      <c r="H29" s="293" t="s">
        <v>169</v>
      </c>
      <c r="I29" s="293" t="s">
        <v>169</v>
      </c>
      <c r="J29" s="314" t="s">
        <v>169</v>
      </c>
      <c r="K29" s="269"/>
      <c r="L29" s="1064"/>
      <c r="M29" s="269"/>
      <c r="N29" s="270"/>
    </row>
    <row r="30" spans="1:14" ht="13.5" thickBot="1" x14ac:dyDescent="0.25">
      <c r="A30" s="247"/>
      <c r="B30" s="245" t="s">
        <v>472</v>
      </c>
      <c r="C30" s="294"/>
      <c r="D30" s="294"/>
      <c r="E30" s="280"/>
      <c r="F30" s="280"/>
      <c r="G30" s="280"/>
      <c r="H30" s="280"/>
      <c r="I30" s="280"/>
      <c r="J30" s="309"/>
      <c r="K30" s="280"/>
      <c r="L30" s="1064"/>
      <c r="M30" s="280"/>
      <c r="N30" s="270"/>
    </row>
    <row r="31" spans="1:14" x14ac:dyDescent="0.2">
      <c r="A31" s="1253" t="s">
        <v>445</v>
      </c>
      <c r="B31" s="1252"/>
      <c r="C31" s="295"/>
      <c r="D31" s="295"/>
      <c r="E31" s="272"/>
      <c r="F31" s="272"/>
      <c r="G31" s="272"/>
      <c r="H31" s="272"/>
      <c r="I31" s="272"/>
      <c r="J31" s="272"/>
      <c r="K31" s="272"/>
      <c r="L31" s="1064"/>
      <c r="M31" s="272"/>
      <c r="N31" s="268"/>
    </row>
    <row r="32" spans="1:14" x14ac:dyDescent="0.2">
      <c r="A32" s="242">
        <v>5105630000</v>
      </c>
      <c r="B32" s="245" t="s">
        <v>738</v>
      </c>
      <c r="C32" s="1001">
        <v>4000000</v>
      </c>
      <c r="D32" s="1001">
        <v>4000000</v>
      </c>
      <c r="E32" s="289">
        <v>4000000</v>
      </c>
      <c r="F32" s="289">
        <v>4000000</v>
      </c>
      <c r="G32" s="289">
        <v>4000000</v>
      </c>
      <c r="H32" s="289">
        <v>4000000</v>
      </c>
      <c r="I32" s="289">
        <v>4000000</v>
      </c>
      <c r="J32" s="289">
        <v>4000000</v>
      </c>
      <c r="K32" s="289"/>
      <c r="L32" s="1067">
        <v>-4000000</v>
      </c>
      <c r="M32" s="289"/>
      <c r="N32" s="270">
        <f t="shared" ref="N32:N38" si="2">SUM(C32:M32)</f>
        <v>28000000</v>
      </c>
    </row>
    <row r="33" spans="1:14" x14ac:dyDescent="0.2">
      <c r="A33" s="242">
        <v>5110950000</v>
      </c>
      <c r="B33" s="245" t="s">
        <v>223</v>
      </c>
      <c r="C33" s="1001"/>
      <c r="D33" s="1001"/>
      <c r="E33" s="289"/>
      <c r="F33" s="289"/>
      <c r="G33" s="289"/>
      <c r="H33" s="289"/>
      <c r="I33" s="289"/>
      <c r="J33" s="289"/>
      <c r="K33" s="289"/>
      <c r="L33" s="1067"/>
      <c r="M33" s="289"/>
      <c r="N33" s="270">
        <f t="shared" si="2"/>
        <v>0</v>
      </c>
    </row>
    <row r="34" spans="1:14" x14ac:dyDescent="0.2">
      <c r="A34" s="242">
        <v>5155050000</v>
      </c>
      <c r="B34" s="245" t="s">
        <v>420</v>
      </c>
      <c r="C34" s="1001"/>
      <c r="D34" s="1001"/>
      <c r="E34" s="289"/>
      <c r="F34" s="289"/>
      <c r="G34" s="289"/>
      <c r="H34" s="289"/>
      <c r="I34" s="289"/>
      <c r="J34" s="289"/>
      <c r="K34" s="289"/>
      <c r="L34" s="1067"/>
      <c r="M34" s="289"/>
      <c r="N34" s="270">
        <f t="shared" si="2"/>
        <v>0</v>
      </c>
    </row>
    <row r="35" spans="1:14" x14ac:dyDescent="0.2">
      <c r="A35" s="242">
        <v>5155150000</v>
      </c>
      <c r="B35" s="245" t="s">
        <v>473</v>
      </c>
      <c r="C35" s="1001">
        <v>8000000</v>
      </c>
      <c r="D35" s="1001">
        <v>8000000</v>
      </c>
      <c r="E35" s="289">
        <v>5000000</v>
      </c>
      <c r="F35" s="289">
        <v>5000000</v>
      </c>
      <c r="G35" s="289">
        <v>5000000</v>
      </c>
      <c r="H35" s="289">
        <v>5000000</v>
      </c>
      <c r="I35" s="289">
        <v>5000000</v>
      </c>
      <c r="J35" s="289">
        <v>5000000</v>
      </c>
      <c r="K35" s="289"/>
      <c r="L35" s="1067">
        <v>-8000000</v>
      </c>
      <c r="M35" s="289"/>
      <c r="N35" s="270">
        <f t="shared" si="2"/>
        <v>38000000</v>
      </c>
    </row>
    <row r="36" spans="1:14" x14ac:dyDescent="0.2">
      <c r="A36" s="242">
        <v>5195200000</v>
      </c>
      <c r="B36" s="245" t="s">
        <v>451</v>
      </c>
      <c r="C36" s="289"/>
      <c r="D36" s="289"/>
      <c r="E36" s="289"/>
      <c r="F36" s="289"/>
      <c r="G36" s="289"/>
      <c r="H36" s="289"/>
      <c r="I36" s="289"/>
      <c r="J36" s="289"/>
      <c r="K36" s="289"/>
      <c r="L36" s="1067"/>
      <c r="M36" s="289"/>
      <c r="N36" s="270">
        <f t="shared" si="2"/>
        <v>0</v>
      </c>
    </row>
    <row r="37" spans="1:14" x14ac:dyDescent="0.2">
      <c r="A37" s="242">
        <v>5195450000</v>
      </c>
      <c r="B37" s="245" t="s">
        <v>454</v>
      </c>
      <c r="C37" s="289"/>
      <c r="D37" s="289"/>
      <c r="E37" s="289"/>
      <c r="F37" s="289"/>
      <c r="G37" s="289"/>
      <c r="H37" s="289"/>
      <c r="I37" s="289"/>
      <c r="J37" s="289"/>
      <c r="K37" s="289"/>
      <c r="L37" s="1067"/>
      <c r="M37" s="289"/>
      <c r="N37" s="270">
        <f t="shared" si="2"/>
        <v>0</v>
      </c>
    </row>
    <row r="38" spans="1:14" x14ac:dyDescent="0.2">
      <c r="A38" s="242">
        <v>5395950000</v>
      </c>
      <c r="B38" s="245" t="s">
        <v>457</v>
      </c>
      <c r="C38" s="289"/>
      <c r="D38" s="289"/>
      <c r="E38" s="289"/>
      <c r="F38" s="289"/>
      <c r="G38" s="289"/>
      <c r="H38" s="289"/>
      <c r="I38" s="289"/>
      <c r="J38" s="289"/>
      <c r="K38" s="289"/>
      <c r="L38" s="1067"/>
      <c r="M38" s="289"/>
      <c r="N38" s="270">
        <f t="shared" si="2"/>
        <v>0</v>
      </c>
    </row>
    <row r="39" spans="1:14" ht="13.5" thickBot="1" x14ac:dyDescent="0.25">
      <c r="A39" s="1265" t="s">
        <v>458</v>
      </c>
      <c r="B39" s="1266"/>
      <c r="C39" s="306">
        <f t="shared" ref="C39" si="3">SUM(C32:C38)</f>
        <v>12000000</v>
      </c>
      <c r="D39" s="306">
        <f t="shared" ref="D39" si="4">SUM(D32:D38)</f>
        <v>12000000</v>
      </c>
      <c r="E39" s="281">
        <f t="shared" ref="E39" si="5">SUM(E32:E38)</f>
        <v>9000000</v>
      </c>
      <c r="F39" s="281">
        <f t="shared" ref="F39" si="6">SUM(F32:F38)</f>
        <v>9000000</v>
      </c>
      <c r="G39" s="281">
        <f t="shared" ref="G39" si="7">SUM(G32:G38)</f>
        <v>9000000</v>
      </c>
      <c r="H39" s="281">
        <f t="shared" ref="H39" si="8">SUM(H32:H38)</f>
        <v>9000000</v>
      </c>
      <c r="I39" s="281">
        <f t="shared" ref="I39" si="9">SUM(I32:I38)</f>
        <v>9000000</v>
      </c>
      <c r="J39" s="281">
        <f t="shared" ref="J39" si="10">SUM(J32:J38)</f>
        <v>9000000</v>
      </c>
      <c r="K39" s="281">
        <f t="shared" ref="K39" si="11">SUM(K32:K38)</f>
        <v>0</v>
      </c>
      <c r="L39" s="1071">
        <f t="shared" ref="L39" si="12">SUM(L32:L38)</f>
        <v>-12000000</v>
      </c>
      <c r="M39" s="282">
        <f t="shared" ref="M39" si="13">SUM(M32:M38)</f>
        <v>0</v>
      </c>
      <c r="N39" s="283">
        <f>SUM(C39:M39)</f>
        <v>66000000</v>
      </c>
    </row>
    <row r="40" spans="1:14" x14ac:dyDescent="0.2">
      <c r="A40" s="1271"/>
      <c r="B40" s="1271"/>
      <c r="C40" s="1271"/>
      <c r="D40" s="1271"/>
      <c r="E40" s="1271"/>
      <c r="F40" s="1271"/>
      <c r="G40" s="1271"/>
      <c r="H40" s="1271"/>
      <c r="I40" s="1271"/>
      <c r="J40" s="1271"/>
      <c r="K40" s="1271"/>
      <c r="L40" s="1271"/>
      <c r="M40" s="1271"/>
      <c r="N40" s="1271"/>
    </row>
    <row r="41" spans="1:14" x14ac:dyDescent="0.2">
      <c r="A41" s="555" t="s">
        <v>831</v>
      </c>
      <c r="B41" s="252"/>
      <c r="C41" s="276"/>
      <c r="D41" s="276"/>
      <c r="E41" s="276"/>
      <c r="F41" s="276"/>
      <c r="G41" s="276"/>
      <c r="H41" s="276"/>
      <c r="I41" s="276"/>
      <c r="J41" s="276"/>
      <c r="K41" s="276"/>
      <c r="L41" s="276"/>
      <c r="M41" s="276"/>
      <c r="N41" s="266"/>
    </row>
    <row r="42" spans="1:14" x14ac:dyDescent="0.2">
      <c r="A42" s="237"/>
      <c r="B42" s="237"/>
      <c r="C42" s="266"/>
      <c r="D42" s="266"/>
      <c r="E42" s="266"/>
      <c r="F42" s="266"/>
      <c r="G42" s="266"/>
      <c r="H42" s="266"/>
      <c r="I42" s="266"/>
      <c r="J42" s="266"/>
      <c r="K42" s="266"/>
      <c r="L42" s="266"/>
      <c r="M42" s="266"/>
      <c r="N42" s="266"/>
    </row>
    <row r="43" spans="1:14" x14ac:dyDescent="0.2">
      <c r="A43" s="237"/>
      <c r="B43" s="237"/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6"/>
      <c r="N43" s="266"/>
    </row>
    <row r="44" spans="1:14" x14ac:dyDescent="0.2">
      <c r="A44" s="237"/>
      <c r="B44" s="237"/>
      <c r="C44" s="266"/>
      <c r="D44" s="266"/>
      <c r="E44" s="266"/>
      <c r="F44" s="266"/>
      <c r="G44" s="266"/>
      <c r="H44" s="266"/>
      <c r="I44" s="266"/>
      <c r="J44" s="266"/>
      <c r="K44" s="266"/>
      <c r="L44" s="266"/>
      <c r="M44" s="266"/>
      <c r="N44" s="266"/>
    </row>
    <row r="45" spans="1:14" x14ac:dyDescent="0.2">
      <c r="A45" s="237"/>
      <c r="B45" s="237"/>
      <c r="C45" s="266"/>
      <c r="D45" s="266"/>
      <c r="E45" s="266"/>
      <c r="F45" s="266"/>
      <c r="G45" s="266"/>
      <c r="H45" s="266"/>
      <c r="I45" s="266"/>
      <c r="J45" s="266"/>
      <c r="K45" s="266"/>
      <c r="L45" s="266"/>
      <c r="M45" s="266"/>
      <c r="N45" s="266"/>
    </row>
    <row r="46" spans="1:14" x14ac:dyDescent="0.2">
      <c r="A46" s="237"/>
      <c r="B46" s="237"/>
      <c r="C46" s="266"/>
      <c r="D46" s="266"/>
      <c r="E46" s="266"/>
      <c r="F46" s="266"/>
      <c r="G46" s="266"/>
      <c r="H46" s="266"/>
      <c r="I46" s="266"/>
      <c r="J46" s="266"/>
      <c r="K46" s="266"/>
      <c r="L46" s="266"/>
      <c r="M46" s="266"/>
      <c r="N46" s="266"/>
    </row>
    <row r="47" spans="1:14" x14ac:dyDescent="0.2">
      <c r="A47" s="237"/>
      <c r="B47" s="237"/>
      <c r="C47" s="266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</row>
    <row r="48" spans="1:14" x14ac:dyDescent="0.2">
      <c r="A48" s="237"/>
      <c r="B48" s="237"/>
      <c r="C48" s="266"/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</row>
    <row r="49" spans="1:14" x14ac:dyDescent="0.2">
      <c r="A49" s="237"/>
      <c r="B49" s="237"/>
      <c r="C49" s="266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</row>
    <row r="50" spans="1:14" x14ac:dyDescent="0.2">
      <c r="A50" s="237"/>
      <c r="B50" s="237"/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</row>
    <row r="51" spans="1:14" x14ac:dyDescent="0.2">
      <c r="A51" s="237"/>
      <c r="B51" s="237"/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</row>
    <row r="52" spans="1:14" s="237" customFormat="1" x14ac:dyDescent="0.2"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</row>
    <row r="53" spans="1:14" s="237" customFormat="1" x14ac:dyDescent="0.2">
      <c r="C53" s="266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</row>
    <row r="54" spans="1:14" s="237" customFormat="1" x14ac:dyDescent="0.2">
      <c r="C54" s="266"/>
      <c r="D54" s="266"/>
      <c r="E54" s="266"/>
      <c r="F54" s="266"/>
      <c r="G54" s="266"/>
      <c r="H54" s="266"/>
      <c r="I54" s="266"/>
      <c r="J54" s="266"/>
      <c r="K54" s="266"/>
      <c r="L54" s="266"/>
      <c r="M54" s="266"/>
      <c r="N54" s="266"/>
    </row>
    <row r="55" spans="1:14" s="237" customFormat="1" x14ac:dyDescent="0.2">
      <c r="C55" s="266"/>
      <c r="D55" s="266"/>
      <c r="E55" s="266"/>
      <c r="F55" s="266"/>
      <c r="G55" s="266"/>
      <c r="H55" s="266"/>
      <c r="I55" s="266"/>
      <c r="J55" s="266"/>
      <c r="K55" s="266"/>
      <c r="L55" s="266"/>
      <c r="M55" s="266"/>
      <c r="N55" s="266"/>
    </row>
    <row r="56" spans="1:14" s="237" customFormat="1" x14ac:dyDescent="0.2">
      <c r="C56" s="266"/>
      <c r="D56" s="266"/>
      <c r="E56" s="266"/>
      <c r="F56" s="266"/>
      <c r="G56" s="266"/>
      <c r="H56" s="266"/>
      <c r="I56" s="266"/>
      <c r="J56" s="266"/>
      <c r="K56" s="266"/>
      <c r="L56" s="266"/>
      <c r="M56" s="266"/>
      <c r="N56" s="266"/>
    </row>
    <row r="57" spans="1:14" s="237" customFormat="1" x14ac:dyDescent="0.2"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</row>
    <row r="58" spans="1:14" s="237" customFormat="1" x14ac:dyDescent="0.2">
      <c r="C58" s="266"/>
      <c r="D58" s="266"/>
      <c r="E58" s="266"/>
      <c r="F58" s="266"/>
      <c r="G58" s="266"/>
      <c r="H58" s="266"/>
      <c r="I58" s="266"/>
      <c r="J58" s="266"/>
      <c r="K58" s="266"/>
      <c r="L58" s="266"/>
      <c r="M58" s="266"/>
      <c r="N58" s="266"/>
    </row>
    <row r="59" spans="1:14" s="237" customFormat="1" x14ac:dyDescent="0.2">
      <c r="C59" s="266"/>
      <c r="D59" s="266"/>
      <c r="E59" s="266"/>
      <c r="F59" s="266"/>
      <c r="G59" s="266"/>
      <c r="H59" s="266"/>
      <c r="I59" s="266"/>
      <c r="J59" s="266"/>
      <c r="K59" s="266"/>
      <c r="L59" s="266"/>
      <c r="M59" s="266"/>
      <c r="N59" s="266"/>
    </row>
    <row r="60" spans="1:14" s="237" customFormat="1" x14ac:dyDescent="0.2">
      <c r="C60" s="266"/>
      <c r="D60" s="266"/>
      <c r="E60" s="266"/>
      <c r="F60" s="266"/>
      <c r="G60" s="266"/>
      <c r="H60" s="266"/>
      <c r="I60" s="266"/>
      <c r="J60" s="266"/>
      <c r="K60" s="266"/>
      <c r="L60" s="266"/>
      <c r="M60" s="266"/>
      <c r="N60" s="266"/>
    </row>
    <row r="61" spans="1:14" s="237" customFormat="1" x14ac:dyDescent="0.2">
      <c r="C61" s="266"/>
      <c r="D61" s="266"/>
      <c r="E61" s="266"/>
      <c r="F61" s="266"/>
      <c r="G61" s="266"/>
      <c r="H61" s="266"/>
      <c r="I61" s="266"/>
      <c r="J61" s="266"/>
      <c r="K61" s="266"/>
      <c r="L61" s="266"/>
      <c r="M61" s="266"/>
      <c r="N61" s="266"/>
    </row>
    <row r="62" spans="1:14" s="237" customFormat="1" x14ac:dyDescent="0.2"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6"/>
      <c r="N62" s="266"/>
    </row>
    <row r="63" spans="1:14" s="237" customFormat="1" x14ac:dyDescent="0.2">
      <c r="C63" s="266"/>
      <c r="D63" s="266"/>
      <c r="E63" s="266"/>
      <c r="F63" s="266"/>
      <c r="G63" s="266"/>
      <c r="H63" s="266"/>
      <c r="I63" s="266"/>
      <c r="J63" s="266"/>
      <c r="K63" s="266"/>
      <c r="L63" s="266"/>
      <c r="M63" s="266"/>
      <c r="N63" s="266"/>
    </row>
    <row r="64" spans="1:14" s="237" customFormat="1" x14ac:dyDescent="0.2">
      <c r="C64" s="266"/>
      <c r="D64" s="266"/>
      <c r="E64" s="266"/>
      <c r="F64" s="266"/>
      <c r="G64" s="266"/>
      <c r="H64" s="266"/>
      <c r="I64" s="266"/>
      <c r="J64" s="266"/>
      <c r="K64" s="266"/>
      <c r="L64" s="266"/>
      <c r="M64" s="266"/>
      <c r="N64" s="266"/>
    </row>
    <row r="65" spans="3:14" s="237" customFormat="1" x14ac:dyDescent="0.2">
      <c r="C65" s="266"/>
      <c r="D65" s="266"/>
      <c r="E65" s="266"/>
      <c r="F65" s="266"/>
      <c r="G65" s="266"/>
      <c r="H65" s="266"/>
      <c r="I65" s="266"/>
      <c r="J65" s="266"/>
      <c r="K65" s="266"/>
      <c r="L65" s="266"/>
      <c r="M65" s="266"/>
      <c r="N65" s="266"/>
    </row>
    <row r="66" spans="3:14" s="237" customFormat="1" x14ac:dyDescent="0.2"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6"/>
      <c r="N66" s="266"/>
    </row>
    <row r="67" spans="3:14" s="237" customFormat="1" x14ac:dyDescent="0.2">
      <c r="C67" s="266"/>
      <c r="D67" s="266"/>
      <c r="E67" s="266"/>
      <c r="F67" s="266"/>
      <c r="G67" s="266"/>
      <c r="H67" s="266"/>
      <c r="I67" s="266"/>
      <c r="J67" s="266"/>
      <c r="K67" s="266"/>
      <c r="L67" s="266"/>
      <c r="M67" s="266"/>
      <c r="N67" s="266"/>
    </row>
    <row r="68" spans="3:14" s="237" customFormat="1" x14ac:dyDescent="0.2">
      <c r="C68" s="266"/>
      <c r="D68" s="266"/>
      <c r="E68" s="266"/>
      <c r="F68" s="266"/>
      <c r="G68" s="266"/>
      <c r="H68" s="266"/>
      <c r="I68" s="266"/>
      <c r="J68" s="266"/>
      <c r="K68" s="266"/>
      <c r="L68" s="266"/>
      <c r="M68" s="266"/>
      <c r="N68" s="266"/>
    </row>
    <row r="69" spans="3:14" s="237" customFormat="1" x14ac:dyDescent="0.2">
      <c r="C69" s="266"/>
      <c r="D69" s="266"/>
      <c r="E69" s="266"/>
      <c r="F69" s="266"/>
      <c r="G69" s="266"/>
      <c r="H69" s="266"/>
      <c r="I69" s="266"/>
      <c r="J69" s="266"/>
      <c r="K69" s="266"/>
      <c r="L69" s="266"/>
      <c r="M69" s="266"/>
      <c r="N69" s="266"/>
    </row>
    <row r="70" spans="3:14" s="237" customFormat="1" x14ac:dyDescent="0.2">
      <c r="C70" s="266"/>
      <c r="D70" s="266"/>
      <c r="E70" s="266"/>
      <c r="F70" s="266"/>
      <c r="G70" s="266"/>
      <c r="H70" s="266"/>
      <c r="I70" s="266"/>
      <c r="J70" s="266"/>
      <c r="K70" s="266"/>
      <c r="L70" s="266"/>
      <c r="M70" s="266"/>
      <c r="N70" s="266"/>
    </row>
    <row r="71" spans="3:14" s="237" customFormat="1" x14ac:dyDescent="0.2">
      <c r="C71" s="266"/>
      <c r="D71" s="266"/>
      <c r="E71" s="266"/>
      <c r="F71" s="266"/>
      <c r="G71" s="266"/>
      <c r="H71" s="266"/>
      <c r="I71" s="266"/>
      <c r="J71" s="266"/>
      <c r="K71" s="266"/>
      <c r="L71" s="266"/>
      <c r="M71" s="266"/>
      <c r="N71" s="266"/>
    </row>
    <row r="72" spans="3:14" s="237" customFormat="1" x14ac:dyDescent="0.2">
      <c r="C72" s="266"/>
      <c r="D72" s="266"/>
      <c r="E72" s="266"/>
      <c r="F72" s="266"/>
      <c r="G72" s="266"/>
      <c r="H72" s="266"/>
      <c r="I72" s="266"/>
      <c r="J72" s="266"/>
      <c r="K72" s="266"/>
      <c r="L72" s="266"/>
      <c r="M72" s="266"/>
      <c r="N72" s="266"/>
    </row>
    <row r="73" spans="3:14" s="237" customFormat="1" x14ac:dyDescent="0.2">
      <c r="C73" s="266"/>
      <c r="D73" s="266"/>
      <c r="E73" s="266"/>
      <c r="F73" s="266"/>
      <c r="G73" s="266"/>
      <c r="H73" s="266"/>
      <c r="I73" s="266"/>
      <c r="J73" s="266"/>
      <c r="K73" s="266"/>
      <c r="L73" s="266"/>
      <c r="M73" s="266"/>
      <c r="N73" s="266"/>
    </row>
    <row r="74" spans="3:14" s="237" customFormat="1" x14ac:dyDescent="0.2">
      <c r="C74" s="266"/>
      <c r="D74" s="266"/>
      <c r="E74" s="266"/>
      <c r="F74" s="266"/>
      <c r="G74" s="266"/>
      <c r="H74" s="266"/>
      <c r="I74" s="266"/>
      <c r="J74" s="266"/>
      <c r="K74" s="266"/>
      <c r="L74" s="266"/>
      <c r="M74" s="266"/>
      <c r="N74" s="266"/>
    </row>
    <row r="75" spans="3:14" s="237" customFormat="1" x14ac:dyDescent="0.2">
      <c r="C75" s="266"/>
      <c r="D75" s="266"/>
      <c r="E75" s="266"/>
      <c r="F75" s="266"/>
      <c r="G75" s="266"/>
      <c r="H75" s="266"/>
      <c r="I75" s="266"/>
      <c r="J75" s="266"/>
      <c r="K75" s="266"/>
      <c r="L75" s="266"/>
      <c r="M75" s="266"/>
      <c r="N75" s="266"/>
    </row>
    <row r="76" spans="3:14" s="237" customFormat="1" x14ac:dyDescent="0.2">
      <c r="C76" s="266"/>
      <c r="D76" s="266"/>
      <c r="E76" s="266"/>
      <c r="F76" s="266"/>
      <c r="G76" s="266"/>
      <c r="H76" s="266"/>
      <c r="I76" s="266"/>
      <c r="J76" s="266"/>
      <c r="K76" s="266"/>
      <c r="L76" s="266"/>
      <c r="M76" s="266"/>
      <c r="N76" s="266"/>
    </row>
    <row r="77" spans="3:14" s="237" customFormat="1" x14ac:dyDescent="0.2">
      <c r="C77" s="266"/>
      <c r="D77" s="266"/>
      <c r="E77" s="266"/>
      <c r="F77" s="266"/>
      <c r="G77" s="266"/>
      <c r="H77" s="266"/>
      <c r="I77" s="266"/>
      <c r="J77" s="266"/>
      <c r="K77" s="266"/>
      <c r="L77" s="266"/>
      <c r="M77" s="266"/>
      <c r="N77" s="266"/>
    </row>
    <row r="78" spans="3:14" s="237" customFormat="1" x14ac:dyDescent="0.2">
      <c r="C78" s="266"/>
      <c r="D78" s="266"/>
      <c r="E78" s="266"/>
      <c r="F78" s="266"/>
      <c r="G78" s="266"/>
      <c r="H78" s="266"/>
      <c r="I78" s="266"/>
      <c r="J78" s="266"/>
      <c r="K78" s="266"/>
      <c r="L78" s="266"/>
      <c r="M78" s="266"/>
      <c r="N78" s="266"/>
    </row>
    <row r="79" spans="3:14" s="237" customFormat="1" x14ac:dyDescent="0.2">
      <c r="C79" s="266"/>
      <c r="D79" s="266"/>
      <c r="E79" s="266"/>
      <c r="F79" s="266"/>
      <c r="G79" s="266"/>
      <c r="H79" s="266"/>
      <c r="I79" s="266"/>
      <c r="J79" s="266"/>
      <c r="K79" s="266"/>
      <c r="L79" s="266"/>
      <c r="M79" s="266"/>
      <c r="N79" s="266"/>
    </row>
    <row r="80" spans="3:14" s="237" customFormat="1" x14ac:dyDescent="0.2">
      <c r="C80" s="266"/>
      <c r="D80" s="266"/>
      <c r="E80" s="266"/>
      <c r="F80" s="266"/>
      <c r="G80" s="266"/>
      <c r="H80" s="266"/>
      <c r="I80" s="266"/>
      <c r="J80" s="266"/>
      <c r="K80" s="266"/>
      <c r="L80" s="266"/>
      <c r="M80" s="266"/>
      <c r="N80" s="266"/>
    </row>
    <row r="81" spans="3:14" s="237" customFormat="1" x14ac:dyDescent="0.2">
      <c r="C81" s="266"/>
      <c r="D81" s="266"/>
      <c r="E81" s="266"/>
      <c r="F81" s="266"/>
      <c r="G81" s="266"/>
      <c r="H81" s="266"/>
      <c r="I81" s="266"/>
      <c r="J81" s="266"/>
      <c r="K81" s="266"/>
      <c r="L81" s="266"/>
      <c r="M81" s="266"/>
      <c r="N81" s="266"/>
    </row>
    <row r="82" spans="3:14" s="237" customFormat="1" x14ac:dyDescent="0.2">
      <c r="C82" s="266"/>
      <c r="D82" s="266"/>
      <c r="E82" s="266"/>
      <c r="F82" s="266"/>
      <c r="G82" s="266"/>
      <c r="H82" s="266"/>
      <c r="I82" s="266"/>
      <c r="J82" s="266"/>
      <c r="K82" s="266"/>
      <c r="L82" s="266"/>
      <c r="M82" s="266"/>
      <c r="N82" s="266"/>
    </row>
    <row r="83" spans="3:14" s="237" customFormat="1" x14ac:dyDescent="0.2">
      <c r="C83" s="266"/>
      <c r="D83" s="266"/>
      <c r="E83" s="266"/>
      <c r="F83" s="266"/>
      <c r="G83" s="266"/>
      <c r="H83" s="266"/>
      <c r="I83" s="266"/>
      <c r="J83" s="266"/>
      <c r="K83" s="266"/>
      <c r="L83" s="266"/>
      <c r="M83" s="266"/>
      <c r="N83" s="266"/>
    </row>
    <row r="84" spans="3:14" s="237" customFormat="1" x14ac:dyDescent="0.2">
      <c r="C84" s="266"/>
      <c r="D84" s="266"/>
      <c r="E84" s="266"/>
      <c r="F84" s="266"/>
      <c r="G84" s="266"/>
      <c r="H84" s="266"/>
      <c r="I84" s="266"/>
      <c r="J84" s="266"/>
      <c r="K84" s="266"/>
      <c r="L84" s="266"/>
      <c r="M84" s="266"/>
      <c r="N84" s="266"/>
    </row>
    <row r="85" spans="3:14" s="237" customFormat="1" x14ac:dyDescent="0.2">
      <c r="C85" s="266"/>
      <c r="D85" s="266"/>
      <c r="E85" s="266"/>
      <c r="F85" s="266"/>
      <c r="G85" s="266"/>
      <c r="H85" s="266"/>
      <c r="I85" s="266"/>
      <c r="J85" s="266"/>
      <c r="K85" s="266"/>
      <c r="L85" s="266"/>
      <c r="M85" s="266"/>
      <c r="N85" s="266"/>
    </row>
    <row r="86" spans="3:14" s="237" customFormat="1" x14ac:dyDescent="0.2">
      <c r="C86" s="266"/>
      <c r="D86" s="266"/>
      <c r="E86" s="266"/>
      <c r="F86" s="266"/>
      <c r="G86" s="266"/>
      <c r="H86" s="266"/>
      <c r="I86" s="266"/>
      <c r="J86" s="266"/>
      <c r="K86" s="266"/>
      <c r="L86" s="266"/>
      <c r="M86" s="266"/>
      <c r="N86" s="266"/>
    </row>
    <row r="87" spans="3:14" s="237" customFormat="1" x14ac:dyDescent="0.2">
      <c r="C87" s="266"/>
      <c r="D87" s="266"/>
      <c r="E87" s="266"/>
      <c r="F87" s="266"/>
      <c r="G87" s="266"/>
      <c r="H87" s="266"/>
      <c r="I87" s="266"/>
      <c r="J87" s="266"/>
      <c r="K87" s="266"/>
      <c r="L87" s="266"/>
      <c r="M87" s="266"/>
      <c r="N87" s="266"/>
    </row>
    <row r="88" spans="3:14" s="237" customFormat="1" x14ac:dyDescent="0.2">
      <c r="C88" s="266"/>
      <c r="D88" s="266"/>
      <c r="E88" s="266"/>
      <c r="F88" s="266"/>
      <c r="G88" s="266"/>
      <c r="H88" s="266"/>
      <c r="I88" s="266"/>
      <c r="J88" s="266"/>
      <c r="K88" s="266"/>
      <c r="L88" s="266"/>
      <c r="M88" s="266"/>
      <c r="N88" s="266"/>
    </row>
    <row r="89" spans="3:14" s="237" customFormat="1" x14ac:dyDescent="0.2">
      <c r="C89" s="266"/>
      <c r="D89" s="266"/>
      <c r="E89" s="266"/>
      <c r="F89" s="266"/>
      <c r="G89" s="266"/>
      <c r="H89" s="266"/>
      <c r="I89" s="266"/>
      <c r="J89" s="266"/>
      <c r="K89" s="266"/>
      <c r="L89" s="266"/>
      <c r="M89" s="266"/>
      <c r="N89" s="266"/>
    </row>
    <row r="90" spans="3:14" s="237" customFormat="1" x14ac:dyDescent="0.2">
      <c r="C90" s="266"/>
      <c r="D90" s="266"/>
      <c r="E90" s="266"/>
      <c r="F90" s="266"/>
      <c r="G90" s="266"/>
      <c r="H90" s="266"/>
      <c r="I90" s="266"/>
      <c r="J90" s="266"/>
      <c r="K90" s="266"/>
      <c r="L90" s="266"/>
      <c r="M90" s="266"/>
      <c r="N90" s="266"/>
    </row>
    <row r="91" spans="3:14" s="237" customFormat="1" x14ac:dyDescent="0.2">
      <c r="C91" s="266"/>
      <c r="D91" s="266"/>
      <c r="E91" s="266"/>
      <c r="F91" s="266"/>
      <c r="G91" s="266"/>
      <c r="H91" s="266"/>
      <c r="I91" s="266"/>
      <c r="J91" s="266"/>
      <c r="K91" s="266"/>
      <c r="L91" s="266"/>
      <c r="M91" s="266"/>
      <c r="N91" s="266"/>
    </row>
    <row r="92" spans="3:14" s="237" customFormat="1" x14ac:dyDescent="0.2">
      <c r="C92" s="266"/>
      <c r="D92" s="266"/>
      <c r="E92" s="266"/>
      <c r="F92" s="266"/>
      <c r="G92" s="266"/>
      <c r="H92" s="266"/>
      <c r="I92" s="266"/>
      <c r="J92" s="266"/>
      <c r="K92" s="266"/>
      <c r="L92" s="266"/>
      <c r="M92" s="266"/>
      <c r="N92" s="266"/>
    </row>
    <row r="93" spans="3:14" s="237" customFormat="1" x14ac:dyDescent="0.2">
      <c r="C93" s="266"/>
      <c r="D93" s="266"/>
      <c r="E93" s="266"/>
      <c r="F93" s="266"/>
      <c r="G93" s="266"/>
      <c r="H93" s="266"/>
      <c r="I93" s="266"/>
      <c r="J93" s="266"/>
      <c r="K93" s="266"/>
      <c r="L93" s="266"/>
      <c r="M93" s="266"/>
      <c r="N93" s="266"/>
    </row>
    <row r="94" spans="3:14" s="237" customFormat="1" x14ac:dyDescent="0.2">
      <c r="C94" s="266"/>
      <c r="D94" s="266"/>
      <c r="E94" s="266"/>
      <c r="F94" s="266"/>
      <c r="G94" s="266"/>
      <c r="H94" s="266"/>
      <c r="I94" s="266"/>
      <c r="J94" s="266"/>
      <c r="K94" s="266"/>
      <c r="L94" s="266"/>
      <c r="M94" s="266"/>
      <c r="N94" s="266"/>
    </row>
    <row r="95" spans="3:14" s="237" customFormat="1" x14ac:dyDescent="0.2">
      <c r="C95" s="266"/>
      <c r="D95" s="266"/>
      <c r="E95" s="266"/>
      <c r="F95" s="266"/>
      <c r="G95" s="266"/>
      <c r="H95" s="266"/>
      <c r="I95" s="266"/>
      <c r="J95" s="266"/>
      <c r="K95" s="266"/>
      <c r="L95" s="266"/>
      <c r="M95" s="266"/>
      <c r="N95" s="266"/>
    </row>
    <row r="96" spans="3:14" s="237" customFormat="1" x14ac:dyDescent="0.2">
      <c r="C96" s="266"/>
      <c r="D96" s="266"/>
      <c r="E96" s="266"/>
      <c r="F96" s="266"/>
      <c r="G96" s="266"/>
      <c r="H96" s="266"/>
      <c r="I96" s="266"/>
      <c r="J96" s="266"/>
      <c r="K96" s="266"/>
      <c r="L96" s="266"/>
      <c r="M96" s="266"/>
      <c r="N96" s="266"/>
    </row>
    <row r="97" spans="3:14" s="237" customFormat="1" x14ac:dyDescent="0.2">
      <c r="C97" s="266"/>
      <c r="D97" s="266"/>
      <c r="E97" s="266"/>
      <c r="F97" s="266"/>
      <c r="G97" s="266"/>
      <c r="H97" s="266"/>
      <c r="I97" s="266"/>
      <c r="J97" s="266"/>
      <c r="K97" s="266"/>
      <c r="L97" s="266"/>
      <c r="M97" s="266"/>
      <c r="N97" s="266"/>
    </row>
    <row r="98" spans="3:14" s="237" customFormat="1" x14ac:dyDescent="0.2">
      <c r="C98" s="266"/>
      <c r="D98" s="266"/>
      <c r="E98" s="266"/>
      <c r="F98" s="266"/>
      <c r="G98" s="266"/>
      <c r="H98" s="266"/>
      <c r="I98" s="266"/>
      <c r="J98" s="266"/>
      <c r="K98" s="266"/>
      <c r="L98" s="266"/>
      <c r="M98" s="266"/>
      <c r="N98" s="266"/>
    </row>
    <row r="99" spans="3:14" s="237" customFormat="1" x14ac:dyDescent="0.2">
      <c r="C99" s="266"/>
      <c r="D99" s="266"/>
      <c r="E99" s="266"/>
      <c r="F99" s="266"/>
      <c r="G99" s="266"/>
      <c r="H99" s="266"/>
      <c r="I99" s="266"/>
      <c r="J99" s="266"/>
      <c r="K99" s="266"/>
      <c r="L99" s="266"/>
      <c r="M99" s="266"/>
      <c r="N99" s="266"/>
    </row>
    <row r="100" spans="3:14" s="237" customFormat="1" x14ac:dyDescent="0.2">
      <c r="C100" s="266"/>
      <c r="D100" s="266"/>
      <c r="E100" s="266"/>
      <c r="F100" s="266"/>
      <c r="G100" s="266"/>
      <c r="H100" s="266"/>
      <c r="I100" s="266"/>
      <c r="J100" s="266"/>
      <c r="K100" s="266"/>
      <c r="L100" s="266"/>
      <c r="M100" s="266"/>
      <c r="N100" s="266"/>
    </row>
    <row r="101" spans="3:14" s="237" customFormat="1" x14ac:dyDescent="0.2">
      <c r="C101" s="266"/>
      <c r="D101" s="266"/>
      <c r="E101" s="266"/>
      <c r="F101" s="266"/>
      <c r="G101" s="266"/>
      <c r="H101" s="266"/>
      <c r="I101" s="266"/>
      <c r="J101" s="266"/>
      <c r="K101" s="266"/>
      <c r="L101" s="266"/>
      <c r="M101" s="266"/>
      <c r="N101" s="266"/>
    </row>
    <row r="102" spans="3:14" s="237" customFormat="1" x14ac:dyDescent="0.2">
      <c r="C102" s="266"/>
      <c r="D102" s="266"/>
      <c r="E102" s="266"/>
      <c r="F102" s="266"/>
      <c r="G102" s="266"/>
      <c r="H102" s="266"/>
      <c r="I102" s="266"/>
      <c r="J102" s="266"/>
      <c r="K102" s="266"/>
      <c r="L102" s="266"/>
      <c r="M102" s="266"/>
      <c r="N102" s="266"/>
    </row>
    <row r="103" spans="3:14" s="237" customFormat="1" x14ac:dyDescent="0.2">
      <c r="C103" s="266"/>
      <c r="D103" s="266"/>
      <c r="E103" s="266"/>
      <c r="F103" s="266"/>
      <c r="G103" s="266"/>
      <c r="H103" s="266"/>
      <c r="I103" s="266"/>
      <c r="J103" s="266"/>
      <c r="K103" s="266"/>
      <c r="L103" s="266"/>
      <c r="M103" s="266"/>
      <c r="N103" s="266"/>
    </row>
    <row r="104" spans="3:14" s="237" customFormat="1" x14ac:dyDescent="0.2">
      <c r="C104" s="266"/>
      <c r="D104" s="266"/>
      <c r="E104" s="266"/>
      <c r="F104" s="266"/>
      <c r="G104" s="266"/>
      <c r="H104" s="266"/>
      <c r="I104" s="266"/>
      <c r="J104" s="266"/>
      <c r="K104" s="266"/>
      <c r="L104" s="266"/>
      <c r="M104" s="266"/>
      <c r="N104" s="266"/>
    </row>
    <row r="105" spans="3:14" s="237" customFormat="1" x14ac:dyDescent="0.2">
      <c r="C105" s="266"/>
      <c r="D105" s="266"/>
      <c r="E105" s="266"/>
      <c r="F105" s="266"/>
      <c r="G105" s="266"/>
      <c r="H105" s="266"/>
      <c r="I105" s="266"/>
      <c r="J105" s="266"/>
      <c r="K105" s="266"/>
      <c r="L105" s="266"/>
      <c r="M105" s="266"/>
      <c r="N105" s="266"/>
    </row>
    <row r="106" spans="3:14" s="237" customFormat="1" x14ac:dyDescent="0.2">
      <c r="C106" s="266"/>
      <c r="D106" s="266"/>
      <c r="E106" s="266"/>
      <c r="F106" s="266"/>
      <c r="G106" s="266"/>
      <c r="H106" s="266"/>
      <c r="I106" s="266"/>
      <c r="J106" s="266"/>
      <c r="K106" s="266"/>
      <c r="L106" s="266"/>
      <c r="M106" s="266"/>
      <c r="N106" s="266"/>
    </row>
    <row r="107" spans="3:14" s="237" customFormat="1" x14ac:dyDescent="0.2">
      <c r="C107" s="266"/>
      <c r="D107" s="266"/>
      <c r="E107" s="266"/>
      <c r="F107" s="266"/>
      <c r="G107" s="266"/>
      <c r="H107" s="266"/>
      <c r="I107" s="266"/>
      <c r="J107" s="266"/>
      <c r="K107" s="266"/>
      <c r="L107" s="266"/>
      <c r="M107" s="266"/>
      <c r="N107" s="266"/>
    </row>
    <row r="108" spans="3:14" s="237" customFormat="1" x14ac:dyDescent="0.2">
      <c r="C108" s="266"/>
      <c r="D108" s="266"/>
      <c r="E108" s="266"/>
      <c r="F108" s="266"/>
      <c r="G108" s="266"/>
      <c r="H108" s="266"/>
      <c r="I108" s="266"/>
      <c r="J108" s="266"/>
      <c r="K108" s="266"/>
      <c r="L108" s="266"/>
      <c r="M108" s="266"/>
      <c r="N108" s="266"/>
    </row>
    <row r="109" spans="3:14" s="237" customFormat="1" x14ac:dyDescent="0.2">
      <c r="C109" s="266"/>
      <c r="D109" s="266"/>
      <c r="E109" s="266"/>
      <c r="F109" s="266"/>
      <c r="G109" s="266"/>
      <c r="H109" s="266"/>
      <c r="I109" s="266"/>
      <c r="J109" s="266"/>
      <c r="K109" s="266"/>
      <c r="L109" s="266"/>
      <c r="M109" s="266"/>
      <c r="N109" s="266"/>
    </row>
    <row r="110" spans="3:14" s="237" customFormat="1" x14ac:dyDescent="0.2">
      <c r="C110" s="266"/>
      <c r="D110" s="266"/>
      <c r="E110" s="266"/>
      <c r="F110" s="266"/>
      <c r="G110" s="266"/>
      <c r="H110" s="266"/>
      <c r="I110" s="266"/>
      <c r="J110" s="266"/>
      <c r="K110" s="266"/>
      <c r="L110" s="266"/>
      <c r="M110" s="266"/>
      <c r="N110" s="266"/>
    </row>
    <row r="111" spans="3:14" s="237" customFormat="1" x14ac:dyDescent="0.2">
      <c r="C111" s="266"/>
      <c r="D111" s="266"/>
      <c r="E111" s="266"/>
      <c r="F111" s="266"/>
      <c r="G111" s="266"/>
      <c r="H111" s="266"/>
      <c r="I111" s="266"/>
      <c r="J111" s="266"/>
      <c r="K111" s="266"/>
      <c r="L111" s="266"/>
      <c r="M111" s="266"/>
      <c r="N111" s="266"/>
    </row>
    <row r="112" spans="3:14" s="237" customFormat="1" x14ac:dyDescent="0.2">
      <c r="C112" s="266"/>
      <c r="D112" s="266"/>
      <c r="E112" s="266"/>
      <c r="F112" s="266"/>
      <c r="G112" s="266"/>
      <c r="H112" s="266"/>
      <c r="I112" s="266"/>
      <c r="J112" s="266"/>
      <c r="K112" s="266"/>
      <c r="L112" s="266"/>
      <c r="M112" s="266"/>
      <c r="N112" s="266"/>
    </row>
    <row r="113" spans="3:14" s="237" customFormat="1" x14ac:dyDescent="0.2">
      <c r="C113" s="266"/>
      <c r="D113" s="266"/>
      <c r="E113" s="266"/>
      <c r="F113" s="266"/>
      <c r="G113" s="266"/>
      <c r="H113" s="266"/>
      <c r="I113" s="266"/>
      <c r="J113" s="266"/>
      <c r="K113" s="266"/>
      <c r="L113" s="266"/>
      <c r="M113" s="266"/>
      <c r="N113" s="266"/>
    </row>
    <row r="114" spans="3:14" s="237" customFormat="1" x14ac:dyDescent="0.2">
      <c r="C114" s="266"/>
      <c r="D114" s="266"/>
      <c r="E114" s="266"/>
      <c r="F114" s="266"/>
      <c r="G114" s="266"/>
      <c r="H114" s="266"/>
      <c r="I114" s="266"/>
      <c r="J114" s="266"/>
      <c r="K114" s="266"/>
      <c r="L114" s="266"/>
      <c r="M114" s="266"/>
      <c r="N114" s="266"/>
    </row>
    <row r="115" spans="3:14" s="237" customFormat="1" x14ac:dyDescent="0.2">
      <c r="C115" s="266"/>
      <c r="D115" s="266"/>
      <c r="E115" s="266"/>
      <c r="F115" s="266"/>
      <c r="G115" s="266"/>
      <c r="H115" s="266"/>
      <c r="I115" s="266"/>
      <c r="J115" s="266"/>
      <c r="K115" s="266"/>
      <c r="L115" s="266"/>
      <c r="M115" s="266"/>
      <c r="N115" s="266"/>
    </row>
    <row r="116" spans="3:14" s="237" customFormat="1" x14ac:dyDescent="0.2">
      <c r="C116" s="266"/>
      <c r="D116" s="266"/>
      <c r="E116" s="266"/>
      <c r="F116" s="266"/>
      <c r="G116" s="266"/>
      <c r="H116" s="266"/>
      <c r="I116" s="266"/>
      <c r="J116" s="266"/>
      <c r="K116" s="266"/>
      <c r="L116" s="266"/>
      <c r="M116" s="266"/>
      <c r="N116" s="266"/>
    </row>
    <row r="117" spans="3:14" s="237" customFormat="1" x14ac:dyDescent="0.2">
      <c r="C117" s="266"/>
      <c r="D117" s="266"/>
      <c r="E117" s="266"/>
      <c r="F117" s="266"/>
      <c r="G117" s="266"/>
      <c r="H117" s="266"/>
      <c r="I117" s="266"/>
      <c r="J117" s="266"/>
      <c r="K117" s="266"/>
      <c r="L117" s="266"/>
      <c r="M117" s="266"/>
      <c r="N117" s="266"/>
    </row>
    <row r="118" spans="3:14" s="237" customFormat="1" x14ac:dyDescent="0.2">
      <c r="C118" s="266"/>
      <c r="D118" s="266"/>
      <c r="E118" s="266"/>
      <c r="F118" s="266"/>
      <c r="G118" s="266"/>
      <c r="H118" s="266"/>
      <c r="I118" s="266"/>
      <c r="J118" s="266"/>
      <c r="K118" s="266"/>
      <c r="L118" s="266"/>
      <c r="M118" s="266"/>
      <c r="N118" s="266"/>
    </row>
    <row r="119" spans="3:14" s="237" customFormat="1" x14ac:dyDescent="0.2">
      <c r="C119" s="266"/>
      <c r="D119" s="266"/>
      <c r="E119" s="266"/>
      <c r="F119" s="266"/>
      <c r="G119" s="266"/>
      <c r="H119" s="266"/>
      <c r="I119" s="266"/>
      <c r="J119" s="266"/>
      <c r="K119" s="266"/>
      <c r="L119" s="266"/>
      <c r="M119" s="266"/>
      <c r="N119" s="266"/>
    </row>
    <row r="120" spans="3:14" s="237" customFormat="1" x14ac:dyDescent="0.2">
      <c r="C120" s="266"/>
      <c r="D120" s="266"/>
      <c r="E120" s="266"/>
      <c r="F120" s="266"/>
      <c r="G120" s="266"/>
      <c r="H120" s="266"/>
      <c r="I120" s="266"/>
      <c r="J120" s="266"/>
      <c r="K120" s="266"/>
      <c r="L120" s="266"/>
      <c r="M120" s="266"/>
      <c r="N120" s="266"/>
    </row>
    <row r="121" spans="3:14" s="237" customFormat="1" x14ac:dyDescent="0.2">
      <c r="C121" s="266"/>
      <c r="D121" s="266"/>
      <c r="E121" s="266"/>
      <c r="F121" s="266"/>
      <c r="G121" s="266"/>
      <c r="H121" s="266"/>
      <c r="I121" s="266"/>
      <c r="J121" s="266"/>
      <c r="K121" s="266"/>
      <c r="L121" s="266"/>
      <c r="M121" s="266"/>
      <c r="N121" s="266"/>
    </row>
    <row r="122" spans="3:14" s="237" customFormat="1" x14ac:dyDescent="0.2">
      <c r="C122" s="266"/>
      <c r="D122" s="266"/>
      <c r="E122" s="266"/>
      <c r="F122" s="266"/>
      <c r="G122" s="266"/>
      <c r="H122" s="266"/>
      <c r="I122" s="266"/>
      <c r="J122" s="266"/>
      <c r="K122" s="266"/>
      <c r="L122" s="266"/>
      <c r="M122" s="266"/>
      <c r="N122" s="266"/>
    </row>
    <row r="123" spans="3:14" s="237" customFormat="1" x14ac:dyDescent="0.2">
      <c r="C123" s="266"/>
      <c r="D123" s="266"/>
      <c r="E123" s="266"/>
      <c r="F123" s="266"/>
      <c r="G123" s="266"/>
      <c r="H123" s="266"/>
      <c r="I123" s="266"/>
      <c r="J123" s="266"/>
      <c r="K123" s="266"/>
      <c r="L123" s="266"/>
      <c r="M123" s="266"/>
      <c r="N123" s="266"/>
    </row>
    <row r="124" spans="3:14" s="237" customFormat="1" x14ac:dyDescent="0.2">
      <c r="C124" s="266"/>
      <c r="D124" s="266"/>
      <c r="E124" s="266"/>
      <c r="F124" s="266"/>
      <c r="G124" s="266"/>
      <c r="H124" s="266"/>
      <c r="I124" s="266"/>
      <c r="J124" s="266"/>
      <c r="K124" s="266"/>
      <c r="L124" s="266"/>
      <c r="M124" s="266"/>
      <c r="N124" s="266"/>
    </row>
    <row r="125" spans="3:14" s="237" customFormat="1" x14ac:dyDescent="0.2">
      <c r="C125" s="266"/>
      <c r="D125" s="266"/>
      <c r="E125" s="266"/>
      <c r="F125" s="266"/>
      <c r="G125" s="266"/>
      <c r="H125" s="266"/>
      <c r="I125" s="266"/>
      <c r="J125" s="266"/>
      <c r="K125" s="266"/>
      <c r="L125" s="266"/>
      <c r="M125" s="266"/>
      <c r="N125" s="266"/>
    </row>
    <row r="126" spans="3:14" s="237" customFormat="1" x14ac:dyDescent="0.2">
      <c r="C126" s="266"/>
      <c r="D126" s="266"/>
      <c r="E126" s="266"/>
      <c r="F126" s="266"/>
      <c r="G126" s="266"/>
      <c r="H126" s="266"/>
      <c r="I126" s="266"/>
      <c r="J126" s="266"/>
      <c r="K126" s="266"/>
      <c r="L126" s="266"/>
      <c r="M126" s="266"/>
      <c r="N126" s="266"/>
    </row>
    <row r="127" spans="3:14" s="237" customFormat="1" x14ac:dyDescent="0.2">
      <c r="C127" s="266"/>
      <c r="D127" s="266"/>
      <c r="E127" s="266"/>
      <c r="F127" s="266"/>
      <c r="G127" s="266"/>
      <c r="H127" s="266"/>
      <c r="I127" s="266"/>
      <c r="J127" s="266"/>
      <c r="K127" s="266"/>
      <c r="L127" s="266"/>
      <c r="M127" s="266"/>
      <c r="N127" s="266"/>
    </row>
    <row r="128" spans="3:14" s="237" customFormat="1" x14ac:dyDescent="0.2">
      <c r="C128" s="266"/>
      <c r="D128" s="266"/>
      <c r="E128" s="266"/>
      <c r="F128" s="266"/>
      <c r="G128" s="266"/>
      <c r="H128" s="266"/>
      <c r="I128" s="266"/>
      <c r="J128" s="266"/>
      <c r="K128" s="266"/>
      <c r="L128" s="266"/>
      <c r="M128" s="266"/>
      <c r="N128" s="266"/>
    </row>
    <row r="129" spans="3:14" s="237" customFormat="1" x14ac:dyDescent="0.2">
      <c r="C129" s="266"/>
      <c r="D129" s="266"/>
      <c r="E129" s="266"/>
      <c r="F129" s="266"/>
      <c r="G129" s="266"/>
      <c r="H129" s="266"/>
      <c r="I129" s="266"/>
      <c r="J129" s="266"/>
      <c r="K129" s="266"/>
      <c r="L129" s="266"/>
      <c r="M129" s="266"/>
      <c r="N129" s="266"/>
    </row>
    <row r="130" spans="3:14" s="237" customFormat="1" x14ac:dyDescent="0.2">
      <c r="C130" s="266"/>
      <c r="D130" s="266"/>
      <c r="E130" s="266"/>
      <c r="F130" s="266"/>
      <c r="G130" s="266"/>
      <c r="H130" s="266"/>
      <c r="I130" s="266"/>
      <c r="J130" s="266"/>
      <c r="K130" s="266"/>
      <c r="L130" s="266"/>
      <c r="M130" s="266"/>
      <c r="N130" s="266"/>
    </row>
    <row r="131" spans="3:14" s="237" customFormat="1" x14ac:dyDescent="0.2">
      <c r="C131" s="266"/>
      <c r="D131" s="266"/>
      <c r="E131" s="266"/>
      <c r="F131" s="266"/>
      <c r="G131" s="266"/>
      <c r="H131" s="266"/>
      <c r="I131" s="266"/>
      <c r="J131" s="266"/>
      <c r="K131" s="266"/>
      <c r="L131" s="266"/>
      <c r="M131" s="266"/>
      <c r="N131" s="266"/>
    </row>
    <row r="132" spans="3:14" s="237" customFormat="1" x14ac:dyDescent="0.2">
      <c r="C132" s="266"/>
      <c r="D132" s="266"/>
      <c r="E132" s="266"/>
      <c r="F132" s="266"/>
      <c r="G132" s="266"/>
      <c r="H132" s="266"/>
      <c r="I132" s="266"/>
      <c r="J132" s="266"/>
      <c r="K132" s="266"/>
      <c r="L132" s="266"/>
      <c r="M132" s="266"/>
      <c r="N132" s="266"/>
    </row>
    <row r="133" spans="3:14" s="237" customFormat="1" x14ac:dyDescent="0.2">
      <c r="C133" s="266"/>
      <c r="D133" s="266"/>
      <c r="E133" s="266"/>
      <c r="F133" s="266"/>
      <c r="G133" s="266"/>
      <c r="H133" s="266"/>
      <c r="I133" s="266"/>
      <c r="J133" s="266"/>
      <c r="K133" s="266"/>
      <c r="L133" s="266"/>
      <c r="M133" s="266"/>
      <c r="N133" s="266"/>
    </row>
    <row r="134" spans="3:14" s="237" customFormat="1" x14ac:dyDescent="0.2">
      <c r="C134" s="266"/>
      <c r="D134" s="266"/>
      <c r="E134" s="266"/>
      <c r="F134" s="266"/>
      <c r="G134" s="266"/>
      <c r="H134" s="266"/>
      <c r="I134" s="266"/>
      <c r="J134" s="266"/>
      <c r="K134" s="266"/>
      <c r="L134" s="266"/>
      <c r="M134" s="266"/>
      <c r="N134" s="266"/>
    </row>
    <row r="135" spans="3:14" s="237" customFormat="1" x14ac:dyDescent="0.2">
      <c r="C135" s="266"/>
      <c r="D135" s="266"/>
      <c r="E135" s="266"/>
      <c r="F135" s="266"/>
      <c r="G135" s="266"/>
      <c r="H135" s="266"/>
      <c r="I135" s="266"/>
      <c r="J135" s="266"/>
      <c r="K135" s="266"/>
      <c r="L135" s="266"/>
      <c r="M135" s="266"/>
      <c r="N135" s="266"/>
    </row>
    <row r="136" spans="3:14" s="237" customFormat="1" x14ac:dyDescent="0.2">
      <c r="C136" s="266"/>
      <c r="D136" s="266"/>
      <c r="E136" s="266"/>
      <c r="F136" s="266"/>
      <c r="G136" s="266"/>
      <c r="H136" s="266"/>
      <c r="I136" s="266"/>
      <c r="J136" s="266"/>
      <c r="K136" s="266"/>
      <c r="L136" s="266"/>
      <c r="M136" s="266"/>
      <c r="N136" s="266"/>
    </row>
    <row r="137" spans="3:14" s="237" customFormat="1" x14ac:dyDescent="0.2">
      <c r="C137" s="266"/>
      <c r="D137" s="266"/>
      <c r="E137" s="266"/>
      <c r="F137" s="266"/>
      <c r="G137" s="266"/>
      <c r="H137" s="266"/>
      <c r="I137" s="266"/>
      <c r="J137" s="266"/>
      <c r="K137" s="266"/>
      <c r="L137" s="266"/>
      <c r="M137" s="266"/>
      <c r="N137" s="266"/>
    </row>
    <row r="138" spans="3:14" s="237" customFormat="1" x14ac:dyDescent="0.2">
      <c r="C138" s="266"/>
      <c r="D138" s="266"/>
      <c r="E138" s="266"/>
      <c r="F138" s="266"/>
      <c r="G138" s="266"/>
      <c r="H138" s="266"/>
      <c r="I138" s="266"/>
      <c r="J138" s="266"/>
      <c r="K138" s="266"/>
      <c r="L138" s="266"/>
      <c r="M138" s="266"/>
      <c r="N138" s="266"/>
    </row>
    <row r="139" spans="3:14" s="237" customFormat="1" x14ac:dyDescent="0.2">
      <c r="C139" s="266"/>
      <c r="D139" s="266"/>
      <c r="E139" s="266"/>
      <c r="F139" s="266"/>
      <c r="G139" s="266"/>
      <c r="H139" s="266"/>
      <c r="I139" s="266"/>
      <c r="J139" s="266"/>
      <c r="K139" s="266"/>
      <c r="L139" s="266"/>
      <c r="M139" s="266"/>
      <c r="N139" s="266"/>
    </row>
    <row r="140" spans="3:14" s="237" customFormat="1" x14ac:dyDescent="0.2">
      <c r="C140" s="266"/>
      <c r="D140" s="266"/>
      <c r="E140" s="266"/>
      <c r="F140" s="266"/>
      <c r="G140" s="266"/>
      <c r="H140" s="266"/>
      <c r="I140" s="266"/>
      <c r="J140" s="266"/>
      <c r="K140" s="266"/>
      <c r="L140" s="266"/>
      <c r="M140" s="266"/>
      <c r="N140" s="266"/>
    </row>
    <row r="141" spans="3:14" s="237" customFormat="1" x14ac:dyDescent="0.2">
      <c r="C141" s="266"/>
      <c r="D141" s="266"/>
      <c r="E141" s="266"/>
      <c r="F141" s="266"/>
      <c r="G141" s="266"/>
      <c r="H141" s="266"/>
      <c r="I141" s="266"/>
      <c r="J141" s="266"/>
      <c r="K141" s="266"/>
      <c r="L141" s="266"/>
      <c r="M141" s="266"/>
      <c r="N141" s="266"/>
    </row>
    <row r="142" spans="3:14" s="237" customFormat="1" x14ac:dyDescent="0.2">
      <c r="C142" s="266"/>
      <c r="D142" s="266"/>
      <c r="E142" s="266"/>
      <c r="F142" s="266"/>
      <c r="G142" s="266"/>
      <c r="H142" s="266"/>
      <c r="I142" s="266"/>
      <c r="J142" s="266"/>
      <c r="K142" s="266"/>
      <c r="L142" s="266"/>
      <c r="M142" s="266"/>
      <c r="N142" s="266"/>
    </row>
    <row r="143" spans="3:14" s="237" customFormat="1" x14ac:dyDescent="0.2">
      <c r="C143" s="266"/>
      <c r="D143" s="266"/>
      <c r="E143" s="266"/>
      <c r="F143" s="266"/>
      <c r="G143" s="266"/>
      <c r="H143" s="266"/>
      <c r="I143" s="266"/>
      <c r="J143" s="266"/>
      <c r="K143" s="266"/>
      <c r="L143" s="266"/>
      <c r="M143" s="266"/>
      <c r="N143" s="266"/>
    </row>
    <row r="144" spans="3:14" s="237" customFormat="1" x14ac:dyDescent="0.2">
      <c r="C144" s="266"/>
      <c r="D144" s="266"/>
      <c r="E144" s="266"/>
      <c r="F144" s="266"/>
      <c r="G144" s="266"/>
      <c r="H144" s="266"/>
      <c r="I144" s="266"/>
      <c r="J144" s="266"/>
      <c r="K144" s="266"/>
      <c r="L144" s="266"/>
      <c r="M144" s="266"/>
      <c r="N144" s="266"/>
    </row>
    <row r="145" spans="3:14" s="237" customFormat="1" x14ac:dyDescent="0.2">
      <c r="C145" s="266"/>
      <c r="D145" s="266"/>
      <c r="E145" s="266"/>
      <c r="F145" s="266"/>
      <c r="G145" s="266"/>
      <c r="H145" s="266"/>
      <c r="I145" s="266"/>
      <c r="J145" s="266"/>
      <c r="K145" s="266"/>
      <c r="L145" s="266"/>
      <c r="M145" s="266"/>
      <c r="N145" s="266"/>
    </row>
    <row r="146" spans="3:14" s="237" customFormat="1" x14ac:dyDescent="0.2">
      <c r="C146" s="266"/>
      <c r="D146" s="266"/>
      <c r="E146" s="266"/>
      <c r="F146" s="266"/>
      <c r="G146" s="266"/>
      <c r="H146" s="266"/>
      <c r="I146" s="266"/>
      <c r="J146" s="266"/>
      <c r="K146" s="266"/>
      <c r="L146" s="266"/>
      <c r="M146" s="266"/>
      <c r="N146" s="266"/>
    </row>
    <row r="147" spans="3:14" s="237" customFormat="1" x14ac:dyDescent="0.2">
      <c r="C147" s="266"/>
      <c r="D147" s="266"/>
      <c r="E147" s="266"/>
      <c r="F147" s="266"/>
      <c r="G147" s="266"/>
      <c r="H147" s="266"/>
      <c r="I147" s="266"/>
      <c r="J147" s="266"/>
      <c r="K147" s="266"/>
      <c r="L147" s="266"/>
      <c r="M147" s="266"/>
      <c r="N147" s="266"/>
    </row>
    <row r="148" spans="3:14" s="237" customFormat="1" x14ac:dyDescent="0.2">
      <c r="C148" s="266"/>
      <c r="D148" s="266"/>
      <c r="E148" s="266"/>
      <c r="F148" s="266"/>
      <c r="G148" s="266"/>
      <c r="H148" s="266"/>
      <c r="I148" s="266"/>
      <c r="J148" s="266"/>
      <c r="K148" s="266"/>
      <c r="L148" s="266"/>
      <c r="M148" s="266"/>
      <c r="N148" s="266"/>
    </row>
    <row r="149" spans="3:14" s="237" customFormat="1" x14ac:dyDescent="0.2">
      <c r="C149" s="266"/>
      <c r="D149" s="266"/>
      <c r="E149" s="266"/>
      <c r="F149" s="266"/>
      <c r="G149" s="266"/>
      <c r="H149" s="266"/>
      <c r="I149" s="266"/>
      <c r="J149" s="266"/>
      <c r="K149" s="266"/>
      <c r="L149" s="266"/>
      <c r="M149" s="266"/>
      <c r="N149" s="266"/>
    </row>
    <row r="150" spans="3:14" s="237" customFormat="1" x14ac:dyDescent="0.2">
      <c r="C150" s="266"/>
      <c r="D150" s="266"/>
      <c r="E150" s="266"/>
      <c r="F150" s="266"/>
      <c r="G150" s="266"/>
      <c r="H150" s="266"/>
      <c r="I150" s="266"/>
      <c r="J150" s="266"/>
      <c r="K150" s="266"/>
      <c r="L150" s="266"/>
      <c r="M150" s="266"/>
      <c r="N150" s="266"/>
    </row>
    <row r="151" spans="3:14" s="237" customFormat="1" x14ac:dyDescent="0.2">
      <c r="C151" s="266"/>
      <c r="D151" s="266"/>
      <c r="E151" s="266"/>
      <c r="F151" s="266"/>
      <c r="G151" s="266"/>
      <c r="H151" s="266"/>
      <c r="I151" s="266"/>
      <c r="J151" s="266"/>
      <c r="K151" s="266"/>
      <c r="L151" s="266"/>
      <c r="M151" s="266"/>
      <c r="N151" s="266"/>
    </row>
    <row r="152" spans="3:14" s="237" customFormat="1" x14ac:dyDescent="0.2">
      <c r="C152" s="266"/>
      <c r="D152" s="266"/>
      <c r="E152" s="266"/>
      <c r="F152" s="266"/>
      <c r="G152" s="266"/>
      <c r="H152" s="266"/>
      <c r="I152" s="266"/>
      <c r="J152" s="266"/>
      <c r="K152" s="266"/>
      <c r="L152" s="266"/>
      <c r="M152" s="266"/>
      <c r="N152" s="266"/>
    </row>
    <row r="153" spans="3:14" s="237" customFormat="1" x14ac:dyDescent="0.2">
      <c r="C153" s="266"/>
      <c r="D153" s="266"/>
      <c r="E153" s="266"/>
      <c r="F153" s="266"/>
      <c r="G153" s="266"/>
      <c r="H153" s="266"/>
      <c r="I153" s="266"/>
      <c r="J153" s="266"/>
      <c r="K153" s="266"/>
      <c r="L153" s="266"/>
      <c r="M153" s="266"/>
      <c r="N153" s="266"/>
    </row>
    <row r="154" spans="3:14" s="237" customFormat="1" x14ac:dyDescent="0.2">
      <c r="C154" s="266"/>
      <c r="D154" s="266"/>
      <c r="E154" s="266"/>
      <c r="F154" s="266"/>
      <c r="G154" s="266"/>
      <c r="H154" s="266"/>
      <c r="I154" s="266"/>
      <c r="J154" s="266"/>
      <c r="K154" s="266"/>
      <c r="L154" s="266"/>
      <c r="M154" s="266"/>
      <c r="N154" s="266"/>
    </row>
    <row r="155" spans="3:14" s="237" customFormat="1" x14ac:dyDescent="0.2">
      <c r="C155" s="266"/>
      <c r="D155" s="266"/>
      <c r="E155" s="266"/>
      <c r="F155" s="266"/>
      <c r="G155" s="266"/>
      <c r="H155" s="266"/>
      <c r="I155" s="266"/>
      <c r="J155" s="266"/>
      <c r="K155" s="266"/>
      <c r="L155" s="266"/>
      <c r="M155" s="266"/>
      <c r="N155" s="266"/>
    </row>
    <row r="156" spans="3:14" s="237" customFormat="1" x14ac:dyDescent="0.2">
      <c r="C156" s="266"/>
      <c r="D156" s="266"/>
      <c r="E156" s="266"/>
      <c r="F156" s="266"/>
      <c r="G156" s="266"/>
      <c r="H156" s="266"/>
      <c r="I156" s="266"/>
      <c r="J156" s="266"/>
      <c r="K156" s="266"/>
      <c r="L156" s="266"/>
      <c r="M156" s="266"/>
      <c r="N156" s="266"/>
    </row>
    <row r="157" spans="3:14" s="237" customFormat="1" x14ac:dyDescent="0.2">
      <c r="C157" s="266"/>
      <c r="D157" s="266"/>
      <c r="E157" s="266"/>
      <c r="F157" s="266"/>
      <c r="G157" s="266"/>
      <c r="H157" s="266"/>
      <c r="I157" s="266"/>
      <c r="J157" s="266"/>
      <c r="K157" s="266"/>
      <c r="L157" s="266"/>
      <c r="M157" s="266"/>
      <c r="N157" s="266"/>
    </row>
    <row r="158" spans="3:14" s="237" customFormat="1" x14ac:dyDescent="0.2">
      <c r="C158" s="266"/>
      <c r="D158" s="266"/>
      <c r="E158" s="266"/>
      <c r="F158" s="266"/>
      <c r="G158" s="266"/>
      <c r="H158" s="266"/>
      <c r="I158" s="266"/>
      <c r="J158" s="266"/>
      <c r="K158" s="266"/>
      <c r="L158" s="266"/>
      <c r="M158" s="266"/>
      <c r="N158" s="266"/>
    </row>
    <row r="159" spans="3:14" s="237" customFormat="1" x14ac:dyDescent="0.2">
      <c r="C159" s="266"/>
      <c r="D159" s="266"/>
      <c r="E159" s="266"/>
      <c r="F159" s="266"/>
      <c r="G159" s="266"/>
      <c r="H159" s="266"/>
      <c r="I159" s="266"/>
      <c r="J159" s="266"/>
      <c r="K159" s="266"/>
      <c r="L159" s="266"/>
      <c r="M159" s="266"/>
      <c r="N159" s="266"/>
    </row>
    <row r="160" spans="3:14" s="237" customFormat="1" x14ac:dyDescent="0.2">
      <c r="C160" s="266"/>
      <c r="D160" s="266"/>
      <c r="E160" s="266"/>
      <c r="F160" s="266"/>
      <c r="G160" s="266"/>
      <c r="H160" s="266"/>
      <c r="I160" s="266"/>
      <c r="J160" s="266"/>
      <c r="K160" s="266"/>
      <c r="L160" s="266"/>
      <c r="M160" s="266"/>
      <c r="N160" s="266"/>
    </row>
    <row r="161" spans="3:14" s="237" customFormat="1" x14ac:dyDescent="0.2">
      <c r="C161" s="266"/>
      <c r="D161" s="266"/>
      <c r="E161" s="266"/>
      <c r="F161" s="266"/>
      <c r="G161" s="266"/>
      <c r="H161" s="266"/>
      <c r="I161" s="266"/>
      <c r="J161" s="266"/>
      <c r="K161" s="266"/>
      <c r="L161" s="266"/>
      <c r="M161" s="266"/>
      <c r="N161" s="266"/>
    </row>
    <row r="162" spans="3:14" s="237" customFormat="1" x14ac:dyDescent="0.2">
      <c r="C162" s="266"/>
      <c r="D162" s="266"/>
      <c r="E162" s="266"/>
      <c r="F162" s="266"/>
      <c r="G162" s="266"/>
      <c r="H162" s="266"/>
      <c r="I162" s="266"/>
      <c r="J162" s="266"/>
      <c r="K162" s="266"/>
      <c r="L162" s="266"/>
      <c r="M162" s="266"/>
      <c r="N162" s="266"/>
    </row>
    <row r="163" spans="3:14" s="237" customFormat="1" x14ac:dyDescent="0.2">
      <c r="C163" s="266"/>
      <c r="D163" s="266"/>
      <c r="E163" s="266"/>
      <c r="F163" s="266"/>
      <c r="G163" s="266"/>
      <c r="H163" s="266"/>
      <c r="I163" s="266"/>
      <c r="J163" s="266"/>
      <c r="K163" s="266"/>
      <c r="L163" s="266"/>
      <c r="M163" s="266"/>
      <c r="N163" s="266"/>
    </row>
    <row r="164" spans="3:14" s="237" customFormat="1" x14ac:dyDescent="0.2">
      <c r="C164" s="266"/>
      <c r="D164" s="266"/>
      <c r="E164" s="266"/>
      <c r="F164" s="266"/>
      <c r="G164" s="266"/>
      <c r="H164" s="266"/>
      <c r="I164" s="266"/>
      <c r="J164" s="266"/>
      <c r="K164" s="266"/>
      <c r="L164" s="266"/>
      <c r="M164" s="266"/>
      <c r="N164" s="266"/>
    </row>
    <row r="165" spans="3:14" s="237" customFormat="1" x14ac:dyDescent="0.2">
      <c r="C165" s="266"/>
      <c r="D165" s="266"/>
      <c r="E165" s="266"/>
      <c r="F165" s="266"/>
      <c r="G165" s="266"/>
      <c r="H165" s="266"/>
      <c r="I165" s="266"/>
      <c r="J165" s="266"/>
      <c r="K165" s="266"/>
      <c r="L165" s="266"/>
      <c r="M165" s="266"/>
      <c r="N165" s="266"/>
    </row>
    <row r="166" spans="3:14" s="237" customFormat="1" x14ac:dyDescent="0.2">
      <c r="C166" s="266"/>
      <c r="D166" s="266"/>
      <c r="E166" s="266"/>
      <c r="F166" s="266"/>
      <c r="G166" s="266"/>
      <c r="H166" s="266"/>
      <c r="I166" s="266"/>
      <c r="J166" s="266"/>
      <c r="K166" s="266"/>
      <c r="L166" s="266"/>
      <c r="M166" s="266"/>
      <c r="N166" s="266"/>
    </row>
    <row r="167" spans="3:14" s="237" customFormat="1" x14ac:dyDescent="0.2">
      <c r="C167" s="266"/>
      <c r="D167" s="266"/>
      <c r="E167" s="266"/>
      <c r="F167" s="266"/>
      <c r="G167" s="266"/>
      <c r="H167" s="266"/>
      <c r="I167" s="266"/>
      <c r="J167" s="266"/>
      <c r="K167" s="266"/>
      <c r="L167" s="266"/>
      <c r="M167" s="266"/>
      <c r="N167" s="266"/>
    </row>
    <row r="168" spans="3:14" s="237" customFormat="1" x14ac:dyDescent="0.2">
      <c r="C168" s="266"/>
      <c r="D168" s="266"/>
      <c r="E168" s="266"/>
      <c r="F168" s="266"/>
      <c r="G168" s="266"/>
      <c r="H168" s="266"/>
      <c r="I168" s="266"/>
      <c r="J168" s="266"/>
      <c r="K168" s="266"/>
      <c r="L168" s="266"/>
      <c r="M168" s="266"/>
      <c r="N168" s="266"/>
    </row>
    <row r="169" spans="3:14" s="237" customFormat="1" x14ac:dyDescent="0.2">
      <c r="C169" s="266"/>
      <c r="D169" s="266"/>
      <c r="E169" s="266"/>
      <c r="F169" s="266"/>
      <c r="G169" s="266"/>
      <c r="H169" s="266"/>
      <c r="I169" s="266"/>
      <c r="J169" s="266"/>
      <c r="K169" s="266"/>
      <c r="L169" s="266"/>
      <c r="M169" s="266"/>
      <c r="N169" s="266"/>
    </row>
    <row r="170" spans="3:14" s="237" customFormat="1" x14ac:dyDescent="0.2">
      <c r="C170" s="266"/>
      <c r="D170" s="266"/>
      <c r="E170" s="266"/>
      <c r="F170" s="266"/>
      <c r="G170" s="266"/>
      <c r="H170" s="266"/>
      <c r="I170" s="266"/>
      <c r="J170" s="266"/>
      <c r="K170" s="266"/>
      <c r="L170" s="266"/>
      <c r="M170" s="266"/>
      <c r="N170" s="266"/>
    </row>
    <row r="171" spans="3:14" s="237" customFormat="1" x14ac:dyDescent="0.2">
      <c r="C171" s="266"/>
      <c r="D171" s="266"/>
      <c r="E171" s="266"/>
      <c r="F171" s="266"/>
      <c r="G171" s="266"/>
      <c r="H171" s="266"/>
      <c r="I171" s="266"/>
      <c r="J171" s="266"/>
      <c r="K171" s="266"/>
      <c r="L171" s="266"/>
      <c r="M171" s="266"/>
      <c r="N171" s="266"/>
    </row>
    <row r="172" spans="3:14" s="237" customFormat="1" x14ac:dyDescent="0.2">
      <c r="C172" s="266"/>
      <c r="D172" s="266"/>
      <c r="E172" s="266"/>
      <c r="F172" s="266"/>
      <c r="G172" s="266"/>
      <c r="H172" s="266"/>
      <c r="I172" s="266"/>
      <c r="J172" s="266"/>
      <c r="K172" s="266"/>
      <c r="L172" s="266"/>
      <c r="M172" s="266"/>
      <c r="N172" s="266"/>
    </row>
    <row r="173" spans="3:14" s="237" customFormat="1" x14ac:dyDescent="0.2">
      <c r="C173" s="266"/>
      <c r="D173" s="266"/>
      <c r="E173" s="266"/>
      <c r="F173" s="266"/>
      <c r="G173" s="266"/>
      <c r="H173" s="266"/>
      <c r="I173" s="266"/>
      <c r="J173" s="266"/>
      <c r="K173" s="266"/>
      <c r="L173" s="266"/>
      <c r="M173" s="266"/>
      <c r="N173" s="266"/>
    </row>
    <row r="174" spans="3:14" s="237" customFormat="1" x14ac:dyDescent="0.2">
      <c r="C174" s="266"/>
      <c r="D174" s="266"/>
      <c r="E174" s="266"/>
      <c r="F174" s="266"/>
      <c r="G174" s="266"/>
      <c r="H174" s="266"/>
      <c r="I174" s="266"/>
      <c r="J174" s="266"/>
      <c r="K174" s="266"/>
      <c r="L174" s="266"/>
      <c r="M174" s="266"/>
      <c r="N174" s="266"/>
    </row>
    <row r="175" spans="3:14" s="237" customFormat="1" x14ac:dyDescent="0.2">
      <c r="C175" s="266"/>
      <c r="D175" s="266"/>
      <c r="E175" s="266"/>
      <c r="F175" s="266"/>
      <c r="G175" s="266"/>
      <c r="H175" s="266"/>
      <c r="I175" s="266"/>
      <c r="J175" s="266"/>
      <c r="K175" s="266"/>
      <c r="L175" s="266"/>
      <c r="M175" s="266"/>
      <c r="N175" s="266"/>
    </row>
    <row r="176" spans="3:14" s="237" customFormat="1" x14ac:dyDescent="0.2">
      <c r="C176" s="266"/>
      <c r="D176" s="266"/>
      <c r="E176" s="266"/>
      <c r="F176" s="266"/>
      <c r="G176" s="266"/>
      <c r="H176" s="266"/>
      <c r="I176" s="266"/>
      <c r="J176" s="266"/>
      <c r="K176" s="266"/>
      <c r="L176" s="266"/>
      <c r="M176" s="266"/>
      <c r="N176" s="266"/>
    </row>
    <row r="177" spans="3:14" s="237" customFormat="1" x14ac:dyDescent="0.2">
      <c r="C177" s="266"/>
      <c r="D177" s="266"/>
      <c r="E177" s="266"/>
      <c r="F177" s="266"/>
      <c r="G177" s="266"/>
      <c r="H177" s="266"/>
      <c r="I177" s="266"/>
      <c r="J177" s="266"/>
      <c r="K177" s="266"/>
      <c r="L177" s="266"/>
      <c r="M177" s="266"/>
      <c r="N177" s="266"/>
    </row>
    <row r="178" spans="3:14" s="237" customFormat="1" x14ac:dyDescent="0.2">
      <c r="C178" s="266"/>
      <c r="D178" s="266"/>
      <c r="E178" s="266"/>
      <c r="F178" s="266"/>
      <c r="G178" s="266"/>
      <c r="H178" s="266"/>
      <c r="I178" s="266"/>
      <c r="J178" s="266"/>
      <c r="K178" s="266"/>
      <c r="L178" s="266"/>
      <c r="M178" s="266"/>
      <c r="N178" s="266"/>
    </row>
    <row r="179" spans="3:14" s="237" customFormat="1" x14ac:dyDescent="0.2">
      <c r="C179" s="266"/>
      <c r="D179" s="266"/>
      <c r="E179" s="266"/>
      <c r="F179" s="266"/>
      <c r="G179" s="266"/>
      <c r="H179" s="266"/>
      <c r="I179" s="266"/>
      <c r="J179" s="266"/>
      <c r="K179" s="266"/>
      <c r="L179" s="266"/>
      <c r="M179" s="266"/>
      <c r="N179" s="266"/>
    </row>
    <row r="180" spans="3:14" s="237" customFormat="1" x14ac:dyDescent="0.2">
      <c r="C180" s="266"/>
      <c r="D180" s="266"/>
      <c r="E180" s="266"/>
      <c r="F180" s="266"/>
      <c r="G180" s="266"/>
      <c r="H180" s="266"/>
      <c r="I180" s="266"/>
      <c r="J180" s="266"/>
      <c r="K180" s="266"/>
      <c r="L180" s="266"/>
      <c r="M180" s="266"/>
      <c r="N180" s="266"/>
    </row>
    <row r="181" spans="3:14" s="237" customFormat="1" x14ac:dyDescent="0.2">
      <c r="C181" s="266"/>
      <c r="D181" s="266"/>
      <c r="E181" s="266"/>
      <c r="F181" s="266"/>
      <c r="G181" s="266"/>
      <c r="H181" s="266"/>
      <c r="I181" s="266"/>
      <c r="J181" s="266"/>
      <c r="K181" s="266"/>
      <c r="L181" s="266"/>
      <c r="M181" s="266"/>
      <c r="N181" s="266"/>
    </row>
    <row r="182" spans="3:14" s="237" customFormat="1" x14ac:dyDescent="0.2">
      <c r="C182" s="266"/>
      <c r="D182" s="266"/>
      <c r="E182" s="266"/>
      <c r="F182" s="266"/>
      <c r="G182" s="266"/>
      <c r="H182" s="266"/>
      <c r="I182" s="266"/>
      <c r="J182" s="266"/>
      <c r="K182" s="266"/>
      <c r="L182" s="266"/>
      <c r="M182" s="266"/>
      <c r="N182" s="266"/>
    </row>
    <row r="183" spans="3:14" s="237" customFormat="1" x14ac:dyDescent="0.2">
      <c r="C183" s="266"/>
      <c r="D183" s="266"/>
      <c r="E183" s="266"/>
      <c r="F183" s="266"/>
      <c r="G183" s="266"/>
      <c r="H183" s="266"/>
      <c r="I183" s="266"/>
      <c r="J183" s="266"/>
      <c r="K183" s="266"/>
      <c r="L183" s="266"/>
      <c r="M183" s="266"/>
      <c r="N183" s="266"/>
    </row>
    <row r="184" spans="3:14" s="237" customFormat="1" x14ac:dyDescent="0.2">
      <c r="C184" s="266"/>
      <c r="D184" s="266"/>
      <c r="E184" s="266"/>
      <c r="F184" s="266"/>
      <c r="G184" s="266"/>
      <c r="H184" s="266"/>
      <c r="I184" s="266"/>
      <c r="J184" s="266"/>
      <c r="K184" s="266"/>
      <c r="L184" s="266"/>
      <c r="M184" s="266"/>
      <c r="N184" s="266"/>
    </row>
    <row r="185" spans="3:14" s="237" customFormat="1" x14ac:dyDescent="0.2">
      <c r="C185" s="266"/>
      <c r="D185" s="266"/>
      <c r="E185" s="266"/>
      <c r="F185" s="266"/>
      <c r="G185" s="266"/>
      <c r="H185" s="266"/>
      <c r="I185" s="266"/>
      <c r="J185" s="266"/>
      <c r="K185" s="266"/>
      <c r="L185" s="266"/>
      <c r="M185" s="266"/>
      <c r="N185" s="266"/>
    </row>
    <row r="186" spans="3:14" s="237" customFormat="1" x14ac:dyDescent="0.2">
      <c r="C186" s="266"/>
      <c r="D186" s="266"/>
      <c r="E186" s="266"/>
      <c r="F186" s="266"/>
      <c r="G186" s="266"/>
      <c r="H186" s="266"/>
      <c r="I186" s="266"/>
      <c r="J186" s="266"/>
      <c r="K186" s="266"/>
      <c r="L186" s="266"/>
      <c r="M186" s="266"/>
      <c r="N186" s="266"/>
    </row>
    <row r="187" spans="3:14" s="237" customFormat="1" x14ac:dyDescent="0.2">
      <c r="C187" s="266"/>
      <c r="D187" s="266"/>
      <c r="E187" s="266"/>
      <c r="F187" s="266"/>
      <c r="G187" s="266"/>
      <c r="H187" s="266"/>
      <c r="I187" s="266"/>
      <c r="J187" s="266"/>
      <c r="K187" s="266"/>
      <c r="L187" s="266"/>
      <c r="M187" s="266"/>
      <c r="N187" s="266"/>
    </row>
    <row r="188" spans="3:14" s="237" customFormat="1" x14ac:dyDescent="0.2">
      <c r="C188" s="266"/>
      <c r="D188" s="266"/>
      <c r="E188" s="266"/>
      <c r="F188" s="266"/>
      <c r="G188" s="266"/>
      <c r="H188" s="266"/>
      <c r="I188" s="266"/>
      <c r="J188" s="266"/>
      <c r="K188" s="266"/>
      <c r="L188" s="266"/>
      <c r="M188" s="266"/>
      <c r="N188" s="266"/>
    </row>
    <row r="189" spans="3:14" s="237" customFormat="1" x14ac:dyDescent="0.2">
      <c r="C189" s="266"/>
      <c r="D189" s="266"/>
      <c r="E189" s="266"/>
      <c r="F189" s="266"/>
      <c r="G189" s="266"/>
      <c r="H189" s="266"/>
      <c r="I189" s="266"/>
      <c r="J189" s="266"/>
      <c r="K189" s="266"/>
      <c r="L189" s="266"/>
      <c r="M189" s="266"/>
      <c r="N189" s="266"/>
    </row>
    <row r="190" spans="3:14" s="237" customFormat="1" x14ac:dyDescent="0.2">
      <c r="C190" s="266"/>
      <c r="D190" s="266"/>
      <c r="E190" s="266"/>
      <c r="F190" s="266"/>
      <c r="G190" s="266"/>
      <c r="H190" s="266"/>
      <c r="I190" s="266"/>
      <c r="J190" s="266"/>
      <c r="K190" s="266"/>
      <c r="L190" s="266"/>
      <c r="M190" s="266"/>
      <c r="N190" s="266"/>
    </row>
    <row r="191" spans="3:14" s="237" customFormat="1" x14ac:dyDescent="0.2">
      <c r="C191" s="266"/>
      <c r="D191" s="266"/>
      <c r="E191" s="266"/>
      <c r="F191" s="266"/>
      <c r="G191" s="266"/>
      <c r="H191" s="266"/>
      <c r="I191" s="266"/>
      <c r="J191" s="266"/>
      <c r="K191" s="266"/>
      <c r="L191" s="266"/>
      <c r="M191" s="266"/>
      <c r="N191" s="266"/>
    </row>
    <row r="192" spans="3:14" s="237" customFormat="1" x14ac:dyDescent="0.2">
      <c r="C192" s="266"/>
      <c r="D192" s="266"/>
      <c r="E192" s="266"/>
      <c r="F192" s="266"/>
      <c r="G192" s="266"/>
      <c r="H192" s="266"/>
      <c r="I192" s="266"/>
      <c r="J192" s="266"/>
      <c r="K192" s="266"/>
      <c r="L192" s="266"/>
      <c r="M192" s="266"/>
      <c r="N192" s="266"/>
    </row>
    <row r="193" spans="3:14" s="237" customFormat="1" x14ac:dyDescent="0.2">
      <c r="C193" s="266"/>
      <c r="D193" s="266"/>
      <c r="E193" s="266"/>
      <c r="F193" s="266"/>
      <c r="G193" s="266"/>
      <c r="H193" s="266"/>
      <c r="I193" s="266"/>
      <c r="J193" s="266"/>
      <c r="K193" s="266"/>
      <c r="L193" s="266"/>
      <c r="M193" s="266"/>
      <c r="N193" s="266"/>
    </row>
    <row r="194" spans="3:14" s="237" customFormat="1" x14ac:dyDescent="0.2">
      <c r="C194" s="266"/>
      <c r="D194" s="266"/>
      <c r="E194" s="266"/>
      <c r="F194" s="266"/>
      <c r="G194" s="266"/>
      <c r="H194" s="266"/>
      <c r="I194" s="266"/>
      <c r="J194" s="266"/>
      <c r="K194" s="266"/>
      <c r="L194" s="266"/>
      <c r="M194" s="266"/>
      <c r="N194" s="266"/>
    </row>
    <row r="195" spans="3:14" s="237" customFormat="1" x14ac:dyDescent="0.2">
      <c r="C195" s="266"/>
      <c r="D195" s="266"/>
      <c r="E195" s="266"/>
      <c r="F195" s="266"/>
      <c r="G195" s="266"/>
      <c r="H195" s="266"/>
      <c r="I195" s="266"/>
      <c r="J195" s="266"/>
      <c r="K195" s="266"/>
      <c r="L195" s="266"/>
      <c r="M195" s="266"/>
      <c r="N195" s="266"/>
    </row>
    <row r="196" spans="3:14" s="237" customFormat="1" x14ac:dyDescent="0.2">
      <c r="C196" s="266"/>
      <c r="D196" s="266"/>
      <c r="E196" s="266"/>
      <c r="F196" s="266"/>
      <c r="G196" s="266"/>
      <c r="H196" s="266"/>
      <c r="I196" s="266"/>
      <c r="J196" s="266"/>
      <c r="K196" s="266"/>
      <c r="L196" s="266"/>
      <c r="M196" s="266"/>
      <c r="N196" s="266"/>
    </row>
    <row r="197" spans="3:14" s="237" customFormat="1" x14ac:dyDescent="0.2">
      <c r="C197" s="266"/>
      <c r="D197" s="266"/>
      <c r="E197" s="266"/>
      <c r="F197" s="266"/>
      <c r="G197" s="266"/>
      <c r="H197" s="266"/>
      <c r="I197" s="266"/>
      <c r="J197" s="266"/>
      <c r="K197" s="266"/>
      <c r="L197" s="266"/>
      <c r="M197" s="266"/>
      <c r="N197" s="266"/>
    </row>
    <row r="198" spans="3:14" s="237" customFormat="1" x14ac:dyDescent="0.2">
      <c r="C198" s="266"/>
      <c r="D198" s="266"/>
      <c r="E198" s="266"/>
      <c r="F198" s="266"/>
      <c r="G198" s="266"/>
      <c r="H198" s="266"/>
      <c r="I198" s="266"/>
      <c r="J198" s="266"/>
      <c r="K198" s="266"/>
      <c r="L198" s="266"/>
      <c r="M198" s="266"/>
      <c r="N198" s="266"/>
    </row>
    <row r="199" spans="3:14" s="237" customFormat="1" x14ac:dyDescent="0.2">
      <c r="C199" s="266"/>
      <c r="D199" s="266"/>
      <c r="E199" s="266"/>
      <c r="F199" s="266"/>
      <c r="G199" s="266"/>
      <c r="H199" s="266"/>
      <c r="I199" s="266"/>
      <c r="J199" s="266"/>
      <c r="K199" s="266"/>
      <c r="L199" s="266"/>
      <c r="M199" s="266"/>
      <c r="N199" s="266"/>
    </row>
    <row r="200" spans="3:14" s="237" customFormat="1" x14ac:dyDescent="0.2">
      <c r="C200" s="266"/>
      <c r="D200" s="266"/>
      <c r="E200" s="266"/>
      <c r="F200" s="266"/>
      <c r="G200" s="266"/>
      <c r="H200" s="266"/>
      <c r="I200" s="266"/>
      <c r="J200" s="266"/>
      <c r="K200" s="266"/>
      <c r="L200" s="266"/>
      <c r="M200" s="266"/>
      <c r="N200" s="266"/>
    </row>
    <row r="201" spans="3:14" s="237" customFormat="1" x14ac:dyDescent="0.2">
      <c r="C201" s="266"/>
      <c r="D201" s="266"/>
      <c r="E201" s="266"/>
      <c r="F201" s="266"/>
      <c r="G201" s="266"/>
      <c r="H201" s="266"/>
      <c r="I201" s="266"/>
      <c r="J201" s="266"/>
      <c r="K201" s="266"/>
      <c r="L201" s="266"/>
      <c r="M201" s="266"/>
      <c r="N201" s="266"/>
    </row>
    <row r="202" spans="3:14" s="237" customFormat="1" x14ac:dyDescent="0.2">
      <c r="C202" s="266"/>
      <c r="D202" s="266"/>
      <c r="E202" s="266"/>
      <c r="F202" s="266"/>
      <c r="G202" s="266"/>
      <c r="H202" s="266"/>
      <c r="I202" s="266"/>
      <c r="J202" s="266"/>
      <c r="K202" s="266"/>
      <c r="L202" s="266"/>
      <c r="M202" s="266"/>
      <c r="N202" s="266"/>
    </row>
    <row r="203" spans="3:14" s="237" customFormat="1" x14ac:dyDescent="0.2">
      <c r="C203" s="266"/>
      <c r="D203" s="266"/>
      <c r="E203" s="266"/>
      <c r="F203" s="266"/>
      <c r="G203" s="266"/>
      <c r="H203" s="266"/>
      <c r="I203" s="266"/>
      <c r="J203" s="266"/>
      <c r="K203" s="266"/>
      <c r="L203" s="266"/>
      <c r="M203" s="266"/>
      <c r="N203" s="266"/>
    </row>
    <row r="204" spans="3:14" s="237" customFormat="1" x14ac:dyDescent="0.2">
      <c r="C204" s="266"/>
      <c r="D204" s="266"/>
      <c r="E204" s="266"/>
      <c r="F204" s="266"/>
      <c r="G204" s="266"/>
      <c r="H204" s="266"/>
      <c r="I204" s="266"/>
      <c r="J204" s="266"/>
      <c r="K204" s="266"/>
      <c r="L204" s="266"/>
      <c r="M204" s="266"/>
      <c r="N204" s="266"/>
    </row>
    <row r="205" spans="3:14" s="237" customFormat="1" x14ac:dyDescent="0.2">
      <c r="C205" s="266"/>
      <c r="D205" s="266"/>
      <c r="E205" s="266"/>
      <c r="F205" s="266"/>
      <c r="G205" s="266"/>
      <c r="H205" s="266"/>
      <c r="I205" s="266"/>
      <c r="J205" s="266"/>
      <c r="K205" s="266"/>
      <c r="L205" s="266"/>
      <c r="M205" s="266"/>
      <c r="N205" s="266"/>
    </row>
    <row r="206" spans="3:14" s="237" customFormat="1" x14ac:dyDescent="0.2">
      <c r="C206" s="266"/>
      <c r="D206" s="266"/>
      <c r="E206" s="266"/>
      <c r="F206" s="266"/>
      <c r="G206" s="266"/>
      <c r="H206" s="266"/>
      <c r="I206" s="266"/>
      <c r="J206" s="266"/>
      <c r="K206" s="266"/>
      <c r="L206" s="266"/>
      <c r="M206" s="266"/>
      <c r="N206" s="266"/>
    </row>
    <row r="207" spans="3:14" s="237" customFormat="1" x14ac:dyDescent="0.2">
      <c r="C207" s="266"/>
      <c r="D207" s="266"/>
      <c r="E207" s="266"/>
      <c r="F207" s="266"/>
      <c r="G207" s="266"/>
      <c r="H207" s="266"/>
      <c r="I207" s="266"/>
      <c r="J207" s="266"/>
      <c r="K207" s="266"/>
      <c r="L207" s="266"/>
      <c r="M207" s="266"/>
      <c r="N207" s="266"/>
    </row>
    <row r="208" spans="3:14" s="237" customFormat="1" x14ac:dyDescent="0.2">
      <c r="C208" s="266"/>
      <c r="D208" s="266"/>
      <c r="E208" s="266"/>
      <c r="F208" s="266"/>
      <c r="G208" s="266"/>
      <c r="H208" s="266"/>
      <c r="I208" s="266"/>
      <c r="J208" s="266"/>
      <c r="K208" s="266"/>
      <c r="L208" s="266"/>
      <c r="M208" s="266"/>
      <c r="N208" s="266"/>
    </row>
    <row r="209" spans="3:14" s="237" customFormat="1" x14ac:dyDescent="0.2">
      <c r="C209" s="266"/>
      <c r="D209" s="266"/>
      <c r="E209" s="266"/>
      <c r="F209" s="266"/>
      <c r="G209" s="266"/>
      <c r="H209" s="266"/>
      <c r="I209" s="266"/>
      <c r="J209" s="266"/>
      <c r="K209" s="266"/>
      <c r="L209" s="266"/>
      <c r="M209" s="266"/>
      <c r="N209" s="266"/>
    </row>
    <row r="210" spans="3:14" s="237" customFormat="1" x14ac:dyDescent="0.2">
      <c r="C210" s="266"/>
      <c r="D210" s="266"/>
      <c r="E210" s="266"/>
      <c r="F210" s="266"/>
      <c r="G210" s="266"/>
      <c r="H210" s="266"/>
      <c r="I210" s="266"/>
      <c r="J210" s="266"/>
      <c r="K210" s="266"/>
      <c r="L210" s="266"/>
      <c r="M210" s="266"/>
      <c r="N210" s="266"/>
    </row>
    <row r="211" spans="3:14" s="237" customFormat="1" x14ac:dyDescent="0.2">
      <c r="C211" s="266"/>
      <c r="D211" s="266"/>
      <c r="E211" s="266"/>
      <c r="F211" s="266"/>
      <c r="G211" s="266"/>
      <c r="H211" s="266"/>
      <c r="I211" s="266"/>
      <c r="J211" s="266"/>
      <c r="K211" s="266"/>
      <c r="L211" s="266"/>
      <c r="M211" s="266"/>
      <c r="N211" s="266"/>
    </row>
    <row r="212" spans="3:14" s="237" customFormat="1" x14ac:dyDescent="0.2">
      <c r="C212" s="266"/>
      <c r="D212" s="266"/>
      <c r="E212" s="266"/>
      <c r="F212" s="266"/>
      <c r="G212" s="266"/>
      <c r="H212" s="266"/>
      <c r="I212" s="266"/>
      <c r="J212" s="266"/>
      <c r="K212" s="266"/>
      <c r="L212" s="266"/>
      <c r="M212" s="266"/>
      <c r="N212" s="266"/>
    </row>
    <row r="213" spans="3:14" s="237" customFormat="1" x14ac:dyDescent="0.2">
      <c r="C213" s="266"/>
      <c r="D213" s="266"/>
      <c r="E213" s="266"/>
      <c r="F213" s="266"/>
      <c r="G213" s="266"/>
      <c r="H213" s="266"/>
      <c r="I213" s="266"/>
      <c r="J213" s="266"/>
      <c r="K213" s="266"/>
      <c r="L213" s="266"/>
      <c r="M213" s="266"/>
      <c r="N213" s="266"/>
    </row>
    <row r="214" spans="3:14" s="237" customFormat="1" x14ac:dyDescent="0.2">
      <c r="C214" s="266"/>
      <c r="D214" s="266"/>
      <c r="E214" s="266"/>
      <c r="F214" s="266"/>
      <c r="G214" s="266"/>
      <c r="H214" s="266"/>
      <c r="I214" s="266"/>
      <c r="J214" s="266"/>
      <c r="K214" s="266"/>
      <c r="L214" s="266"/>
      <c r="M214" s="266"/>
      <c r="N214" s="266"/>
    </row>
    <row r="215" spans="3:14" s="237" customFormat="1" x14ac:dyDescent="0.2">
      <c r="C215" s="266"/>
      <c r="D215" s="266"/>
      <c r="E215" s="266"/>
      <c r="F215" s="266"/>
      <c r="G215" s="266"/>
      <c r="H215" s="266"/>
      <c r="I215" s="266"/>
      <c r="J215" s="266"/>
      <c r="K215" s="266"/>
      <c r="L215" s="266"/>
      <c r="M215" s="266"/>
      <c r="N215" s="266"/>
    </row>
    <row r="216" spans="3:14" s="237" customFormat="1" x14ac:dyDescent="0.2">
      <c r="C216" s="266"/>
      <c r="D216" s="266"/>
      <c r="E216" s="266"/>
      <c r="F216" s="266"/>
      <c r="G216" s="266"/>
      <c r="H216" s="266"/>
      <c r="I216" s="266"/>
      <c r="J216" s="266"/>
      <c r="K216" s="266"/>
      <c r="L216" s="266"/>
      <c r="M216" s="266"/>
      <c r="N216" s="266"/>
    </row>
    <row r="217" spans="3:14" s="237" customFormat="1" x14ac:dyDescent="0.2">
      <c r="C217" s="266"/>
      <c r="D217" s="266"/>
      <c r="E217" s="266"/>
      <c r="F217" s="266"/>
      <c r="G217" s="266"/>
      <c r="H217" s="266"/>
      <c r="I217" s="266"/>
      <c r="J217" s="266"/>
      <c r="K217" s="266"/>
      <c r="L217" s="266"/>
      <c r="M217" s="266"/>
      <c r="N217" s="266"/>
    </row>
    <row r="218" spans="3:14" s="237" customFormat="1" x14ac:dyDescent="0.2">
      <c r="C218" s="266"/>
      <c r="D218" s="266"/>
      <c r="E218" s="266"/>
      <c r="F218" s="266"/>
      <c r="G218" s="266"/>
      <c r="H218" s="266"/>
      <c r="I218" s="266"/>
      <c r="J218" s="266"/>
      <c r="K218" s="266"/>
      <c r="L218" s="266"/>
      <c r="M218" s="266"/>
      <c r="N218" s="266"/>
    </row>
    <row r="219" spans="3:14" s="237" customFormat="1" x14ac:dyDescent="0.2">
      <c r="C219" s="266"/>
      <c r="D219" s="266"/>
      <c r="E219" s="266"/>
      <c r="F219" s="266"/>
      <c r="G219" s="266"/>
      <c r="H219" s="266"/>
      <c r="I219" s="266"/>
      <c r="J219" s="266"/>
      <c r="K219" s="266"/>
      <c r="L219" s="266"/>
      <c r="M219" s="266"/>
      <c r="N219" s="266"/>
    </row>
    <row r="220" spans="3:14" s="237" customFormat="1" x14ac:dyDescent="0.2">
      <c r="C220" s="266"/>
      <c r="D220" s="266"/>
      <c r="E220" s="266"/>
      <c r="F220" s="266"/>
      <c r="G220" s="266"/>
      <c r="H220" s="266"/>
      <c r="I220" s="266"/>
      <c r="J220" s="266"/>
      <c r="K220" s="266"/>
      <c r="L220" s="266"/>
      <c r="M220" s="266"/>
      <c r="N220" s="266"/>
    </row>
    <row r="221" spans="3:14" s="237" customFormat="1" x14ac:dyDescent="0.2">
      <c r="C221" s="266"/>
      <c r="D221" s="266"/>
      <c r="E221" s="266"/>
      <c r="F221" s="266"/>
      <c r="G221" s="266"/>
      <c r="H221" s="266"/>
      <c r="I221" s="266"/>
      <c r="J221" s="266"/>
      <c r="K221" s="266"/>
      <c r="L221" s="266"/>
      <c r="M221" s="266"/>
      <c r="N221" s="266"/>
    </row>
    <row r="222" spans="3:14" s="237" customFormat="1" x14ac:dyDescent="0.2">
      <c r="C222" s="266"/>
      <c r="D222" s="266"/>
      <c r="E222" s="266"/>
      <c r="F222" s="266"/>
      <c r="G222" s="266"/>
      <c r="H222" s="266"/>
      <c r="I222" s="266"/>
      <c r="J222" s="266"/>
      <c r="K222" s="266"/>
      <c r="L222" s="266"/>
      <c r="M222" s="266"/>
      <c r="N222" s="266"/>
    </row>
    <row r="223" spans="3:14" s="237" customFormat="1" x14ac:dyDescent="0.2">
      <c r="C223" s="266"/>
      <c r="D223" s="266"/>
      <c r="E223" s="266"/>
      <c r="F223" s="266"/>
      <c r="G223" s="266"/>
      <c r="H223" s="266"/>
      <c r="I223" s="266"/>
      <c r="J223" s="266"/>
      <c r="K223" s="266"/>
      <c r="L223" s="266"/>
      <c r="M223" s="266"/>
      <c r="N223" s="266"/>
    </row>
    <row r="224" spans="3:14" s="237" customFormat="1" x14ac:dyDescent="0.2">
      <c r="C224" s="266"/>
      <c r="D224" s="266"/>
      <c r="E224" s="266"/>
      <c r="F224" s="266"/>
      <c r="G224" s="266"/>
      <c r="H224" s="266"/>
      <c r="I224" s="266"/>
      <c r="J224" s="266"/>
      <c r="K224" s="266"/>
      <c r="L224" s="266"/>
      <c r="M224" s="266"/>
      <c r="N224" s="266"/>
    </row>
    <row r="225" spans="3:14" s="237" customFormat="1" x14ac:dyDescent="0.2">
      <c r="C225" s="266"/>
      <c r="D225" s="266"/>
      <c r="E225" s="266"/>
      <c r="F225" s="266"/>
      <c r="G225" s="266"/>
      <c r="H225" s="266"/>
      <c r="I225" s="266"/>
      <c r="J225" s="266"/>
      <c r="K225" s="266"/>
      <c r="L225" s="266"/>
      <c r="M225" s="266"/>
      <c r="N225" s="266"/>
    </row>
    <row r="226" spans="3:14" s="237" customFormat="1" x14ac:dyDescent="0.2">
      <c r="C226" s="266"/>
      <c r="D226" s="266"/>
      <c r="E226" s="266"/>
      <c r="F226" s="266"/>
      <c r="G226" s="266"/>
      <c r="H226" s="266"/>
      <c r="I226" s="266"/>
      <c r="J226" s="266"/>
      <c r="K226" s="266"/>
      <c r="L226" s="266"/>
      <c r="M226" s="266"/>
      <c r="N226" s="266"/>
    </row>
    <row r="227" spans="3:14" s="237" customFormat="1" x14ac:dyDescent="0.2">
      <c r="C227" s="266"/>
      <c r="D227" s="266"/>
      <c r="E227" s="266"/>
      <c r="F227" s="266"/>
      <c r="G227" s="266"/>
      <c r="H227" s="266"/>
      <c r="I227" s="266"/>
      <c r="J227" s="266"/>
      <c r="K227" s="266"/>
      <c r="L227" s="266"/>
      <c r="M227" s="266"/>
      <c r="N227" s="266"/>
    </row>
    <row r="228" spans="3:14" s="237" customFormat="1" x14ac:dyDescent="0.2">
      <c r="C228" s="266"/>
      <c r="D228" s="266"/>
      <c r="E228" s="266"/>
      <c r="F228" s="266"/>
      <c r="G228" s="266"/>
      <c r="H228" s="266"/>
      <c r="I228" s="266"/>
      <c r="J228" s="266"/>
      <c r="K228" s="266"/>
      <c r="L228" s="266"/>
      <c r="M228" s="266"/>
      <c r="N228" s="266"/>
    </row>
    <row r="229" spans="3:14" s="237" customFormat="1" x14ac:dyDescent="0.2">
      <c r="C229" s="266"/>
      <c r="D229" s="266"/>
      <c r="E229" s="266"/>
      <c r="F229" s="266"/>
      <c r="G229" s="266"/>
      <c r="H229" s="266"/>
      <c r="I229" s="266"/>
      <c r="J229" s="266"/>
      <c r="K229" s="266"/>
      <c r="L229" s="266"/>
      <c r="M229" s="266"/>
      <c r="N229" s="266"/>
    </row>
    <row r="230" spans="3:14" s="237" customFormat="1" x14ac:dyDescent="0.2">
      <c r="C230" s="266"/>
      <c r="D230" s="266"/>
      <c r="E230" s="266"/>
      <c r="F230" s="266"/>
      <c r="G230" s="266"/>
      <c r="H230" s="266"/>
      <c r="I230" s="266"/>
      <c r="J230" s="266"/>
      <c r="K230" s="266"/>
      <c r="L230" s="266"/>
      <c r="M230" s="266"/>
      <c r="N230" s="266"/>
    </row>
    <row r="231" spans="3:14" s="237" customFormat="1" x14ac:dyDescent="0.2">
      <c r="C231" s="266"/>
      <c r="D231" s="266"/>
      <c r="E231" s="266"/>
      <c r="F231" s="266"/>
      <c r="G231" s="266"/>
      <c r="H231" s="266"/>
      <c r="I231" s="266"/>
      <c r="J231" s="266"/>
      <c r="K231" s="266"/>
      <c r="L231" s="266"/>
      <c r="M231" s="266"/>
      <c r="N231" s="266"/>
    </row>
    <row r="232" spans="3:14" s="237" customFormat="1" x14ac:dyDescent="0.2">
      <c r="C232" s="266"/>
      <c r="D232" s="266"/>
      <c r="E232" s="266"/>
      <c r="F232" s="266"/>
      <c r="G232" s="266"/>
      <c r="H232" s="266"/>
      <c r="I232" s="266"/>
      <c r="J232" s="266"/>
      <c r="K232" s="266"/>
      <c r="L232" s="266"/>
      <c r="M232" s="266"/>
      <c r="N232" s="266"/>
    </row>
    <row r="233" spans="3:14" s="237" customFormat="1" x14ac:dyDescent="0.2">
      <c r="C233" s="266"/>
      <c r="D233" s="266"/>
      <c r="E233" s="266"/>
      <c r="F233" s="266"/>
      <c r="G233" s="266"/>
      <c r="H233" s="266"/>
      <c r="I233" s="266"/>
      <c r="J233" s="266"/>
      <c r="K233" s="266"/>
      <c r="L233" s="266"/>
      <c r="M233" s="266"/>
      <c r="N233" s="266"/>
    </row>
    <row r="234" spans="3:14" s="237" customFormat="1" x14ac:dyDescent="0.2">
      <c r="C234" s="266"/>
      <c r="D234" s="266"/>
      <c r="E234" s="266"/>
      <c r="F234" s="266"/>
      <c r="G234" s="266"/>
      <c r="H234" s="266"/>
      <c r="I234" s="266"/>
      <c r="J234" s="266"/>
      <c r="K234" s="266"/>
      <c r="L234" s="266"/>
      <c r="M234" s="266"/>
      <c r="N234" s="266"/>
    </row>
    <row r="235" spans="3:14" s="237" customFormat="1" x14ac:dyDescent="0.2">
      <c r="C235" s="266"/>
      <c r="D235" s="266"/>
      <c r="E235" s="266"/>
      <c r="F235" s="266"/>
      <c r="G235" s="266"/>
      <c r="H235" s="266"/>
      <c r="I235" s="266"/>
      <c r="J235" s="266"/>
      <c r="K235" s="266"/>
      <c r="L235" s="266"/>
      <c r="M235" s="266"/>
      <c r="N235" s="266"/>
    </row>
    <row r="236" spans="3:14" s="237" customFormat="1" x14ac:dyDescent="0.2">
      <c r="C236" s="266"/>
      <c r="D236" s="266"/>
      <c r="E236" s="266"/>
      <c r="F236" s="266"/>
      <c r="G236" s="266"/>
      <c r="H236" s="266"/>
      <c r="I236" s="266"/>
      <c r="J236" s="266"/>
      <c r="K236" s="266"/>
      <c r="L236" s="266"/>
      <c r="M236" s="266"/>
      <c r="N236" s="266"/>
    </row>
    <row r="237" spans="3:14" s="237" customFormat="1" x14ac:dyDescent="0.2">
      <c r="C237" s="266"/>
      <c r="D237" s="266"/>
      <c r="E237" s="266"/>
      <c r="F237" s="266"/>
      <c r="G237" s="266"/>
      <c r="H237" s="266"/>
      <c r="I237" s="266"/>
      <c r="J237" s="266"/>
      <c r="K237" s="266"/>
      <c r="L237" s="266"/>
      <c r="M237" s="266"/>
      <c r="N237" s="266"/>
    </row>
    <row r="238" spans="3:14" s="237" customFormat="1" x14ac:dyDescent="0.2">
      <c r="C238" s="266"/>
      <c r="D238" s="266"/>
      <c r="E238" s="266"/>
      <c r="F238" s="266"/>
      <c r="G238" s="266"/>
      <c r="H238" s="266"/>
      <c r="I238" s="266"/>
      <c r="J238" s="266"/>
      <c r="K238" s="266"/>
      <c r="L238" s="266"/>
      <c r="M238" s="266"/>
      <c r="N238" s="266"/>
    </row>
    <row r="239" spans="3:14" s="237" customFormat="1" x14ac:dyDescent="0.2">
      <c r="C239" s="266"/>
      <c r="D239" s="266"/>
      <c r="E239" s="266"/>
      <c r="F239" s="266"/>
      <c r="G239" s="266"/>
      <c r="H239" s="266"/>
      <c r="I239" s="266"/>
      <c r="J239" s="266"/>
      <c r="K239" s="266"/>
      <c r="L239" s="266"/>
      <c r="M239" s="266"/>
      <c r="N239" s="266"/>
    </row>
    <row r="240" spans="3:14" s="237" customFormat="1" x14ac:dyDescent="0.2">
      <c r="C240" s="266"/>
      <c r="D240" s="266"/>
      <c r="E240" s="266"/>
      <c r="F240" s="266"/>
      <c r="G240" s="266"/>
      <c r="H240" s="266"/>
      <c r="I240" s="266"/>
      <c r="J240" s="266"/>
      <c r="K240" s="266"/>
      <c r="L240" s="266"/>
      <c r="M240" s="266"/>
      <c r="N240" s="266"/>
    </row>
    <row r="241" spans="3:14" s="237" customFormat="1" x14ac:dyDescent="0.2">
      <c r="C241" s="266"/>
      <c r="D241" s="266"/>
      <c r="E241" s="266"/>
      <c r="F241" s="266"/>
      <c r="G241" s="266"/>
      <c r="H241" s="266"/>
      <c r="I241" s="266"/>
      <c r="J241" s="266"/>
      <c r="K241" s="266"/>
      <c r="L241" s="266"/>
      <c r="M241" s="266"/>
      <c r="N241" s="266"/>
    </row>
    <row r="242" spans="3:14" s="237" customFormat="1" x14ac:dyDescent="0.2">
      <c r="C242" s="266"/>
      <c r="D242" s="266"/>
      <c r="E242" s="266"/>
      <c r="F242" s="266"/>
      <c r="G242" s="266"/>
      <c r="H242" s="266"/>
      <c r="I242" s="266"/>
      <c r="J242" s="266"/>
      <c r="K242" s="266"/>
      <c r="L242" s="266"/>
      <c r="M242" s="266"/>
      <c r="N242" s="266"/>
    </row>
    <row r="243" spans="3:14" s="237" customFormat="1" x14ac:dyDescent="0.2">
      <c r="C243" s="266"/>
      <c r="D243" s="266"/>
      <c r="E243" s="266"/>
      <c r="F243" s="266"/>
      <c r="G243" s="266"/>
      <c r="H243" s="266"/>
      <c r="I243" s="266"/>
      <c r="J243" s="266"/>
      <c r="K243" s="266"/>
      <c r="L243" s="266"/>
      <c r="M243" s="266"/>
      <c r="N243" s="266"/>
    </row>
    <row r="244" spans="3:14" s="237" customFormat="1" x14ac:dyDescent="0.2">
      <c r="C244" s="266"/>
      <c r="D244" s="266"/>
      <c r="E244" s="266"/>
      <c r="F244" s="266"/>
      <c r="G244" s="266"/>
      <c r="H244" s="266"/>
      <c r="I244" s="266"/>
      <c r="J244" s="266"/>
      <c r="K244" s="266"/>
      <c r="L244" s="266"/>
      <c r="M244" s="266"/>
      <c r="N244" s="266"/>
    </row>
    <row r="245" spans="3:14" s="237" customFormat="1" x14ac:dyDescent="0.2">
      <c r="C245" s="266"/>
      <c r="D245" s="266"/>
      <c r="E245" s="266"/>
      <c r="F245" s="266"/>
      <c r="G245" s="266"/>
      <c r="H245" s="266"/>
      <c r="I245" s="266"/>
      <c r="J245" s="266"/>
      <c r="K245" s="266"/>
      <c r="L245" s="266"/>
      <c r="M245" s="266"/>
      <c r="N245" s="266"/>
    </row>
    <row r="246" spans="3:14" s="237" customFormat="1" x14ac:dyDescent="0.2">
      <c r="C246" s="266"/>
      <c r="D246" s="266"/>
      <c r="E246" s="266"/>
      <c r="F246" s="266"/>
      <c r="G246" s="266"/>
      <c r="H246" s="266"/>
      <c r="I246" s="266"/>
      <c r="J246" s="266"/>
      <c r="K246" s="266"/>
      <c r="L246" s="266"/>
      <c r="M246" s="266"/>
      <c r="N246" s="266"/>
    </row>
    <row r="247" spans="3:14" s="237" customFormat="1" x14ac:dyDescent="0.2">
      <c r="C247" s="266"/>
      <c r="D247" s="266"/>
      <c r="E247" s="266"/>
      <c r="F247" s="266"/>
      <c r="G247" s="266"/>
      <c r="H247" s="266"/>
      <c r="I247" s="266"/>
      <c r="J247" s="266"/>
      <c r="K247" s="266"/>
      <c r="L247" s="266"/>
      <c r="M247" s="266"/>
      <c r="N247" s="266"/>
    </row>
    <row r="248" spans="3:14" s="237" customFormat="1" x14ac:dyDescent="0.2">
      <c r="C248" s="266"/>
      <c r="D248" s="266"/>
      <c r="E248" s="266"/>
      <c r="F248" s="266"/>
      <c r="G248" s="266"/>
      <c r="H248" s="266"/>
      <c r="I248" s="266"/>
      <c r="J248" s="266"/>
      <c r="K248" s="266"/>
      <c r="L248" s="266"/>
      <c r="M248" s="266"/>
      <c r="N248" s="266"/>
    </row>
    <row r="249" spans="3:14" s="237" customFormat="1" x14ac:dyDescent="0.2">
      <c r="C249" s="266"/>
      <c r="D249" s="266"/>
      <c r="E249" s="266"/>
      <c r="F249" s="266"/>
      <c r="G249" s="266"/>
      <c r="H249" s="266"/>
      <c r="I249" s="266"/>
      <c r="J249" s="266"/>
      <c r="K249" s="266"/>
      <c r="L249" s="266"/>
      <c r="M249" s="266"/>
      <c r="N249" s="266"/>
    </row>
    <row r="250" spans="3:14" s="237" customFormat="1" x14ac:dyDescent="0.2">
      <c r="C250" s="266"/>
      <c r="D250" s="266"/>
      <c r="E250" s="266"/>
      <c r="F250" s="266"/>
      <c r="G250" s="266"/>
      <c r="H250" s="266"/>
      <c r="I250" s="266"/>
      <c r="J250" s="266"/>
      <c r="K250" s="266"/>
      <c r="L250" s="266"/>
      <c r="M250" s="266"/>
      <c r="N250" s="266"/>
    </row>
    <row r="251" spans="3:14" s="237" customFormat="1" x14ac:dyDescent="0.2">
      <c r="C251" s="266"/>
      <c r="D251" s="266"/>
      <c r="E251" s="266"/>
      <c r="F251" s="266"/>
      <c r="G251" s="266"/>
      <c r="H251" s="266"/>
      <c r="I251" s="266"/>
      <c r="J251" s="266"/>
      <c r="K251" s="266"/>
      <c r="L251" s="266"/>
      <c r="M251" s="266"/>
      <c r="N251" s="266"/>
    </row>
    <row r="252" spans="3:14" s="237" customFormat="1" x14ac:dyDescent="0.2">
      <c r="C252" s="266"/>
      <c r="D252" s="266"/>
      <c r="E252" s="266"/>
      <c r="F252" s="266"/>
      <c r="G252" s="266"/>
      <c r="H252" s="266"/>
      <c r="I252" s="266"/>
      <c r="J252" s="266"/>
      <c r="K252" s="266"/>
      <c r="L252" s="266"/>
      <c r="M252" s="266"/>
      <c r="N252" s="266"/>
    </row>
    <row r="253" spans="3:14" s="237" customFormat="1" x14ac:dyDescent="0.2">
      <c r="C253" s="266"/>
      <c r="D253" s="266"/>
      <c r="E253" s="266"/>
      <c r="F253" s="266"/>
      <c r="G253" s="266"/>
      <c r="H253" s="266"/>
      <c r="I253" s="266"/>
      <c r="J253" s="266"/>
      <c r="K253" s="266"/>
      <c r="L253" s="266"/>
      <c r="M253" s="266"/>
      <c r="N253" s="266"/>
    </row>
    <row r="254" spans="3:14" s="237" customFormat="1" x14ac:dyDescent="0.2">
      <c r="C254" s="266"/>
      <c r="D254" s="266"/>
      <c r="E254" s="266"/>
      <c r="F254" s="266"/>
      <c r="G254" s="266"/>
      <c r="H254" s="266"/>
      <c r="I254" s="266"/>
      <c r="J254" s="266"/>
      <c r="K254" s="266"/>
      <c r="L254" s="266"/>
      <c r="M254" s="266"/>
      <c r="N254" s="266"/>
    </row>
    <row r="255" spans="3:14" s="237" customFormat="1" x14ac:dyDescent="0.2">
      <c r="C255" s="266"/>
      <c r="D255" s="266"/>
      <c r="E255" s="266"/>
      <c r="F255" s="266"/>
      <c r="G255" s="266"/>
      <c r="H255" s="266"/>
      <c r="I255" s="266"/>
      <c r="J255" s="266"/>
      <c r="K255" s="266"/>
      <c r="L255" s="266"/>
      <c r="M255" s="266"/>
      <c r="N255" s="266"/>
    </row>
    <row r="256" spans="3:14" s="237" customFormat="1" x14ac:dyDescent="0.2">
      <c r="C256" s="266"/>
      <c r="D256" s="266"/>
      <c r="E256" s="266"/>
      <c r="F256" s="266"/>
      <c r="G256" s="266"/>
      <c r="H256" s="266"/>
      <c r="I256" s="266"/>
      <c r="J256" s="266"/>
      <c r="K256" s="266"/>
      <c r="L256" s="266"/>
      <c r="M256" s="266"/>
      <c r="N256" s="266"/>
    </row>
    <row r="257" spans="3:14" s="237" customFormat="1" x14ac:dyDescent="0.2">
      <c r="C257" s="266"/>
      <c r="D257" s="266"/>
      <c r="E257" s="266"/>
      <c r="F257" s="266"/>
      <c r="G257" s="266"/>
      <c r="H257" s="266"/>
      <c r="I257" s="266"/>
      <c r="J257" s="266"/>
      <c r="K257" s="266"/>
      <c r="L257" s="266"/>
      <c r="M257" s="266"/>
      <c r="N257" s="266"/>
    </row>
    <row r="258" spans="3:14" s="237" customFormat="1" x14ac:dyDescent="0.2">
      <c r="C258" s="266"/>
      <c r="D258" s="266"/>
      <c r="E258" s="266"/>
      <c r="F258" s="266"/>
      <c r="G258" s="266"/>
      <c r="H258" s="266"/>
      <c r="I258" s="266"/>
      <c r="J258" s="266"/>
      <c r="K258" s="266"/>
      <c r="L258" s="266"/>
      <c r="M258" s="266"/>
      <c r="N258" s="266"/>
    </row>
    <row r="259" spans="3:14" s="237" customFormat="1" x14ac:dyDescent="0.2">
      <c r="C259" s="266"/>
      <c r="D259" s="266"/>
      <c r="E259" s="266"/>
      <c r="F259" s="266"/>
      <c r="G259" s="266"/>
      <c r="H259" s="266"/>
      <c r="I259" s="266"/>
      <c r="J259" s="266"/>
      <c r="K259" s="266"/>
      <c r="L259" s="266"/>
      <c r="M259" s="266"/>
      <c r="N259" s="266"/>
    </row>
    <row r="260" spans="3:14" s="237" customFormat="1" x14ac:dyDescent="0.2">
      <c r="C260" s="266"/>
      <c r="D260" s="266"/>
      <c r="E260" s="266"/>
      <c r="F260" s="266"/>
      <c r="G260" s="266"/>
      <c r="H260" s="266"/>
      <c r="I260" s="266"/>
      <c r="J260" s="266"/>
      <c r="K260" s="266"/>
      <c r="L260" s="266"/>
      <c r="M260" s="266"/>
      <c r="N260" s="266"/>
    </row>
    <row r="261" spans="3:14" s="237" customFormat="1" x14ac:dyDescent="0.2">
      <c r="C261" s="266"/>
      <c r="D261" s="266"/>
      <c r="E261" s="266"/>
      <c r="F261" s="266"/>
      <c r="G261" s="266"/>
      <c r="H261" s="266"/>
      <c r="I261" s="266"/>
      <c r="J261" s="266"/>
      <c r="K261" s="266"/>
      <c r="L261" s="266"/>
      <c r="M261" s="266"/>
      <c r="N261" s="266"/>
    </row>
    <row r="262" spans="3:14" s="237" customFormat="1" x14ac:dyDescent="0.2">
      <c r="C262" s="266"/>
      <c r="D262" s="266"/>
      <c r="E262" s="266"/>
      <c r="F262" s="266"/>
      <c r="G262" s="266"/>
      <c r="H262" s="266"/>
      <c r="I262" s="266"/>
      <c r="J262" s="266"/>
      <c r="K262" s="266"/>
      <c r="L262" s="266"/>
      <c r="M262" s="266"/>
      <c r="N262" s="266"/>
    </row>
    <row r="263" spans="3:14" s="237" customFormat="1" x14ac:dyDescent="0.2">
      <c r="C263" s="266"/>
      <c r="D263" s="266"/>
      <c r="E263" s="266"/>
      <c r="F263" s="266"/>
      <c r="G263" s="266"/>
      <c r="H263" s="266"/>
      <c r="I263" s="266"/>
      <c r="J263" s="266"/>
      <c r="K263" s="266"/>
      <c r="L263" s="266"/>
      <c r="M263" s="266"/>
      <c r="N263" s="266"/>
    </row>
    <row r="264" spans="3:14" s="237" customFormat="1" x14ac:dyDescent="0.2">
      <c r="C264" s="266"/>
      <c r="D264" s="266"/>
      <c r="E264" s="266"/>
      <c r="F264" s="266"/>
      <c r="G264" s="266"/>
      <c r="H264" s="266"/>
      <c r="I264" s="266"/>
      <c r="J264" s="266"/>
      <c r="K264" s="266"/>
      <c r="L264" s="266"/>
      <c r="M264" s="266"/>
      <c r="N264" s="266"/>
    </row>
  </sheetData>
  <protectedRanges>
    <protectedRange sqref="B9:B12 B14:B20 C6:M7 B27:B30 D24:M26 B32:B38 C24:C25 D13:M13 I8:M12 E27:M31" name="Rango1"/>
    <protectedRange sqref="E8:F12 H8:H12" name="Rango1_1"/>
    <protectedRange sqref="D8:D12" name="Rango1_1_1"/>
    <protectedRange sqref="G8:G12" name="Rango1_2"/>
  </protectedRanges>
  <mergeCells count="40">
    <mergeCell ref="A3:N3"/>
    <mergeCell ref="A2:N2"/>
    <mergeCell ref="A4:N4"/>
    <mergeCell ref="A6:A7"/>
    <mergeCell ref="B6:B7"/>
    <mergeCell ref="C6:C7"/>
    <mergeCell ref="D6:D7"/>
    <mergeCell ref="E6:E7"/>
    <mergeCell ref="J6:J7"/>
    <mergeCell ref="K6:K7"/>
    <mergeCell ref="A21:B21"/>
    <mergeCell ref="A5:N5"/>
    <mergeCell ref="A40:N40"/>
    <mergeCell ref="L6:L7"/>
    <mergeCell ref="M6:M7"/>
    <mergeCell ref="N6:N7"/>
    <mergeCell ref="A8:B8"/>
    <mergeCell ref="A13:B13"/>
    <mergeCell ref="F6:F7"/>
    <mergeCell ref="G6:G7"/>
    <mergeCell ref="H6:H7"/>
    <mergeCell ref="I6:I7"/>
    <mergeCell ref="A23:N23"/>
    <mergeCell ref="A24:A25"/>
    <mergeCell ref="B24:B25"/>
    <mergeCell ref="M24:M25"/>
    <mergeCell ref="N24:N25"/>
    <mergeCell ref="A26:B26"/>
    <mergeCell ref="A31:B31"/>
    <mergeCell ref="A39:B39"/>
    <mergeCell ref="H24:H25"/>
    <mergeCell ref="I24:I25"/>
    <mergeCell ref="J24:J25"/>
    <mergeCell ref="K24:K25"/>
    <mergeCell ref="L24:L25"/>
    <mergeCell ref="C24:C25"/>
    <mergeCell ref="D24:D25"/>
    <mergeCell ref="E24:E25"/>
    <mergeCell ref="F24:F25"/>
    <mergeCell ref="G24:G25"/>
  </mergeCells>
  <phoneticPr fontId="0" type="noConversion"/>
  <pageMargins left="0.24" right="0.17" top="0.75" bottom="0.75" header="0.3" footer="0.3"/>
  <pageSetup scale="95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BASE!$F$3:$F$4</xm:f>
          </x14:formula1>
          <xm:sqref>A14:A20 A32:A38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C262"/>
  <sheetViews>
    <sheetView topLeftCell="B11" zoomScaleNormal="100" workbookViewId="0">
      <selection activeCell="E26" sqref="E26:E39"/>
    </sheetView>
  </sheetViews>
  <sheetFormatPr baseColWidth="10" defaultRowHeight="12.75" x14ac:dyDescent="0.2"/>
  <cols>
    <col min="1" max="1" width="11.5703125" customWidth="1"/>
    <col min="2" max="2" width="27" customWidth="1"/>
    <col min="3" max="3" width="12.85546875" style="277" customWidth="1"/>
    <col min="4" max="13" width="12.7109375" style="277" customWidth="1"/>
    <col min="14" max="14" width="12.85546875" style="277" customWidth="1"/>
    <col min="15" max="81" width="11.42578125" style="237"/>
  </cols>
  <sheetData>
    <row r="1" spans="1:14" x14ac:dyDescent="0.2">
      <c r="A1" s="237"/>
      <c r="B1" s="237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</row>
    <row r="2" spans="1:14" ht="20.25" customHeight="1" x14ac:dyDescent="0.25">
      <c r="A2" s="1255" t="s">
        <v>665</v>
      </c>
      <c r="B2" s="1255"/>
      <c r="C2" s="1255"/>
      <c r="D2" s="1255"/>
      <c r="E2" s="1255"/>
      <c r="F2" s="1255"/>
      <c r="G2" s="1255"/>
      <c r="H2" s="1255"/>
      <c r="I2" s="1255"/>
      <c r="J2" s="1255"/>
      <c r="K2" s="1255"/>
      <c r="L2" s="1255"/>
      <c r="M2" s="1255"/>
      <c r="N2" s="1255"/>
    </row>
    <row r="3" spans="1:14" ht="20.25" customHeight="1" x14ac:dyDescent="0.25">
      <c r="A3" s="1254" t="str">
        <f>+PRESUPUESTO!B2</f>
        <v>MEDICINA PREGRADO</v>
      </c>
      <c r="B3" s="1254"/>
      <c r="C3" s="1254"/>
      <c r="D3" s="1254"/>
      <c r="E3" s="1254"/>
      <c r="F3" s="1254"/>
      <c r="G3" s="1254"/>
      <c r="H3" s="1254"/>
      <c r="I3" s="1254"/>
      <c r="J3" s="1254"/>
      <c r="K3" s="1254"/>
      <c r="L3" s="1254"/>
      <c r="M3" s="1254"/>
      <c r="N3" s="1254"/>
    </row>
    <row r="4" spans="1:14" ht="20.25" customHeight="1" thickBot="1" x14ac:dyDescent="0.3">
      <c r="A4" s="1256">
        <v>2018</v>
      </c>
      <c r="B4" s="1256"/>
      <c r="C4" s="1256"/>
      <c r="D4" s="1256"/>
      <c r="E4" s="1256"/>
      <c r="F4" s="1256"/>
      <c r="G4" s="1256"/>
      <c r="H4" s="1256"/>
      <c r="I4" s="1256"/>
      <c r="J4" s="1256"/>
      <c r="K4" s="1256"/>
      <c r="L4" s="1256"/>
      <c r="M4" s="1256"/>
      <c r="N4" s="1256"/>
    </row>
    <row r="5" spans="1:14" ht="12.75" customHeight="1" thickBot="1" x14ac:dyDescent="0.25">
      <c r="A5" s="1268" t="s">
        <v>829</v>
      </c>
      <c r="B5" s="1269"/>
      <c r="C5" s="1269"/>
      <c r="D5" s="1269"/>
      <c r="E5" s="1269"/>
      <c r="F5" s="1269"/>
      <c r="G5" s="1269"/>
      <c r="H5" s="1269"/>
      <c r="I5" s="1269"/>
      <c r="J5" s="1269"/>
      <c r="K5" s="1269"/>
      <c r="L5" s="1269"/>
      <c r="M5" s="1269"/>
      <c r="N5" s="1270"/>
    </row>
    <row r="6" spans="1:14" ht="12.75" customHeight="1" x14ac:dyDescent="0.2">
      <c r="A6" s="1257" t="s">
        <v>440</v>
      </c>
      <c r="B6" s="1259" t="s">
        <v>441</v>
      </c>
      <c r="C6" s="1249" t="s">
        <v>666</v>
      </c>
      <c r="D6" s="1249" t="s">
        <v>666</v>
      </c>
      <c r="E6" s="1249" t="s">
        <v>666</v>
      </c>
      <c r="F6" s="1249" t="s">
        <v>666</v>
      </c>
      <c r="G6" s="1249" t="s">
        <v>666</v>
      </c>
      <c r="H6" s="1249" t="s">
        <v>666</v>
      </c>
      <c r="I6" s="1249" t="s">
        <v>666</v>
      </c>
      <c r="J6" s="1249" t="s">
        <v>666</v>
      </c>
      <c r="K6" s="1249" t="s">
        <v>666</v>
      </c>
      <c r="L6" s="1249" t="s">
        <v>666</v>
      </c>
      <c r="M6" s="1249" t="s">
        <v>666</v>
      </c>
      <c r="N6" s="1249" t="s">
        <v>869</v>
      </c>
    </row>
    <row r="7" spans="1:14" ht="46.9" customHeight="1" thickBot="1" x14ac:dyDescent="0.25">
      <c r="A7" s="1258"/>
      <c r="B7" s="1260"/>
      <c r="C7" s="1250"/>
      <c r="D7" s="1250"/>
      <c r="E7" s="1250"/>
      <c r="F7" s="1250"/>
      <c r="G7" s="1250"/>
      <c r="H7" s="1250"/>
      <c r="I7" s="1250"/>
      <c r="J7" s="1250"/>
      <c r="K7" s="1250"/>
      <c r="L7" s="1250"/>
      <c r="M7" s="1250"/>
      <c r="N7" s="1250"/>
    </row>
    <row r="8" spans="1:14" ht="30" customHeight="1" thickBot="1" x14ac:dyDescent="0.25">
      <c r="A8" s="1263" t="s">
        <v>503</v>
      </c>
      <c r="B8" s="1264"/>
      <c r="C8" s="290"/>
      <c r="D8" s="290"/>
      <c r="E8" s="290"/>
      <c r="F8" s="290"/>
      <c r="G8" s="290"/>
      <c r="H8" s="290"/>
      <c r="I8" s="290"/>
      <c r="J8" s="987"/>
      <c r="K8" s="987"/>
      <c r="L8" s="290"/>
      <c r="M8" s="267"/>
      <c r="N8" s="268"/>
    </row>
    <row r="9" spans="1:14" ht="20.45" customHeight="1" x14ac:dyDescent="0.2">
      <c r="A9" s="249"/>
      <c r="B9" s="245" t="s">
        <v>469</v>
      </c>
      <c r="C9" s="986" t="s">
        <v>1271</v>
      </c>
      <c r="D9" s="269"/>
      <c r="E9" s="269"/>
      <c r="F9" s="269"/>
      <c r="G9" s="269"/>
      <c r="H9" s="269"/>
      <c r="I9" s="269"/>
      <c r="J9" s="269"/>
      <c r="K9" s="269"/>
      <c r="L9" s="269"/>
      <c r="M9" s="269"/>
      <c r="N9" s="270">
        <f>SUM(C9:M9)</f>
        <v>0</v>
      </c>
    </row>
    <row r="10" spans="1:14" x14ac:dyDescent="0.2">
      <c r="A10" s="239"/>
      <c r="B10" s="245" t="s">
        <v>474</v>
      </c>
      <c r="C10" s="269">
        <v>1</v>
      </c>
      <c r="D10" s="291"/>
      <c r="E10" s="269"/>
      <c r="F10" s="269"/>
      <c r="G10" s="269"/>
      <c r="H10" s="291"/>
      <c r="I10" s="988"/>
      <c r="J10" s="269"/>
      <c r="K10" s="269"/>
      <c r="L10" s="269"/>
      <c r="M10" s="269"/>
      <c r="N10" s="270">
        <f>SUM(C10:M10)</f>
        <v>1</v>
      </c>
    </row>
    <row r="11" spans="1:14" ht="13.5" thickBot="1" x14ac:dyDescent="0.25">
      <c r="A11" s="250"/>
      <c r="B11" s="245" t="s">
        <v>470</v>
      </c>
      <c r="C11" s="269"/>
      <c r="D11" s="986"/>
      <c r="E11" s="269"/>
      <c r="F11" s="269"/>
      <c r="G11" s="269"/>
      <c r="H11" s="989"/>
      <c r="I11" s="989"/>
      <c r="J11" s="269"/>
      <c r="K11" s="269"/>
      <c r="L11" s="990"/>
      <c r="M11" s="269"/>
      <c r="N11" s="270"/>
    </row>
    <row r="12" spans="1:14" ht="13.5" thickBot="1" x14ac:dyDescent="0.25">
      <c r="A12" s="247"/>
      <c r="B12" s="245" t="s">
        <v>472</v>
      </c>
      <c r="C12" s="304" t="s">
        <v>169</v>
      </c>
      <c r="D12" s="304" t="s">
        <v>169</v>
      </c>
      <c r="E12" s="280"/>
      <c r="F12" s="280"/>
      <c r="G12" s="280"/>
      <c r="H12" s="280"/>
      <c r="I12" s="280"/>
      <c r="J12" s="280"/>
      <c r="K12" s="280"/>
      <c r="L12" s="280"/>
      <c r="M12" s="280"/>
      <c r="N12" s="270"/>
    </row>
    <row r="13" spans="1:14" ht="13.5" thickBot="1" x14ac:dyDescent="0.25">
      <c r="A13" s="1253" t="s">
        <v>445</v>
      </c>
      <c r="B13" s="1272"/>
      <c r="C13" s="899"/>
      <c r="D13" s="899"/>
      <c r="E13" s="899"/>
      <c r="F13" s="899"/>
      <c r="G13" s="899"/>
      <c r="H13" s="899"/>
      <c r="I13" s="899"/>
      <c r="J13" s="899"/>
      <c r="K13" s="899"/>
      <c r="L13" s="899"/>
      <c r="M13" s="899"/>
      <c r="N13" s="268"/>
    </row>
    <row r="14" spans="1:14" x14ac:dyDescent="0.2">
      <c r="A14" s="912">
        <v>5105630000</v>
      </c>
      <c r="B14" s="902" t="s">
        <v>738</v>
      </c>
      <c r="C14" s="269"/>
      <c r="D14" s="991"/>
      <c r="E14" s="269"/>
      <c r="F14" s="269"/>
      <c r="G14" s="269"/>
      <c r="H14" s="269"/>
      <c r="I14" s="269"/>
      <c r="J14" s="269"/>
      <c r="K14" s="269"/>
      <c r="L14" s="269"/>
      <c r="M14" s="904"/>
      <c r="N14" s="915">
        <f t="shared" ref="N14:N20" si="0">SUM(C14:M14)</f>
        <v>0</v>
      </c>
    </row>
    <row r="15" spans="1:14" x14ac:dyDescent="0.2">
      <c r="A15" s="913">
        <v>5110950000</v>
      </c>
      <c r="B15" s="245" t="s">
        <v>223</v>
      </c>
      <c r="C15" s="269"/>
      <c r="D15" s="991"/>
      <c r="E15" s="269"/>
      <c r="F15" s="269"/>
      <c r="G15" s="269"/>
      <c r="H15" s="269"/>
      <c r="I15" s="269"/>
      <c r="J15" s="269"/>
      <c r="K15" s="269"/>
      <c r="L15" s="269"/>
      <c r="M15" s="269"/>
      <c r="N15" s="270">
        <f t="shared" si="0"/>
        <v>0</v>
      </c>
    </row>
    <row r="16" spans="1:14" x14ac:dyDescent="0.2">
      <c r="A16" s="913">
        <v>5155050000</v>
      </c>
      <c r="B16" s="245" t="s">
        <v>420</v>
      </c>
      <c r="C16" s="269">
        <v>2000000</v>
      </c>
      <c r="D16" s="305"/>
      <c r="E16" s="269"/>
      <c r="F16" s="269"/>
      <c r="G16" s="269"/>
      <c r="H16" s="269"/>
      <c r="I16" s="269"/>
      <c r="J16" s="269"/>
      <c r="K16" s="269"/>
      <c r="L16" s="269"/>
      <c r="M16" s="269"/>
      <c r="N16" s="270">
        <f t="shared" si="0"/>
        <v>2000000</v>
      </c>
    </row>
    <row r="17" spans="1:14" x14ac:dyDescent="0.2">
      <c r="A17" s="913">
        <v>5155150000</v>
      </c>
      <c r="B17" s="245" t="s">
        <v>473</v>
      </c>
      <c r="C17" s="269">
        <v>2000000</v>
      </c>
      <c r="D17" s="305"/>
      <c r="E17" s="269"/>
      <c r="F17" s="269"/>
      <c r="G17" s="269"/>
      <c r="H17" s="269"/>
      <c r="I17" s="269"/>
      <c r="J17" s="269"/>
      <c r="K17" s="269"/>
      <c r="L17" s="269"/>
      <c r="M17" s="269"/>
      <c r="N17" s="270">
        <f t="shared" si="0"/>
        <v>2000000</v>
      </c>
    </row>
    <row r="18" spans="1:14" x14ac:dyDescent="0.2">
      <c r="A18" s="913">
        <v>5195200000</v>
      </c>
      <c r="B18" s="245" t="s">
        <v>451</v>
      </c>
      <c r="C18" s="269"/>
      <c r="D18" s="991"/>
      <c r="E18" s="269"/>
      <c r="F18" s="269"/>
      <c r="G18" s="269"/>
      <c r="H18" s="269"/>
      <c r="I18" s="269"/>
      <c r="J18" s="269"/>
      <c r="K18" s="269"/>
      <c r="L18" s="269"/>
      <c r="M18" s="269"/>
      <c r="N18" s="270">
        <f t="shared" si="0"/>
        <v>0</v>
      </c>
    </row>
    <row r="19" spans="1:14" x14ac:dyDescent="0.2">
      <c r="A19" s="913">
        <v>5195450000</v>
      </c>
      <c r="B19" s="245" t="s">
        <v>454</v>
      </c>
      <c r="C19" s="269"/>
      <c r="D19" s="305"/>
      <c r="E19" s="269"/>
      <c r="F19" s="269"/>
      <c r="G19" s="269"/>
      <c r="H19" s="269"/>
      <c r="I19" s="269"/>
      <c r="J19" s="269"/>
      <c r="K19" s="269"/>
      <c r="L19" s="269"/>
      <c r="M19" s="269"/>
      <c r="N19" s="270">
        <f t="shared" si="0"/>
        <v>0</v>
      </c>
    </row>
    <row r="20" spans="1:14" ht="13.5" thickBot="1" x14ac:dyDescent="0.25">
      <c r="A20" s="914">
        <v>5395950000</v>
      </c>
      <c r="B20" s="916" t="s">
        <v>457</v>
      </c>
      <c r="C20" s="917"/>
      <c r="D20" s="917"/>
      <c r="E20" s="918"/>
      <c r="F20" s="918"/>
      <c r="G20" s="918"/>
      <c r="H20" s="918"/>
      <c r="I20" s="918"/>
      <c r="J20" s="918" t="s">
        <v>169</v>
      </c>
      <c r="K20" s="918"/>
      <c r="L20" s="918"/>
      <c r="M20" s="918"/>
      <c r="N20" s="919">
        <f t="shared" si="0"/>
        <v>0</v>
      </c>
    </row>
    <row r="21" spans="1:14" ht="13.5" thickBot="1" x14ac:dyDescent="0.25">
      <c r="A21" s="1265" t="s">
        <v>458</v>
      </c>
      <c r="B21" s="1267"/>
      <c r="C21" s="275">
        <f t="shared" ref="C21:M21" si="1">SUM(C14:C20)</f>
        <v>4000000</v>
      </c>
      <c r="D21" s="275">
        <f t="shared" si="1"/>
        <v>0</v>
      </c>
      <c r="E21" s="275">
        <f t="shared" si="1"/>
        <v>0</v>
      </c>
      <c r="F21" s="275">
        <f t="shared" si="1"/>
        <v>0</v>
      </c>
      <c r="G21" s="275">
        <f t="shared" si="1"/>
        <v>0</v>
      </c>
      <c r="H21" s="275">
        <f t="shared" si="1"/>
        <v>0</v>
      </c>
      <c r="I21" s="275">
        <f t="shared" si="1"/>
        <v>0</v>
      </c>
      <c r="J21" s="275">
        <f t="shared" si="1"/>
        <v>0</v>
      </c>
      <c r="K21" s="275">
        <f t="shared" si="1"/>
        <v>0</v>
      </c>
      <c r="L21" s="275">
        <f t="shared" si="1"/>
        <v>0</v>
      </c>
      <c r="M21" s="275">
        <f t="shared" si="1"/>
        <v>0</v>
      </c>
      <c r="N21" s="275">
        <f>SUM(C21:M21)</f>
        <v>4000000</v>
      </c>
    </row>
    <row r="22" spans="1:14" s="572" customFormat="1" ht="13.5" thickBot="1" x14ac:dyDescent="0.25">
      <c r="A22" s="674"/>
      <c r="B22" s="674"/>
      <c r="C22" s="676"/>
      <c r="D22" s="676"/>
      <c r="E22" s="676"/>
      <c r="F22" s="676"/>
      <c r="G22" s="676"/>
      <c r="H22" s="676"/>
      <c r="I22" s="676"/>
      <c r="J22" s="676"/>
      <c r="K22" s="676"/>
      <c r="L22" s="676"/>
      <c r="M22" s="676"/>
      <c r="N22" s="676"/>
    </row>
    <row r="23" spans="1:14" ht="13.5" thickBot="1" x14ac:dyDescent="0.25">
      <c r="A23" s="1268" t="s">
        <v>830</v>
      </c>
      <c r="B23" s="1269"/>
      <c r="C23" s="1269"/>
      <c r="D23" s="1269"/>
      <c r="E23" s="1269"/>
      <c r="F23" s="1269"/>
      <c r="G23" s="1269"/>
      <c r="H23" s="1269"/>
      <c r="I23" s="1269"/>
      <c r="J23" s="1269"/>
      <c r="K23" s="1269"/>
      <c r="L23" s="1269"/>
      <c r="M23" s="1269"/>
      <c r="N23" s="1270"/>
    </row>
    <row r="24" spans="1:14" ht="12.75" customHeight="1" x14ac:dyDescent="0.2">
      <c r="A24" s="1273" t="s">
        <v>418</v>
      </c>
      <c r="B24" s="1259" t="s">
        <v>441</v>
      </c>
      <c r="C24" s="1249" t="s">
        <v>666</v>
      </c>
      <c r="D24" s="1249" t="s">
        <v>666</v>
      </c>
      <c r="E24" s="1249" t="s">
        <v>666</v>
      </c>
      <c r="F24" s="1249" t="s">
        <v>666</v>
      </c>
      <c r="G24" s="1249" t="s">
        <v>666</v>
      </c>
      <c r="H24" s="1249" t="s">
        <v>666</v>
      </c>
      <c r="I24" s="1249" t="s">
        <v>666</v>
      </c>
      <c r="J24" s="1249" t="s">
        <v>666</v>
      </c>
      <c r="K24" s="1249" t="s">
        <v>666</v>
      </c>
      <c r="L24" s="1249" t="s">
        <v>666</v>
      </c>
      <c r="M24" s="1249" t="s">
        <v>666</v>
      </c>
      <c r="N24" s="1249" t="s">
        <v>869</v>
      </c>
    </row>
    <row r="25" spans="1:14" ht="13.5" thickBot="1" x14ac:dyDescent="0.25">
      <c r="A25" s="1274"/>
      <c r="B25" s="1260"/>
      <c r="C25" s="1250"/>
      <c r="D25" s="1250"/>
      <c r="E25" s="1250"/>
      <c r="F25" s="1250"/>
      <c r="G25" s="1250"/>
      <c r="H25" s="1250"/>
      <c r="I25" s="1250"/>
      <c r="J25" s="1250"/>
      <c r="K25" s="1250"/>
      <c r="L25" s="1250"/>
      <c r="M25" s="1250"/>
      <c r="N25" s="1250"/>
    </row>
    <row r="26" spans="1:14" ht="13.5" thickBot="1" x14ac:dyDescent="0.25">
      <c r="A26" s="1263" t="s">
        <v>503</v>
      </c>
      <c r="B26" s="1264"/>
      <c r="C26" s="290"/>
      <c r="D26" s="290"/>
      <c r="E26" s="1072" t="s">
        <v>1463</v>
      </c>
      <c r="F26" s="290"/>
      <c r="G26" s="1002"/>
      <c r="H26" s="1003"/>
      <c r="I26" s="1003"/>
      <c r="J26" s="1003"/>
      <c r="K26" s="1003"/>
      <c r="L26" s="1003"/>
      <c r="M26" s="1003"/>
      <c r="N26" s="268"/>
    </row>
    <row r="27" spans="1:14" x14ac:dyDescent="0.2">
      <c r="A27" s="249"/>
      <c r="B27" s="245" t="s">
        <v>469</v>
      </c>
      <c r="C27" s="291" t="s">
        <v>1272</v>
      </c>
      <c r="D27" s="291" t="s">
        <v>1273</v>
      </c>
      <c r="E27" s="1073"/>
      <c r="F27" s="1004"/>
      <c r="G27" s="1004"/>
      <c r="H27" s="1004"/>
      <c r="I27" s="1004"/>
      <c r="J27" s="1004"/>
      <c r="K27" s="1004"/>
      <c r="L27" s="1004"/>
      <c r="M27" s="1004"/>
      <c r="N27" s="270">
        <f>SUM(C27:M27)</f>
        <v>0</v>
      </c>
    </row>
    <row r="28" spans="1:14" x14ac:dyDescent="0.2">
      <c r="A28" s="239"/>
      <c r="B28" s="245" t="s">
        <v>474</v>
      </c>
      <c r="C28" s="291">
        <v>4000000</v>
      </c>
      <c r="D28" s="291">
        <v>4000000</v>
      </c>
      <c r="E28" s="1073"/>
      <c r="F28" s="1004"/>
      <c r="G28" s="1004"/>
      <c r="H28" s="1004"/>
      <c r="I28" s="1004"/>
      <c r="J28" s="1004"/>
      <c r="K28" s="1004"/>
      <c r="L28" s="1004"/>
      <c r="M28" s="1004"/>
      <c r="N28" s="270">
        <f>SUM(C28:M28)</f>
        <v>8000000</v>
      </c>
    </row>
    <row r="29" spans="1:14" ht="13.5" thickBot="1" x14ac:dyDescent="0.25">
      <c r="A29" s="250"/>
      <c r="B29" s="245" t="s">
        <v>470</v>
      </c>
      <c r="C29" s="1005"/>
      <c r="D29" s="1005"/>
      <c r="E29" s="1074"/>
      <c r="F29" s="1005"/>
      <c r="G29" s="1001"/>
      <c r="H29" s="1001"/>
      <c r="I29" s="1001"/>
      <c r="J29" s="1001"/>
      <c r="K29" s="1001"/>
      <c r="L29" s="1001"/>
      <c r="M29" s="1001"/>
      <c r="N29" s="270"/>
    </row>
    <row r="30" spans="1:14" ht="13.5" thickBot="1" x14ac:dyDescent="0.25">
      <c r="A30" s="247"/>
      <c r="B30" s="245" t="s">
        <v>472</v>
      </c>
      <c r="C30" s="304"/>
      <c r="D30" s="304"/>
      <c r="E30" s="1064"/>
      <c r="F30" s="280"/>
      <c r="G30" s="280"/>
      <c r="H30" s="280"/>
      <c r="I30" s="280"/>
      <c r="J30" s="280"/>
      <c r="K30" s="280"/>
      <c r="L30" s="280"/>
      <c r="M30" s="280"/>
      <c r="N30" s="270"/>
    </row>
    <row r="31" spans="1:14" ht="13.5" thickBot="1" x14ac:dyDescent="0.25">
      <c r="A31" s="1253" t="s">
        <v>445</v>
      </c>
      <c r="B31" s="1272"/>
      <c r="C31" s="899"/>
      <c r="D31" s="899"/>
      <c r="E31" s="1065"/>
      <c r="F31" s="899"/>
      <c r="G31" s="899"/>
      <c r="H31" s="899"/>
      <c r="I31" s="899"/>
      <c r="J31" s="899"/>
      <c r="K31" s="899"/>
      <c r="L31" s="899"/>
      <c r="M31" s="899"/>
      <c r="N31" s="268"/>
    </row>
    <row r="32" spans="1:14" x14ac:dyDescent="0.2">
      <c r="A32" s="912">
        <v>5105630000</v>
      </c>
      <c r="B32" s="902" t="s">
        <v>738</v>
      </c>
      <c r="C32" s="1006"/>
      <c r="D32" s="1006"/>
      <c r="E32" s="1073"/>
      <c r="F32" s="1004"/>
      <c r="G32" s="1004"/>
      <c r="H32" s="1004"/>
      <c r="I32" s="1004"/>
      <c r="J32" s="1004"/>
      <c r="K32" s="1004"/>
      <c r="L32" s="1004"/>
      <c r="M32" s="1004"/>
      <c r="N32" s="915">
        <f t="shared" ref="N32:N38" si="2">SUM(C32:M32)</f>
        <v>0</v>
      </c>
    </row>
    <row r="33" spans="1:14" x14ac:dyDescent="0.2">
      <c r="A33" s="913">
        <v>5110950000</v>
      </c>
      <c r="B33" s="245" t="s">
        <v>223</v>
      </c>
      <c r="C33" s="1006"/>
      <c r="D33" s="1006"/>
      <c r="E33" s="1073"/>
      <c r="F33" s="1004"/>
      <c r="G33" s="1004"/>
      <c r="H33" s="1004"/>
      <c r="I33" s="1004"/>
      <c r="J33" s="1004"/>
      <c r="K33" s="1004"/>
      <c r="L33" s="1004"/>
      <c r="M33" s="1004"/>
      <c r="N33" s="270">
        <f t="shared" si="2"/>
        <v>0</v>
      </c>
    </row>
    <row r="34" spans="1:14" x14ac:dyDescent="0.2">
      <c r="A34" s="913">
        <v>5155050000</v>
      </c>
      <c r="B34" s="245" t="s">
        <v>420</v>
      </c>
      <c r="C34" s="1007">
        <v>8000000</v>
      </c>
      <c r="D34" s="1007">
        <v>8000000</v>
      </c>
      <c r="E34" s="1073">
        <v>-8000000</v>
      </c>
      <c r="F34" s="1004"/>
      <c r="G34" s="1004"/>
      <c r="H34" s="1004"/>
      <c r="I34" s="1004"/>
      <c r="J34" s="1004"/>
      <c r="K34" s="1004"/>
      <c r="L34" s="1004"/>
      <c r="M34" s="1004"/>
      <c r="N34" s="270">
        <f t="shared" si="2"/>
        <v>8000000</v>
      </c>
    </row>
    <row r="35" spans="1:14" x14ac:dyDescent="0.2">
      <c r="A35" s="913">
        <v>5155150000</v>
      </c>
      <c r="B35" s="245" t="s">
        <v>473</v>
      </c>
      <c r="C35" s="1007">
        <v>12000000</v>
      </c>
      <c r="D35" s="1007">
        <v>12000000</v>
      </c>
      <c r="E35" s="1073">
        <v>-12000000</v>
      </c>
      <c r="F35" s="1004"/>
      <c r="G35" s="1004"/>
      <c r="H35" s="1004"/>
      <c r="I35" s="1004"/>
      <c r="J35" s="1004"/>
      <c r="K35" s="1004"/>
      <c r="L35" s="1004"/>
      <c r="M35" s="1004"/>
      <c r="N35" s="270">
        <f t="shared" si="2"/>
        <v>12000000</v>
      </c>
    </row>
    <row r="36" spans="1:14" x14ac:dyDescent="0.2">
      <c r="A36" s="913">
        <v>5195200000</v>
      </c>
      <c r="B36" s="245" t="s">
        <v>451</v>
      </c>
      <c r="C36" s="315"/>
      <c r="D36" s="315"/>
      <c r="E36" s="1064"/>
      <c r="F36" s="269"/>
      <c r="G36" s="269"/>
      <c r="H36" s="269"/>
      <c r="I36" s="269"/>
      <c r="J36" s="269"/>
      <c r="K36" s="269"/>
      <c r="L36" s="269"/>
      <c r="M36" s="269"/>
      <c r="N36" s="270">
        <f t="shared" si="2"/>
        <v>0</v>
      </c>
    </row>
    <row r="37" spans="1:14" x14ac:dyDescent="0.2">
      <c r="A37" s="913">
        <v>5195450000</v>
      </c>
      <c r="B37" s="245" t="s">
        <v>454</v>
      </c>
      <c r="C37" s="305"/>
      <c r="D37" s="305"/>
      <c r="E37" s="1064"/>
      <c r="F37" s="269"/>
      <c r="G37" s="269"/>
      <c r="H37" s="269"/>
      <c r="I37" s="269"/>
      <c r="J37" s="269"/>
      <c r="K37" s="269"/>
      <c r="L37" s="269"/>
      <c r="M37" s="269"/>
      <c r="N37" s="270">
        <f t="shared" si="2"/>
        <v>0</v>
      </c>
    </row>
    <row r="38" spans="1:14" ht="13.5" thickBot="1" x14ac:dyDescent="0.25">
      <c r="A38" s="914">
        <v>5395950000</v>
      </c>
      <c r="B38" s="916" t="s">
        <v>457</v>
      </c>
      <c r="C38" s="917"/>
      <c r="D38" s="917"/>
      <c r="E38" s="1071"/>
      <c r="F38" s="918"/>
      <c r="G38" s="918"/>
      <c r="H38" s="918"/>
      <c r="I38" s="918"/>
      <c r="J38" s="918"/>
      <c r="K38" s="918"/>
      <c r="L38" s="918"/>
      <c r="M38" s="918"/>
      <c r="N38" s="919">
        <f t="shared" si="2"/>
        <v>0</v>
      </c>
    </row>
    <row r="39" spans="1:14" ht="13.5" thickBot="1" x14ac:dyDescent="0.25">
      <c r="A39" s="1265" t="s">
        <v>458</v>
      </c>
      <c r="B39" s="1267"/>
      <c r="C39" s="275">
        <f t="shared" ref="C39" si="3">SUM(C32:C38)</f>
        <v>20000000</v>
      </c>
      <c r="D39" s="275">
        <f t="shared" ref="D39" si="4">SUM(D32:D38)</f>
        <v>20000000</v>
      </c>
      <c r="E39" s="1069">
        <f t="shared" ref="E39" si="5">SUM(E32:E38)</f>
        <v>-20000000</v>
      </c>
      <c r="F39" s="275">
        <f t="shared" ref="F39" si="6">SUM(F32:F38)</f>
        <v>0</v>
      </c>
      <c r="G39" s="275">
        <f t="shared" ref="G39" si="7">SUM(G32:G38)</f>
        <v>0</v>
      </c>
      <c r="H39" s="275">
        <f t="shared" ref="H39" si="8">SUM(H32:H38)</f>
        <v>0</v>
      </c>
      <c r="I39" s="275">
        <f t="shared" ref="I39" si="9">SUM(I32:I38)</f>
        <v>0</v>
      </c>
      <c r="J39" s="275">
        <f t="shared" ref="J39" si="10">SUM(J32:J38)</f>
        <v>0</v>
      </c>
      <c r="K39" s="275">
        <f t="shared" ref="K39" si="11">SUM(K32:K38)</f>
        <v>0</v>
      </c>
      <c r="L39" s="275">
        <f t="shared" ref="L39" si="12">SUM(L32:L38)</f>
        <v>0</v>
      </c>
      <c r="M39" s="275">
        <f t="shared" ref="M39" si="13">SUM(M32:M38)</f>
        <v>0</v>
      </c>
      <c r="N39" s="275">
        <f>SUM(C39:M39)</f>
        <v>20000000</v>
      </c>
    </row>
    <row r="40" spans="1:14" x14ac:dyDescent="0.2">
      <c r="A40" s="237"/>
      <c r="B40" s="237"/>
      <c r="C40" s="266"/>
      <c r="D40" s="266"/>
      <c r="E40" s="266"/>
      <c r="F40" s="266"/>
      <c r="G40" s="266"/>
      <c r="H40" s="266"/>
      <c r="I40" s="266"/>
      <c r="J40" s="266"/>
      <c r="K40" s="266"/>
      <c r="L40" s="266"/>
      <c r="M40" s="266"/>
      <c r="N40" s="266"/>
    </row>
    <row r="41" spans="1:14" x14ac:dyDescent="0.2">
      <c r="A41" s="555" t="s">
        <v>831</v>
      </c>
      <c r="B41" s="252"/>
      <c r="C41" s="276"/>
      <c r="D41" s="276"/>
      <c r="E41" s="276"/>
      <c r="F41" s="276"/>
      <c r="G41" s="276"/>
      <c r="H41" s="276"/>
      <c r="I41" s="276"/>
      <c r="J41" s="276"/>
      <c r="K41" s="276"/>
      <c r="L41" s="276"/>
      <c r="M41" s="276"/>
      <c r="N41" s="266"/>
    </row>
    <row r="42" spans="1:14" x14ac:dyDescent="0.2">
      <c r="A42" s="237"/>
      <c r="B42" s="237"/>
      <c r="C42" s="266"/>
      <c r="D42" s="266"/>
      <c r="E42" s="266"/>
      <c r="F42" s="266"/>
      <c r="G42" s="266"/>
      <c r="H42" s="266"/>
      <c r="I42" s="266"/>
      <c r="J42" s="266"/>
      <c r="K42" s="266"/>
      <c r="L42" s="266"/>
      <c r="M42" s="266"/>
      <c r="N42" s="266"/>
    </row>
    <row r="43" spans="1:14" x14ac:dyDescent="0.2">
      <c r="A43" s="237"/>
      <c r="B43" s="237"/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6"/>
      <c r="N43" s="266"/>
    </row>
    <row r="44" spans="1:14" x14ac:dyDescent="0.2">
      <c r="A44" s="237"/>
      <c r="B44" s="237"/>
      <c r="C44" s="266"/>
      <c r="D44" s="266"/>
      <c r="E44" s="266"/>
      <c r="F44" s="266"/>
      <c r="G44" s="266"/>
      <c r="H44" s="266"/>
      <c r="I44" s="266"/>
      <c r="J44" s="266"/>
      <c r="K44" s="266"/>
      <c r="L44" s="266"/>
      <c r="M44" s="266"/>
      <c r="N44" s="266"/>
    </row>
    <row r="45" spans="1:14" x14ac:dyDescent="0.2">
      <c r="A45" s="237"/>
      <c r="B45" s="237"/>
      <c r="C45" s="266"/>
      <c r="D45" s="266"/>
      <c r="E45" s="266"/>
      <c r="F45" s="266"/>
      <c r="G45" s="266"/>
      <c r="H45" s="266"/>
      <c r="I45" s="266"/>
      <c r="J45" s="266"/>
      <c r="K45" s="266"/>
      <c r="L45" s="266"/>
      <c r="M45" s="266"/>
      <c r="N45" s="266"/>
    </row>
    <row r="46" spans="1:14" x14ac:dyDescent="0.2">
      <c r="A46" s="237"/>
      <c r="B46" s="237"/>
      <c r="C46" s="266"/>
      <c r="D46" s="266"/>
      <c r="E46" s="266"/>
      <c r="F46" s="266"/>
      <c r="G46" s="266"/>
      <c r="H46" s="266"/>
      <c r="I46" s="266"/>
      <c r="J46" s="266"/>
      <c r="K46" s="266"/>
      <c r="L46" s="266"/>
      <c r="M46" s="266"/>
      <c r="N46" s="266"/>
    </row>
    <row r="47" spans="1:14" x14ac:dyDescent="0.2">
      <c r="A47" s="237"/>
      <c r="B47" s="237"/>
      <c r="C47" s="266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</row>
    <row r="48" spans="1:14" x14ac:dyDescent="0.2">
      <c r="A48" s="237"/>
      <c r="B48" s="237"/>
      <c r="C48" s="266"/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</row>
    <row r="49" spans="1:14" x14ac:dyDescent="0.2">
      <c r="A49" s="237"/>
      <c r="B49" s="237"/>
      <c r="C49" s="266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</row>
    <row r="50" spans="1:14" s="237" customFormat="1" x14ac:dyDescent="0.2"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</row>
    <row r="51" spans="1:14" s="237" customFormat="1" x14ac:dyDescent="0.2"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</row>
    <row r="52" spans="1:14" s="237" customFormat="1" x14ac:dyDescent="0.2"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</row>
    <row r="53" spans="1:14" s="237" customFormat="1" x14ac:dyDescent="0.2">
      <c r="C53" s="266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</row>
    <row r="54" spans="1:14" s="237" customFormat="1" x14ac:dyDescent="0.2">
      <c r="C54" s="266"/>
      <c r="D54" s="266"/>
      <c r="E54" s="266"/>
      <c r="F54" s="266"/>
      <c r="G54" s="266"/>
      <c r="H54" s="266"/>
      <c r="I54" s="266"/>
      <c r="J54" s="266"/>
      <c r="K54" s="266"/>
      <c r="L54" s="266"/>
      <c r="M54" s="266"/>
      <c r="N54" s="266"/>
    </row>
    <row r="55" spans="1:14" s="237" customFormat="1" x14ac:dyDescent="0.2">
      <c r="C55" s="266"/>
      <c r="D55" s="266"/>
      <c r="E55" s="266"/>
      <c r="F55" s="266"/>
      <c r="G55" s="266"/>
      <c r="H55" s="266"/>
      <c r="I55" s="266"/>
      <c r="J55" s="266"/>
      <c r="K55" s="266"/>
      <c r="L55" s="266"/>
      <c r="M55" s="266"/>
      <c r="N55" s="266"/>
    </row>
    <row r="56" spans="1:14" s="237" customFormat="1" x14ac:dyDescent="0.2">
      <c r="C56" s="266"/>
      <c r="D56" s="266"/>
      <c r="E56" s="266"/>
      <c r="F56" s="266"/>
      <c r="G56" s="266"/>
      <c r="H56" s="266"/>
      <c r="I56" s="266"/>
      <c r="J56" s="266"/>
      <c r="K56" s="266"/>
      <c r="L56" s="266"/>
      <c r="M56" s="266"/>
      <c r="N56" s="266"/>
    </row>
    <row r="57" spans="1:14" s="237" customFormat="1" x14ac:dyDescent="0.2"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</row>
    <row r="58" spans="1:14" s="237" customFormat="1" x14ac:dyDescent="0.2">
      <c r="C58" s="266"/>
      <c r="D58" s="266"/>
      <c r="E58" s="266"/>
      <c r="F58" s="266"/>
      <c r="G58" s="266"/>
      <c r="H58" s="266"/>
      <c r="I58" s="266"/>
      <c r="J58" s="266"/>
      <c r="K58" s="266"/>
      <c r="L58" s="266"/>
      <c r="M58" s="266"/>
      <c r="N58" s="266"/>
    </row>
    <row r="59" spans="1:14" s="237" customFormat="1" x14ac:dyDescent="0.2">
      <c r="C59" s="266"/>
      <c r="D59" s="266"/>
      <c r="E59" s="266"/>
      <c r="F59" s="266"/>
      <c r="G59" s="266"/>
      <c r="H59" s="266"/>
      <c r="I59" s="266"/>
      <c r="J59" s="266"/>
      <c r="K59" s="266"/>
      <c r="L59" s="266"/>
      <c r="M59" s="266"/>
      <c r="N59" s="266"/>
    </row>
    <row r="60" spans="1:14" s="237" customFormat="1" x14ac:dyDescent="0.2">
      <c r="C60" s="266"/>
      <c r="D60" s="266"/>
      <c r="E60" s="266"/>
      <c r="F60" s="266"/>
      <c r="G60" s="266"/>
      <c r="H60" s="266"/>
      <c r="I60" s="266"/>
      <c r="J60" s="266"/>
      <c r="K60" s="266"/>
      <c r="L60" s="266"/>
      <c r="M60" s="266"/>
      <c r="N60" s="266"/>
    </row>
    <row r="61" spans="1:14" s="237" customFormat="1" x14ac:dyDescent="0.2">
      <c r="C61" s="266"/>
      <c r="D61" s="266"/>
      <c r="E61" s="266"/>
      <c r="F61" s="266"/>
      <c r="G61" s="266"/>
      <c r="H61" s="266"/>
      <c r="I61" s="266"/>
      <c r="J61" s="266"/>
      <c r="K61" s="266"/>
      <c r="L61" s="266"/>
      <c r="M61" s="266"/>
      <c r="N61" s="266"/>
    </row>
    <row r="62" spans="1:14" s="237" customFormat="1" x14ac:dyDescent="0.2"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6"/>
      <c r="N62" s="266"/>
    </row>
    <row r="63" spans="1:14" s="237" customFormat="1" x14ac:dyDescent="0.2">
      <c r="C63" s="266"/>
      <c r="D63" s="266"/>
      <c r="E63" s="266"/>
      <c r="F63" s="266"/>
      <c r="G63" s="266"/>
      <c r="H63" s="266"/>
      <c r="I63" s="266"/>
      <c r="J63" s="266"/>
      <c r="K63" s="266"/>
      <c r="L63" s="266"/>
      <c r="M63" s="266"/>
      <c r="N63" s="266"/>
    </row>
    <row r="64" spans="1:14" s="237" customFormat="1" x14ac:dyDescent="0.2">
      <c r="C64" s="266"/>
      <c r="D64" s="266"/>
      <c r="E64" s="266"/>
      <c r="F64" s="266"/>
      <c r="G64" s="266"/>
      <c r="H64" s="266"/>
      <c r="I64" s="266"/>
      <c r="J64" s="266"/>
      <c r="K64" s="266"/>
      <c r="L64" s="266"/>
      <c r="M64" s="266"/>
      <c r="N64" s="266"/>
    </row>
    <row r="65" spans="3:14" s="237" customFormat="1" x14ac:dyDescent="0.2">
      <c r="C65" s="266"/>
      <c r="D65" s="266"/>
      <c r="E65" s="266"/>
      <c r="F65" s="266"/>
      <c r="G65" s="266"/>
      <c r="H65" s="266"/>
      <c r="I65" s="266"/>
      <c r="J65" s="266"/>
      <c r="K65" s="266"/>
      <c r="L65" s="266"/>
      <c r="M65" s="266"/>
      <c r="N65" s="266"/>
    </row>
    <row r="66" spans="3:14" s="237" customFormat="1" x14ac:dyDescent="0.2"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6"/>
      <c r="N66" s="266"/>
    </row>
    <row r="67" spans="3:14" s="237" customFormat="1" x14ac:dyDescent="0.2">
      <c r="C67" s="266"/>
      <c r="D67" s="266"/>
      <c r="E67" s="266"/>
      <c r="F67" s="266"/>
      <c r="G67" s="266"/>
      <c r="H67" s="266"/>
      <c r="I67" s="266"/>
      <c r="J67" s="266"/>
      <c r="K67" s="266"/>
      <c r="L67" s="266"/>
      <c r="M67" s="266"/>
      <c r="N67" s="266"/>
    </row>
    <row r="68" spans="3:14" s="237" customFormat="1" x14ac:dyDescent="0.2">
      <c r="C68" s="266"/>
      <c r="D68" s="266"/>
      <c r="E68" s="266"/>
      <c r="F68" s="266"/>
      <c r="G68" s="266"/>
      <c r="H68" s="266"/>
      <c r="I68" s="266"/>
      <c r="J68" s="266"/>
      <c r="K68" s="266"/>
      <c r="L68" s="266"/>
      <c r="M68" s="266"/>
      <c r="N68" s="266"/>
    </row>
    <row r="69" spans="3:14" s="237" customFormat="1" x14ac:dyDescent="0.2">
      <c r="C69" s="266"/>
      <c r="D69" s="266"/>
      <c r="E69" s="266"/>
      <c r="F69" s="266"/>
      <c r="G69" s="266"/>
      <c r="H69" s="266"/>
      <c r="I69" s="266"/>
      <c r="J69" s="266"/>
      <c r="K69" s="266"/>
      <c r="L69" s="266"/>
      <c r="M69" s="266"/>
      <c r="N69" s="266"/>
    </row>
    <row r="70" spans="3:14" s="237" customFormat="1" x14ac:dyDescent="0.2">
      <c r="C70" s="266"/>
      <c r="D70" s="266"/>
      <c r="E70" s="266"/>
      <c r="F70" s="266"/>
      <c r="G70" s="266"/>
      <c r="H70" s="266"/>
      <c r="I70" s="266"/>
      <c r="J70" s="266"/>
      <c r="K70" s="266"/>
      <c r="L70" s="266"/>
      <c r="M70" s="266"/>
      <c r="N70" s="266"/>
    </row>
    <row r="71" spans="3:14" s="237" customFormat="1" x14ac:dyDescent="0.2">
      <c r="C71" s="266"/>
      <c r="D71" s="266"/>
      <c r="E71" s="266"/>
      <c r="F71" s="266"/>
      <c r="G71" s="266"/>
      <c r="H71" s="266"/>
      <c r="I71" s="266"/>
      <c r="J71" s="266"/>
      <c r="K71" s="266"/>
      <c r="L71" s="266"/>
      <c r="M71" s="266"/>
      <c r="N71" s="266"/>
    </row>
    <row r="72" spans="3:14" s="237" customFormat="1" x14ac:dyDescent="0.2">
      <c r="C72" s="266"/>
      <c r="D72" s="266"/>
      <c r="E72" s="266"/>
      <c r="F72" s="266"/>
      <c r="G72" s="266"/>
      <c r="H72" s="266"/>
      <c r="I72" s="266"/>
      <c r="J72" s="266"/>
      <c r="K72" s="266"/>
      <c r="L72" s="266"/>
      <c r="M72" s="266"/>
      <c r="N72" s="266"/>
    </row>
    <row r="73" spans="3:14" s="237" customFormat="1" x14ac:dyDescent="0.2">
      <c r="C73" s="266"/>
      <c r="D73" s="266"/>
      <c r="E73" s="266"/>
      <c r="F73" s="266"/>
      <c r="G73" s="266"/>
      <c r="H73" s="266"/>
      <c r="I73" s="266"/>
      <c r="J73" s="266"/>
      <c r="K73" s="266"/>
      <c r="L73" s="266"/>
      <c r="M73" s="266"/>
      <c r="N73" s="266"/>
    </row>
    <row r="74" spans="3:14" s="237" customFormat="1" x14ac:dyDescent="0.2">
      <c r="C74" s="266"/>
      <c r="D74" s="266"/>
      <c r="E74" s="266"/>
      <c r="F74" s="266"/>
      <c r="G74" s="266"/>
      <c r="H74" s="266"/>
      <c r="I74" s="266"/>
      <c r="J74" s="266"/>
      <c r="K74" s="266"/>
      <c r="L74" s="266"/>
      <c r="M74" s="266"/>
      <c r="N74" s="266"/>
    </row>
    <row r="75" spans="3:14" s="237" customFormat="1" x14ac:dyDescent="0.2">
      <c r="C75" s="266"/>
      <c r="D75" s="266"/>
      <c r="E75" s="266"/>
      <c r="F75" s="266"/>
      <c r="G75" s="266"/>
      <c r="H75" s="266"/>
      <c r="I75" s="266"/>
      <c r="J75" s="266"/>
      <c r="K75" s="266"/>
      <c r="L75" s="266"/>
      <c r="M75" s="266"/>
      <c r="N75" s="266"/>
    </row>
    <row r="76" spans="3:14" s="237" customFormat="1" x14ac:dyDescent="0.2">
      <c r="C76" s="266"/>
      <c r="D76" s="266"/>
      <c r="E76" s="266"/>
      <c r="F76" s="266"/>
      <c r="G76" s="266"/>
      <c r="H76" s="266"/>
      <c r="I76" s="266"/>
      <c r="J76" s="266"/>
      <c r="K76" s="266"/>
      <c r="L76" s="266"/>
      <c r="M76" s="266"/>
      <c r="N76" s="266"/>
    </row>
    <row r="77" spans="3:14" s="237" customFormat="1" x14ac:dyDescent="0.2">
      <c r="C77" s="266"/>
      <c r="D77" s="266"/>
      <c r="E77" s="266"/>
      <c r="F77" s="266"/>
      <c r="G77" s="266"/>
      <c r="H77" s="266"/>
      <c r="I77" s="266"/>
      <c r="J77" s="266"/>
      <c r="K77" s="266"/>
      <c r="L77" s="266"/>
      <c r="M77" s="266"/>
      <c r="N77" s="266"/>
    </row>
    <row r="78" spans="3:14" s="237" customFormat="1" x14ac:dyDescent="0.2">
      <c r="C78" s="266"/>
      <c r="D78" s="266"/>
      <c r="E78" s="266"/>
      <c r="F78" s="266"/>
      <c r="G78" s="266"/>
      <c r="H78" s="266"/>
      <c r="I78" s="266"/>
      <c r="J78" s="266"/>
      <c r="K78" s="266"/>
      <c r="L78" s="266"/>
      <c r="M78" s="266"/>
      <c r="N78" s="266"/>
    </row>
    <row r="79" spans="3:14" s="237" customFormat="1" x14ac:dyDescent="0.2">
      <c r="C79" s="266"/>
      <c r="D79" s="266"/>
      <c r="E79" s="266"/>
      <c r="F79" s="266"/>
      <c r="G79" s="266"/>
      <c r="H79" s="266"/>
      <c r="I79" s="266"/>
      <c r="J79" s="266"/>
      <c r="K79" s="266"/>
      <c r="L79" s="266"/>
      <c r="M79" s="266"/>
      <c r="N79" s="266"/>
    </row>
    <row r="80" spans="3:14" s="237" customFormat="1" x14ac:dyDescent="0.2">
      <c r="C80" s="266"/>
      <c r="D80" s="266"/>
      <c r="E80" s="266"/>
      <c r="F80" s="266"/>
      <c r="G80" s="266"/>
      <c r="H80" s="266"/>
      <c r="I80" s="266"/>
      <c r="J80" s="266"/>
      <c r="K80" s="266"/>
      <c r="L80" s="266"/>
      <c r="M80" s="266"/>
      <c r="N80" s="266"/>
    </row>
    <row r="81" spans="3:14" s="237" customFormat="1" x14ac:dyDescent="0.2">
      <c r="C81" s="266"/>
      <c r="D81" s="266"/>
      <c r="E81" s="266"/>
      <c r="F81" s="266"/>
      <c r="G81" s="266"/>
      <c r="H81" s="266"/>
      <c r="I81" s="266"/>
      <c r="J81" s="266"/>
      <c r="K81" s="266"/>
      <c r="L81" s="266"/>
      <c r="M81" s="266"/>
      <c r="N81" s="266"/>
    </row>
    <row r="82" spans="3:14" s="237" customFormat="1" x14ac:dyDescent="0.2">
      <c r="C82" s="266"/>
      <c r="D82" s="266"/>
      <c r="E82" s="266"/>
      <c r="F82" s="266"/>
      <c r="G82" s="266"/>
      <c r="H82" s="266"/>
      <c r="I82" s="266"/>
      <c r="J82" s="266"/>
      <c r="K82" s="266"/>
      <c r="L82" s="266"/>
      <c r="M82" s="266"/>
      <c r="N82" s="266"/>
    </row>
    <row r="83" spans="3:14" s="237" customFormat="1" x14ac:dyDescent="0.2">
      <c r="C83" s="266"/>
      <c r="D83" s="266"/>
      <c r="E83" s="266"/>
      <c r="F83" s="266"/>
      <c r="G83" s="266"/>
      <c r="H83" s="266"/>
      <c r="I83" s="266"/>
      <c r="J83" s="266"/>
      <c r="K83" s="266"/>
      <c r="L83" s="266"/>
      <c r="M83" s="266"/>
      <c r="N83" s="266"/>
    </row>
    <row r="84" spans="3:14" s="237" customFormat="1" x14ac:dyDescent="0.2">
      <c r="C84" s="266"/>
      <c r="D84" s="266"/>
      <c r="E84" s="266"/>
      <c r="F84" s="266"/>
      <c r="G84" s="266"/>
      <c r="H84" s="266"/>
      <c r="I84" s="266"/>
      <c r="J84" s="266"/>
      <c r="K84" s="266"/>
      <c r="L84" s="266"/>
      <c r="M84" s="266"/>
      <c r="N84" s="266"/>
    </row>
    <row r="85" spans="3:14" s="237" customFormat="1" x14ac:dyDescent="0.2">
      <c r="C85" s="266"/>
      <c r="D85" s="266"/>
      <c r="E85" s="266"/>
      <c r="F85" s="266"/>
      <c r="G85" s="266"/>
      <c r="H85" s="266"/>
      <c r="I85" s="266"/>
      <c r="J85" s="266"/>
      <c r="K85" s="266"/>
      <c r="L85" s="266"/>
      <c r="M85" s="266"/>
      <c r="N85" s="266"/>
    </row>
    <row r="86" spans="3:14" s="237" customFormat="1" x14ac:dyDescent="0.2">
      <c r="C86" s="266"/>
      <c r="D86" s="266"/>
      <c r="E86" s="266"/>
      <c r="F86" s="266"/>
      <c r="G86" s="266"/>
      <c r="H86" s="266"/>
      <c r="I86" s="266"/>
      <c r="J86" s="266"/>
      <c r="K86" s="266"/>
      <c r="L86" s="266"/>
      <c r="M86" s="266"/>
      <c r="N86" s="266"/>
    </row>
    <row r="87" spans="3:14" s="237" customFormat="1" x14ac:dyDescent="0.2">
      <c r="C87" s="266"/>
      <c r="D87" s="266"/>
      <c r="E87" s="266"/>
      <c r="F87" s="266"/>
      <c r="G87" s="266"/>
      <c r="H87" s="266"/>
      <c r="I87" s="266"/>
      <c r="J87" s="266"/>
      <c r="K87" s="266"/>
      <c r="L87" s="266"/>
      <c r="M87" s="266"/>
      <c r="N87" s="266"/>
    </row>
    <row r="88" spans="3:14" s="237" customFormat="1" x14ac:dyDescent="0.2">
      <c r="C88" s="266"/>
      <c r="D88" s="266"/>
      <c r="E88" s="266"/>
      <c r="F88" s="266"/>
      <c r="G88" s="266"/>
      <c r="H88" s="266"/>
      <c r="I88" s="266"/>
      <c r="J88" s="266"/>
      <c r="K88" s="266"/>
      <c r="L88" s="266"/>
      <c r="M88" s="266"/>
      <c r="N88" s="266"/>
    </row>
    <row r="89" spans="3:14" s="237" customFormat="1" x14ac:dyDescent="0.2">
      <c r="C89" s="266"/>
      <c r="D89" s="266"/>
      <c r="E89" s="266"/>
      <c r="F89" s="266"/>
      <c r="G89" s="266"/>
      <c r="H89" s="266"/>
      <c r="I89" s="266"/>
      <c r="J89" s="266"/>
      <c r="K89" s="266"/>
      <c r="L89" s="266"/>
      <c r="M89" s="266"/>
      <c r="N89" s="266"/>
    </row>
    <row r="90" spans="3:14" s="237" customFormat="1" x14ac:dyDescent="0.2">
      <c r="C90" s="266"/>
      <c r="D90" s="266"/>
      <c r="E90" s="266"/>
      <c r="F90" s="266"/>
      <c r="G90" s="266"/>
      <c r="H90" s="266"/>
      <c r="I90" s="266"/>
      <c r="J90" s="266"/>
      <c r="K90" s="266"/>
      <c r="L90" s="266"/>
      <c r="M90" s="266"/>
      <c r="N90" s="266"/>
    </row>
    <row r="91" spans="3:14" s="237" customFormat="1" x14ac:dyDescent="0.2">
      <c r="C91" s="266"/>
      <c r="D91" s="266"/>
      <c r="E91" s="266"/>
      <c r="F91" s="266"/>
      <c r="G91" s="266"/>
      <c r="H91" s="266"/>
      <c r="I91" s="266"/>
      <c r="J91" s="266"/>
      <c r="K91" s="266"/>
      <c r="L91" s="266"/>
      <c r="M91" s="266"/>
      <c r="N91" s="266"/>
    </row>
    <row r="92" spans="3:14" s="237" customFormat="1" x14ac:dyDescent="0.2">
      <c r="C92" s="266"/>
      <c r="D92" s="266"/>
      <c r="E92" s="266"/>
      <c r="F92" s="266"/>
      <c r="G92" s="266"/>
      <c r="H92" s="266"/>
      <c r="I92" s="266"/>
      <c r="J92" s="266"/>
      <c r="K92" s="266"/>
      <c r="L92" s="266"/>
      <c r="M92" s="266"/>
      <c r="N92" s="266"/>
    </row>
    <row r="93" spans="3:14" s="237" customFormat="1" x14ac:dyDescent="0.2">
      <c r="C93" s="266"/>
      <c r="D93" s="266"/>
      <c r="E93" s="266"/>
      <c r="F93" s="266"/>
      <c r="G93" s="266"/>
      <c r="H93" s="266"/>
      <c r="I93" s="266"/>
      <c r="J93" s="266"/>
      <c r="K93" s="266"/>
      <c r="L93" s="266"/>
      <c r="M93" s="266"/>
      <c r="N93" s="266"/>
    </row>
    <row r="94" spans="3:14" s="237" customFormat="1" x14ac:dyDescent="0.2">
      <c r="C94" s="266"/>
      <c r="D94" s="266"/>
      <c r="E94" s="266"/>
      <c r="F94" s="266"/>
      <c r="G94" s="266"/>
      <c r="H94" s="266"/>
      <c r="I94" s="266"/>
      <c r="J94" s="266"/>
      <c r="K94" s="266"/>
      <c r="L94" s="266"/>
      <c r="M94" s="266"/>
      <c r="N94" s="266"/>
    </row>
    <row r="95" spans="3:14" s="237" customFormat="1" x14ac:dyDescent="0.2">
      <c r="C95" s="266"/>
      <c r="D95" s="266"/>
      <c r="E95" s="266"/>
      <c r="F95" s="266"/>
      <c r="G95" s="266"/>
      <c r="H95" s="266"/>
      <c r="I95" s="266"/>
      <c r="J95" s="266"/>
      <c r="K95" s="266"/>
      <c r="L95" s="266"/>
      <c r="M95" s="266"/>
      <c r="N95" s="266"/>
    </row>
    <row r="96" spans="3:14" s="237" customFormat="1" x14ac:dyDescent="0.2">
      <c r="C96" s="266"/>
      <c r="D96" s="266"/>
      <c r="E96" s="266"/>
      <c r="F96" s="266"/>
      <c r="G96" s="266"/>
      <c r="H96" s="266"/>
      <c r="I96" s="266"/>
      <c r="J96" s="266"/>
      <c r="K96" s="266"/>
      <c r="L96" s="266"/>
      <c r="M96" s="266"/>
      <c r="N96" s="266"/>
    </row>
    <row r="97" spans="3:14" s="237" customFormat="1" x14ac:dyDescent="0.2">
      <c r="C97" s="266"/>
      <c r="D97" s="266"/>
      <c r="E97" s="266"/>
      <c r="F97" s="266"/>
      <c r="G97" s="266"/>
      <c r="H97" s="266"/>
      <c r="I97" s="266"/>
      <c r="J97" s="266"/>
      <c r="K97" s="266"/>
      <c r="L97" s="266"/>
      <c r="M97" s="266"/>
      <c r="N97" s="266"/>
    </row>
    <row r="98" spans="3:14" s="237" customFormat="1" x14ac:dyDescent="0.2">
      <c r="C98" s="266"/>
      <c r="D98" s="266"/>
      <c r="E98" s="266"/>
      <c r="F98" s="266"/>
      <c r="G98" s="266"/>
      <c r="H98" s="266"/>
      <c r="I98" s="266"/>
      <c r="J98" s="266"/>
      <c r="K98" s="266"/>
      <c r="L98" s="266"/>
      <c r="M98" s="266"/>
      <c r="N98" s="266"/>
    </row>
    <row r="99" spans="3:14" s="237" customFormat="1" x14ac:dyDescent="0.2">
      <c r="C99" s="266"/>
      <c r="D99" s="266"/>
      <c r="E99" s="266"/>
      <c r="F99" s="266"/>
      <c r="G99" s="266"/>
      <c r="H99" s="266"/>
      <c r="I99" s="266"/>
      <c r="J99" s="266"/>
      <c r="K99" s="266"/>
      <c r="L99" s="266"/>
      <c r="M99" s="266"/>
      <c r="N99" s="266"/>
    </row>
    <row r="100" spans="3:14" s="237" customFormat="1" x14ac:dyDescent="0.2">
      <c r="C100" s="266"/>
      <c r="D100" s="266"/>
      <c r="E100" s="266"/>
      <c r="F100" s="266"/>
      <c r="G100" s="266"/>
      <c r="H100" s="266"/>
      <c r="I100" s="266"/>
      <c r="J100" s="266"/>
      <c r="K100" s="266"/>
      <c r="L100" s="266"/>
      <c r="M100" s="266"/>
      <c r="N100" s="266"/>
    </row>
    <row r="101" spans="3:14" s="237" customFormat="1" x14ac:dyDescent="0.2">
      <c r="C101" s="266"/>
      <c r="D101" s="266"/>
      <c r="E101" s="266"/>
      <c r="F101" s="266"/>
      <c r="G101" s="266"/>
      <c r="H101" s="266"/>
      <c r="I101" s="266"/>
      <c r="J101" s="266"/>
      <c r="K101" s="266"/>
      <c r="L101" s="266"/>
      <c r="M101" s="266"/>
      <c r="N101" s="266"/>
    </row>
    <row r="102" spans="3:14" s="237" customFormat="1" x14ac:dyDescent="0.2">
      <c r="C102" s="266"/>
      <c r="D102" s="266"/>
      <c r="E102" s="266"/>
      <c r="F102" s="266"/>
      <c r="G102" s="266"/>
      <c r="H102" s="266"/>
      <c r="I102" s="266"/>
      <c r="J102" s="266"/>
      <c r="K102" s="266"/>
      <c r="L102" s="266"/>
      <c r="M102" s="266"/>
      <c r="N102" s="266"/>
    </row>
    <row r="103" spans="3:14" s="237" customFormat="1" x14ac:dyDescent="0.2">
      <c r="C103" s="266"/>
      <c r="D103" s="266"/>
      <c r="E103" s="266"/>
      <c r="F103" s="266"/>
      <c r="G103" s="266"/>
      <c r="H103" s="266"/>
      <c r="I103" s="266"/>
      <c r="J103" s="266"/>
      <c r="K103" s="266"/>
      <c r="L103" s="266"/>
      <c r="M103" s="266"/>
      <c r="N103" s="266"/>
    </row>
    <row r="104" spans="3:14" s="237" customFormat="1" x14ac:dyDescent="0.2">
      <c r="C104" s="266"/>
      <c r="D104" s="266"/>
      <c r="E104" s="266"/>
      <c r="F104" s="266"/>
      <c r="G104" s="266"/>
      <c r="H104" s="266"/>
      <c r="I104" s="266"/>
      <c r="J104" s="266"/>
      <c r="K104" s="266"/>
      <c r="L104" s="266"/>
      <c r="M104" s="266"/>
      <c r="N104" s="266"/>
    </row>
    <row r="105" spans="3:14" s="237" customFormat="1" x14ac:dyDescent="0.2">
      <c r="C105" s="266"/>
      <c r="D105" s="266"/>
      <c r="E105" s="266"/>
      <c r="F105" s="266"/>
      <c r="G105" s="266"/>
      <c r="H105" s="266"/>
      <c r="I105" s="266"/>
      <c r="J105" s="266"/>
      <c r="K105" s="266"/>
      <c r="L105" s="266"/>
      <c r="M105" s="266"/>
      <c r="N105" s="266"/>
    </row>
    <row r="106" spans="3:14" s="237" customFormat="1" x14ac:dyDescent="0.2">
      <c r="C106" s="266"/>
      <c r="D106" s="266"/>
      <c r="E106" s="266"/>
      <c r="F106" s="266"/>
      <c r="G106" s="266"/>
      <c r="H106" s="266"/>
      <c r="I106" s="266"/>
      <c r="J106" s="266"/>
      <c r="K106" s="266"/>
      <c r="L106" s="266"/>
      <c r="M106" s="266"/>
      <c r="N106" s="266"/>
    </row>
    <row r="107" spans="3:14" s="237" customFormat="1" x14ac:dyDescent="0.2">
      <c r="C107" s="266"/>
      <c r="D107" s="266"/>
      <c r="E107" s="266"/>
      <c r="F107" s="266"/>
      <c r="G107" s="266"/>
      <c r="H107" s="266"/>
      <c r="I107" s="266"/>
      <c r="J107" s="266"/>
      <c r="K107" s="266"/>
      <c r="L107" s="266"/>
      <c r="M107" s="266"/>
      <c r="N107" s="266"/>
    </row>
    <row r="108" spans="3:14" s="237" customFormat="1" x14ac:dyDescent="0.2">
      <c r="C108" s="266"/>
      <c r="D108" s="266"/>
      <c r="E108" s="266"/>
      <c r="F108" s="266"/>
      <c r="G108" s="266"/>
      <c r="H108" s="266"/>
      <c r="I108" s="266"/>
      <c r="J108" s="266"/>
      <c r="K108" s="266"/>
      <c r="L108" s="266"/>
      <c r="M108" s="266"/>
      <c r="N108" s="266"/>
    </row>
    <row r="109" spans="3:14" s="237" customFormat="1" x14ac:dyDescent="0.2">
      <c r="C109" s="266"/>
      <c r="D109" s="266"/>
      <c r="E109" s="266"/>
      <c r="F109" s="266"/>
      <c r="G109" s="266"/>
      <c r="H109" s="266"/>
      <c r="I109" s="266"/>
      <c r="J109" s="266"/>
      <c r="K109" s="266"/>
      <c r="L109" s="266"/>
      <c r="M109" s="266"/>
      <c r="N109" s="266"/>
    </row>
    <row r="110" spans="3:14" s="237" customFormat="1" x14ac:dyDescent="0.2">
      <c r="C110" s="266"/>
      <c r="D110" s="266"/>
      <c r="E110" s="266"/>
      <c r="F110" s="266"/>
      <c r="G110" s="266"/>
      <c r="H110" s="266"/>
      <c r="I110" s="266"/>
      <c r="J110" s="266"/>
      <c r="K110" s="266"/>
      <c r="L110" s="266"/>
      <c r="M110" s="266"/>
      <c r="N110" s="266"/>
    </row>
    <row r="111" spans="3:14" s="237" customFormat="1" x14ac:dyDescent="0.2">
      <c r="C111" s="266"/>
      <c r="D111" s="266"/>
      <c r="E111" s="266"/>
      <c r="F111" s="266"/>
      <c r="G111" s="266"/>
      <c r="H111" s="266"/>
      <c r="I111" s="266"/>
      <c r="J111" s="266"/>
      <c r="K111" s="266"/>
      <c r="L111" s="266"/>
      <c r="M111" s="266"/>
      <c r="N111" s="266"/>
    </row>
    <row r="112" spans="3:14" s="237" customFormat="1" x14ac:dyDescent="0.2">
      <c r="C112" s="266"/>
      <c r="D112" s="266"/>
      <c r="E112" s="266"/>
      <c r="F112" s="266"/>
      <c r="G112" s="266"/>
      <c r="H112" s="266"/>
      <c r="I112" s="266"/>
      <c r="J112" s="266"/>
      <c r="K112" s="266"/>
      <c r="L112" s="266"/>
      <c r="M112" s="266"/>
      <c r="N112" s="266"/>
    </row>
    <row r="113" spans="3:14" s="237" customFormat="1" x14ac:dyDescent="0.2">
      <c r="C113" s="266"/>
      <c r="D113" s="266"/>
      <c r="E113" s="266"/>
      <c r="F113" s="266"/>
      <c r="G113" s="266"/>
      <c r="H113" s="266"/>
      <c r="I113" s="266"/>
      <c r="J113" s="266"/>
      <c r="K113" s="266"/>
      <c r="L113" s="266"/>
      <c r="M113" s="266"/>
      <c r="N113" s="266"/>
    </row>
    <row r="114" spans="3:14" s="237" customFormat="1" x14ac:dyDescent="0.2">
      <c r="C114" s="266"/>
      <c r="D114" s="266"/>
      <c r="E114" s="266"/>
      <c r="F114" s="266"/>
      <c r="G114" s="266"/>
      <c r="H114" s="266"/>
      <c r="I114" s="266"/>
      <c r="J114" s="266"/>
      <c r="K114" s="266"/>
      <c r="L114" s="266"/>
      <c r="M114" s="266"/>
      <c r="N114" s="266"/>
    </row>
    <row r="115" spans="3:14" s="237" customFormat="1" x14ac:dyDescent="0.2">
      <c r="C115" s="266"/>
      <c r="D115" s="266"/>
      <c r="E115" s="266"/>
      <c r="F115" s="266"/>
      <c r="G115" s="266"/>
      <c r="H115" s="266"/>
      <c r="I115" s="266"/>
      <c r="J115" s="266"/>
      <c r="K115" s="266"/>
      <c r="L115" s="266"/>
      <c r="M115" s="266"/>
      <c r="N115" s="266"/>
    </row>
    <row r="116" spans="3:14" s="237" customFormat="1" x14ac:dyDescent="0.2">
      <c r="C116" s="266"/>
      <c r="D116" s="266"/>
      <c r="E116" s="266"/>
      <c r="F116" s="266"/>
      <c r="G116" s="266"/>
      <c r="H116" s="266"/>
      <c r="I116" s="266"/>
      <c r="J116" s="266"/>
      <c r="K116" s="266"/>
      <c r="L116" s="266"/>
      <c r="M116" s="266"/>
      <c r="N116" s="266"/>
    </row>
    <row r="117" spans="3:14" s="237" customFormat="1" x14ac:dyDescent="0.2">
      <c r="C117" s="266"/>
      <c r="D117" s="266"/>
      <c r="E117" s="266"/>
      <c r="F117" s="266"/>
      <c r="G117" s="266"/>
      <c r="H117" s="266"/>
      <c r="I117" s="266"/>
      <c r="J117" s="266"/>
      <c r="K117" s="266"/>
      <c r="L117" s="266"/>
      <c r="M117" s="266"/>
      <c r="N117" s="266"/>
    </row>
    <row r="118" spans="3:14" s="237" customFormat="1" x14ac:dyDescent="0.2">
      <c r="C118" s="266"/>
      <c r="D118" s="266"/>
      <c r="E118" s="266"/>
      <c r="F118" s="266"/>
      <c r="G118" s="266"/>
      <c r="H118" s="266"/>
      <c r="I118" s="266"/>
      <c r="J118" s="266"/>
      <c r="K118" s="266"/>
      <c r="L118" s="266"/>
      <c r="M118" s="266"/>
      <c r="N118" s="266"/>
    </row>
    <row r="119" spans="3:14" s="237" customFormat="1" x14ac:dyDescent="0.2">
      <c r="C119" s="266"/>
      <c r="D119" s="266"/>
      <c r="E119" s="266"/>
      <c r="F119" s="266"/>
      <c r="G119" s="266"/>
      <c r="H119" s="266"/>
      <c r="I119" s="266"/>
      <c r="J119" s="266"/>
      <c r="K119" s="266"/>
      <c r="L119" s="266"/>
      <c r="M119" s="266"/>
      <c r="N119" s="266"/>
    </row>
    <row r="120" spans="3:14" s="237" customFormat="1" x14ac:dyDescent="0.2">
      <c r="C120" s="266"/>
      <c r="D120" s="266"/>
      <c r="E120" s="266"/>
      <c r="F120" s="266"/>
      <c r="G120" s="266"/>
      <c r="H120" s="266"/>
      <c r="I120" s="266"/>
      <c r="J120" s="266"/>
      <c r="K120" s="266"/>
      <c r="L120" s="266"/>
      <c r="M120" s="266"/>
      <c r="N120" s="266"/>
    </row>
    <row r="121" spans="3:14" s="237" customFormat="1" x14ac:dyDescent="0.2">
      <c r="C121" s="266"/>
      <c r="D121" s="266"/>
      <c r="E121" s="266"/>
      <c r="F121" s="266"/>
      <c r="G121" s="266"/>
      <c r="H121" s="266"/>
      <c r="I121" s="266"/>
      <c r="J121" s="266"/>
      <c r="K121" s="266"/>
      <c r="L121" s="266"/>
      <c r="M121" s="266"/>
      <c r="N121" s="266"/>
    </row>
    <row r="122" spans="3:14" s="237" customFormat="1" x14ac:dyDescent="0.2">
      <c r="C122" s="266"/>
      <c r="D122" s="266"/>
      <c r="E122" s="266"/>
      <c r="F122" s="266"/>
      <c r="G122" s="266"/>
      <c r="H122" s="266"/>
      <c r="I122" s="266"/>
      <c r="J122" s="266"/>
      <c r="K122" s="266"/>
      <c r="L122" s="266"/>
      <c r="M122" s="266"/>
      <c r="N122" s="266"/>
    </row>
    <row r="123" spans="3:14" s="237" customFormat="1" x14ac:dyDescent="0.2">
      <c r="C123" s="266"/>
      <c r="D123" s="266"/>
      <c r="E123" s="266"/>
      <c r="F123" s="266"/>
      <c r="G123" s="266"/>
      <c r="H123" s="266"/>
      <c r="I123" s="266"/>
      <c r="J123" s="266"/>
      <c r="K123" s="266"/>
      <c r="L123" s="266"/>
      <c r="M123" s="266"/>
      <c r="N123" s="266"/>
    </row>
    <row r="124" spans="3:14" s="237" customFormat="1" x14ac:dyDescent="0.2">
      <c r="C124" s="266"/>
      <c r="D124" s="266"/>
      <c r="E124" s="266"/>
      <c r="F124" s="266"/>
      <c r="G124" s="266"/>
      <c r="H124" s="266"/>
      <c r="I124" s="266"/>
      <c r="J124" s="266"/>
      <c r="K124" s="266"/>
      <c r="L124" s="266"/>
      <c r="M124" s="266"/>
      <c r="N124" s="266"/>
    </row>
    <row r="125" spans="3:14" s="237" customFormat="1" x14ac:dyDescent="0.2">
      <c r="C125" s="266"/>
      <c r="D125" s="266"/>
      <c r="E125" s="266"/>
      <c r="F125" s="266"/>
      <c r="G125" s="266"/>
      <c r="H125" s="266"/>
      <c r="I125" s="266"/>
      <c r="J125" s="266"/>
      <c r="K125" s="266"/>
      <c r="L125" s="266"/>
      <c r="M125" s="266"/>
      <c r="N125" s="266"/>
    </row>
    <row r="126" spans="3:14" s="237" customFormat="1" x14ac:dyDescent="0.2">
      <c r="C126" s="266"/>
      <c r="D126" s="266"/>
      <c r="E126" s="266"/>
      <c r="F126" s="266"/>
      <c r="G126" s="266"/>
      <c r="H126" s="266"/>
      <c r="I126" s="266"/>
      <c r="J126" s="266"/>
      <c r="K126" s="266"/>
      <c r="L126" s="266"/>
      <c r="M126" s="266"/>
      <c r="N126" s="266"/>
    </row>
    <row r="127" spans="3:14" s="237" customFormat="1" x14ac:dyDescent="0.2">
      <c r="C127" s="266"/>
      <c r="D127" s="266"/>
      <c r="E127" s="266"/>
      <c r="F127" s="266"/>
      <c r="G127" s="266"/>
      <c r="H127" s="266"/>
      <c r="I127" s="266"/>
      <c r="J127" s="266"/>
      <c r="K127" s="266"/>
      <c r="L127" s="266"/>
      <c r="M127" s="266"/>
      <c r="N127" s="266"/>
    </row>
    <row r="128" spans="3:14" s="237" customFormat="1" x14ac:dyDescent="0.2">
      <c r="C128" s="266"/>
      <c r="D128" s="266"/>
      <c r="E128" s="266"/>
      <c r="F128" s="266"/>
      <c r="G128" s="266"/>
      <c r="H128" s="266"/>
      <c r="I128" s="266"/>
      <c r="J128" s="266"/>
      <c r="K128" s="266"/>
      <c r="L128" s="266"/>
      <c r="M128" s="266"/>
      <c r="N128" s="266"/>
    </row>
    <row r="129" spans="3:14" s="237" customFormat="1" x14ac:dyDescent="0.2">
      <c r="C129" s="266"/>
      <c r="D129" s="266"/>
      <c r="E129" s="266"/>
      <c r="F129" s="266"/>
      <c r="G129" s="266"/>
      <c r="H129" s="266"/>
      <c r="I129" s="266"/>
      <c r="J129" s="266"/>
      <c r="K129" s="266"/>
      <c r="L129" s="266"/>
      <c r="M129" s="266"/>
      <c r="N129" s="266"/>
    </row>
    <row r="130" spans="3:14" s="237" customFormat="1" x14ac:dyDescent="0.2">
      <c r="C130" s="266"/>
      <c r="D130" s="266"/>
      <c r="E130" s="266"/>
      <c r="F130" s="266"/>
      <c r="G130" s="266"/>
      <c r="H130" s="266"/>
      <c r="I130" s="266"/>
      <c r="J130" s="266"/>
      <c r="K130" s="266"/>
      <c r="L130" s="266"/>
      <c r="M130" s="266"/>
      <c r="N130" s="266"/>
    </row>
    <row r="131" spans="3:14" s="237" customFormat="1" x14ac:dyDescent="0.2">
      <c r="C131" s="266"/>
      <c r="D131" s="266"/>
      <c r="E131" s="266"/>
      <c r="F131" s="266"/>
      <c r="G131" s="266"/>
      <c r="H131" s="266"/>
      <c r="I131" s="266"/>
      <c r="J131" s="266"/>
      <c r="K131" s="266"/>
      <c r="L131" s="266"/>
      <c r="M131" s="266"/>
      <c r="N131" s="266"/>
    </row>
    <row r="132" spans="3:14" s="237" customFormat="1" x14ac:dyDescent="0.2">
      <c r="C132" s="266"/>
      <c r="D132" s="266"/>
      <c r="E132" s="266"/>
      <c r="F132" s="266"/>
      <c r="G132" s="266"/>
      <c r="H132" s="266"/>
      <c r="I132" s="266"/>
      <c r="J132" s="266"/>
      <c r="K132" s="266"/>
      <c r="L132" s="266"/>
      <c r="M132" s="266"/>
      <c r="N132" s="266"/>
    </row>
    <row r="133" spans="3:14" s="237" customFormat="1" x14ac:dyDescent="0.2">
      <c r="C133" s="266"/>
      <c r="D133" s="266"/>
      <c r="E133" s="266"/>
      <c r="F133" s="266"/>
      <c r="G133" s="266"/>
      <c r="H133" s="266"/>
      <c r="I133" s="266"/>
      <c r="J133" s="266"/>
      <c r="K133" s="266"/>
      <c r="L133" s="266"/>
      <c r="M133" s="266"/>
      <c r="N133" s="266"/>
    </row>
    <row r="134" spans="3:14" s="237" customFormat="1" x14ac:dyDescent="0.2">
      <c r="C134" s="266"/>
      <c r="D134" s="266"/>
      <c r="E134" s="266"/>
      <c r="F134" s="266"/>
      <c r="G134" s="266"/>
      <c r="H134" s="266"/>
      <c r="I134" s="266"/>
      <c r="J134" s="266"/>
      <c r="K134" s="266"/>
      <c r="L134" s="266"/>
      <c r="M134" s="266"/>
      <c r="N134" s="266"/>
    </row>
    <row r="135" spans="3:14" s="237" customFormat="1" x14ac:dyDescent="0.2">
      <c r="C135" s="266"/>
      <c r="D135" s="266"/>
      <c r="E135" s="266"/>
      <c r="F135" s="266"/>
      <c r="G135" s="266"/>
      <c r="H135" s="266"/>
      <c r="I135" s="266"/>
      <c r="J135" s="266"/>
      <c r="K135" s="266"/>
      <c r="L135" s="266"/>
      <c r="M135" s="266"/>
      <c r="N135" s="266"/>
    </row>
    <row r="136" spans="3:14" s="237" customFormat="1" x14ac:dyDescent="0.2">
      <c r="C136" s="266"/>
      <c r="D136" s="266"/>
      <c r="E136" s="266"/>
      <c r="F136" s="266"/>
      <c r="G136" s="266"/>
      <c r="H136" s="266"/>
      <c r="I136" s="266"/>
      <c r="J136" s="266"/>
      <c r="K136" s="266"/>
      <c r="L136" s="266"/>
      <c r="M136" s="266"/>
      <c r="N136" s="266"/>
    </row>
    <row r="137" spans="3:14" s="237" customFormat="1" x14ac:dyDescent="0.2">
      <c r="C137" s="266"/>
      <c r="D137" s="266"/>
      <c r="E137" s="266"/>
      <c r="F137" s="266"/>
      <c r="G137" s="266"/>
      <c r="H137" s="266"/>
      <c r="I137" s="266"/>
      <c r="J137" s="266"/>
      <c r="K137" s="266"/>
      <c r="L137" s="266"/>
      <c r="M137" s="266"/>
      <c r="N137" s="266"/>
    </row>
    <row r="138" spans="3:14" s="237" customFormat="1" x14ac:dyDescent="0.2">
      <c r="C138" s="266"/>
      <c r="D138" s="266"/>
      <c r="E138" s="266"/>
      <c r="F138" s="266"/>
      <c r="G138" s="266"/>
      <c r="H138" s="266"/>
      <c r="I138" s="266"/>
      <c r="J138" s="266"/>
      <c r="K138" s="266"/>
      <c r="L138" s="266"/>
      <c r="M138" s="266"/>
      <c r="N138" s="266"/>
    </row>
    <row r="139" spans="3:14" s="237" customFormat="1" x14ac:dyDescent="0.2">
      <c r="C139" s="266"/>
      <c r="D139" s="266"/>
      <c r="E139" s="266"/>
      <c r="F139" s="266"/>
      <c r="G139" s="266"/>
      <c r="H139" s="266"/>
      <c r="I139" s="266"/>
      <c r="J139" s="266"/>
      <c r="K139" s="266"/>
      <c r="L139" s="266"/>
      <c r="M139" s="266"/>
      <c r="N139" s="266"/>
    </row>
    <row r="140" spans="3:14" s="237" customFormat="1" x14ac:dyDescent="0.2">
      <c r="C140" s="266"/>
      <c r="D140" s="266"/>
      <c r="E140" s="266"/>
      <c r="F140" s="266"/>
      <c r="G140" s="266"/>
      <c r="H140" s="266"/>
      <c r="I140" s="266"/>
      <c r="J140" s="266"/>
      <c r="K140" s="266"/>
      <c r="L140" s="266"/>
      <c r="M140" s="266"/>
      <c r="N140" s="266"/>
    </row>
    <row r="141" spans="3:14" s="237" customFormat="1" x14ac:dyDescent="0.2">
      <c r="C141" s="266"/>
      <c r="D141" s="266"/>
      <c r="E141" s="266"/>
      <c r="F141" s="266"/>
      <c r="G141" s="266"/>
      <c r="H141" s="266"/>
      <c r="I141" s="266"/>
      <c r="J141" s="266"/>
      <c r="K141" s="266"/>
      <c r="L141" s="266"/>
      <c r="M141" s="266"/>
      <c r="N141" s="266"/>
    </row>
    <row r="142" spans="3:14" s="237" customFormat="1" x14ac:dyDescent="0.2">
      <c r="C142" s="266"/>
      <c r="D142" s="266"/>
      <c r="E142" s="266"/>
      <c r="F142" s="266"/>
      <c r="G142" s="266"/>
      <c r="H142" s="266"/>
      <c r="I142" s="266"/>
      <c r="J142" s="266"/>
      <c r="K142" s="266"/>
      <c r="L142" s="266"/>
      <c r="M142" s="266"/>
      <c r="N142" s="266"/>
    </row>
    <row r="143" spans="3:14" s="237" customFormat="1" x14ac:dyDescent="0.2">
      <c r="C143" s="266"/>
      <c r="D143" s="266"/>
      <c r="E143" s="266"/>
      <c r="F143" s="266"/>
      <c r="G143" s="266"/>
      <c r="H143" s="266"/>
      <c r="I143" s="266"/>
      <c r="J143" s="266"/>
      <c r="K143" s="266"/>
      <c r="L143" s="266"/>
      <c r="M143" s="266"/>
      <c r="N143" s="266"/>
    </row>
    <row r="144" spans="3:14" s="237" customFormat="1" x14ac:dyDescent="0.2">
      <c r="C144" s="266"/>
      <c r="D144" s="266"/>
      <c r="E144" s="266"/>
      <c r="F144" s="266"/>
      <c r="G144" s="266"/>
      <c r="H144" s="266"/>
      <c r="I144" s="266"/>
      <c r="J144" s="266"/>
      <c r="K144" s="266"/>
      <c r="L144" s="266"/>
      <c r="M144" s="266"/>
      <c r="N144" s="266"/>
    </row>
    <row r="145" spans="3:14" s="237" customFormat="1" x14ac:dyDescent="0.2">
      <c r="C145" s="266"/>
      <c r="D145" s="266"/>
      <c r="E145" s="266"/>
      <c r="F145" s="266"/>
      <c r="G145" s="266"/>
      <c r="H145" s="266"/>
      <c r="I145" s="266"/>
      <c r="J145" s="266"/>
      <c r="K145" s="266"/>
      <c r="L145" s="266"/>
      <c r="M145" s="266"/>
      <c r="N145" s="266"/>
    </row>
    <row r="146" spans="3:14" s="237" customFormat="1" x14ac:dyDescent="0.2">
      <c r="C146" s="266"/>
      <c r="D146" s="266"/>
      <c r="E146" s="266"/>
      <c r="F146" s="266"/>
      <c r="G146" s="266"/>
      <c r="H146" s="266"/>
      <c r="I146" s="266"/>
      <c r="J146" s="266"/>
      <c r="K146" s="266"/>
      <c r="L146" s="266"/>
      <c r="M146" s="266"/>
      <c r="N146" s="266"/>
    </row>
    <row r="147" spans="3:14" s="237" customFormat="1" x14ac:dyDescent="0.2">
      <c r="C147" s="266"/>
      <c r="D147" s="266"/>
      <c r="E147" s="266"/>
      <c r="F147" s="266"/>
      <c r="G147" s="266"/>
      <c r="H147" s="266"/>
      <c r="I147" s="266"/>
      <c r="J147" s="266"/>
      <c r="K147" s="266"/>
      <c r="L147" s="266"/>
      <c r="M147" s="266"/>
      <c r="N147" s="266"/>
    </row>
    <row r="148" spans="3:14" s="237" customFormat="1" x14ac:dyDescent="0.2">
      <c r="C148" s="266"/>
      <c r="D148" s="266"/>
      <c r="E148" s="266"/>
      <c r="F148" s="266"/>
      <c r="G148" s="266"/>
      <c r="H148" s="266"/>
      <c r="I148" s="266"/>
      <c r="J148" s="266"/>
      <c r="K148" s="266"/>
      <c r="L148" s="266"/>
      <c r="M148" s="266"/>
      <c r="N148" s="266"/>
    </row>
    <row r="149" spans="3:14" s="237" customFormat="1" x14ac:dyDescent="0.2">
      <c r="C149" s="266"/>
      <c r="D149" s="266"/>
      <c r="E149" s="266"/>
      <c r="F149" s="266"/>
      <c r="G149" s="266"/>
      <c r="H149" s="266"/>
      <c r="I149" s="266"/>
      <c r="J149" s="266"/>
      <c r="K149" s="266"/>
      <c r="L149" s="266"/>
      <c r="M149" s="266"/>
      <c r="N149" s="266"/>
    </row>
    <row r="150" spans="3:14" s="237" customFormat="1" x14ac:dyDescent="0.2">
      <c r="C150" s="266"/>
      <c r="D150" s="266"/>
      <c r="E150" s="266"/>
      <c r="F150" s="266"/>
      <c r="G150" s="266"/>
      <c r="H150" s="266"/>
      <c r="I150" s="266"/>
      <c r="J150" s="266"/>
      <c r="K150" s="266"/>
      <c r="L150" s="266"/>
      <c r="M150" s="266"/>
      <c r="N150" s="266"/>
    </row>
    <row r="151" spans="3:14" s="237" customFormat="1" x14ac:dyDescent="0.2">
      <c r="C151" s="266"/>
      <c r="D151" s="266"/>
      <c r="E151" s="266"/>
      <c r="F151" s="266"/>
      <c r="G151" s="266"/>
      <c r="H151" s="266"/>
      <c r="I151" s="266"/>
      <c r="J151" s="266"/>
      <c r="K151" s="266"/>
      <c r="L151" s="266"/>
      <c r="M151" s="266"/>
      <c r="N151" s="266"/>
    </row>
    <row r="152" spans="3:14" s="237" customFormat="1" x14ac:dyDescent="0.2">
      <c r="C152" s="266"/>
      <c r="D152" s="266"/>
      <c r="E152" s="266"/>
      <c r="F152" s="266"/>
      <c r="G152" s="266"/>
      <c r="H152" s="266"/>
      <c r="I152" s="266"/>
      <c r="J152" s="266"/>
      <c r="K152" s="266"/>
      <c r="L152" s="266"/>
      <c r="M152" s="266"/>
      <c r="N152" s="266"/>
    </row>
    <row r="153" spans="3:14" s="237" customFormat="1" x14ac:dyDescent="0.2">
      <c r="C153" s="266"/>
      <c r="D153" s="266"/>
      <c r="E153" s="266"/>
      <c r="F153" s="266"/>
      <c r="G153" s="266"/>
      <c r="H153" s="266"/>
      <c r="I153" s="266"/>
      <c r="J153" s="266"/>
      <c r="K153" s="266"/>
      <c r="L153" s="266"/>
      <c r="M153" s="266"/>
      <c r="N153" s="266"/>
    </row>
    <row r="154" spans="3:14" s="237" customFormat="1" x14ac:dyDescent="0.2">
      <c r="C154" s="266"/>
      <c r="D154" s="266"/>
      <c r="E154" s="266"/>
      <c r="F154" s="266"/>
      <c r="G154" s="266"/>
      <c r="H154" s="266"/>
      <c r="I154" s="266"/>
      <c r="J154" s="266"/>
      <c r="K154" s="266"/>
      <c r="L154" s="266"/>
      <c r="M154" s="266"/>
      <c r="N154" s="266"/>
    </row>
    <row r="155" spans="3:14" s="237" customFormat="1" x14ac:dyDescent="0.2">
      <c r="C155" s="266"/>
      <c r="D155" s="266"/>
      <c r="E155" s="266"/>
      <c r="F155" s="266"/>
      <c r="G155" s="266"/>
      <c r="H155" s="266"/>
      <c r="I155" s="266"/>
      <c r="J155" s="266"/>
      <c r="K155" s="266"/>
      <c r="L155" s="266"/>
      <c r="M155" s="266"/>
      <c r="N155" s="266"/>
    </row>
    <row r="156" spans="3:14" s="237" customFormat="1" x14ac:dyDescent="0.2">
      <c r="C156" s="266"/>
      <c r="D156" s="266"/>
      <c r="E156" s="266"/>
      <c r="F156" s="266"/>
      <c r="G156" s="266"/>
      <c r="H156" s="266"/>
      <c r="I156" s="266"/>
      <c r="J156" s="266"/>
      <c r="K156" s="266"/>
      <c r="L156" s="266"/>
      <c r="M156" s="266"/>
      <c r="N156" s="266"/>
    </row>
    <row r="157" spans="3:14" s="237" customFormat="1" x14ac:dyDescent="0.2">
      <c r="C157" s="266"/>
      <c r="D157" s="266"/>
      <c r="E157" s="266"/>
      <c r="F157" s="266"/>
      <c r="G157" s="266"/>
      <c r="H157" s="266"/>
      <c r="I157" s="266"/>
      <c r="J157" s="266"/>
      <c r="K157" s="266"/>
      <c r="L157" s="266"/>
      <c r="M157" s="266"/>
      <c r="N157" s="266"/>
    </row>
    <row r="158" spans="3:14" s="237" customFormat="1" x14ac:dyDescent="0.2">
      <c r="C158" s="266"/>
      <c r="D158" s="266"/>
      <c r="E158" s="266"/>
      <c r="F158" s="266"/>
      <c r="G158" s="266"/>
      <c r="H158" s="266"/>
      <c r="I158" s="266"/>
      <c r="J158" s="266"/>
      <c r="K158" s="266"/>
      <c r="L158" s="266"/>
      <c r="M158" s="266"/>
      <c r="N158" s="266"/>
    </row>
    <row r="159" spans="3:14" s="237" customFormat="1" x14ac:dyDescent="0.2">
      <c r="C159" s="266"/>
      <c r="D159" s="266"/>
      <c r="E159" s="266"/>
      <c r="F159" s="266"/>
      <c r="G159" s="266"/>
      <c r="H159" s="266"/>
      <c r="I159" s="266"/>
      <c r="J159" s="266"/>
      <c r="K159" s="266"/>
      <c r="L159" s="266"/>
      <c r="M159" s="266"/>
      <c r="N159" s="266"/>
    </row>
    <row r="160" spans="3:14" s="237" customFormat="1" x14ac:dyDescent="0.2">
      <c r="C160" s="266"/>
      <c r="D160" s="266"/>
      <c r="E160" s="266"/>
      <c r="F160" s="266"/>
      <c r="G160" s="266"/>
      <c r="H160" s="266"/>
      <c r="I160" s="266"/>
      <c r="J160" s="266"/>
      <c r="K160" s="266"/>
      <c r="L160" s="266"/>
      <c r="M160" s="266"/>
      <c r="N160" s="266"/>
    </row>
    <row r="161" spans="3:14" s="237" customFormat="1" x14ac:dyDescent="0.2">
      <c r="C161" s="266"/>
      <c r="D161" s="266"/>
      <c r="E161" s="266"/>
      <c r="F161" s="266"/>
      <c r="G161" s="266"/>
      <c r="H161" s="266"/>
      <c r="I161" s="266"/>
      <c r="J161" s="266"/>
      <c r="K161" s="266"/>
      <c r="L161" s="266"/>
      <c r="M161" s="266"/>
      <c r="N161" s="266"/>
    </row>
    <row r="162" spans="3:14" s="237" customFormat="1" x14ac:dyDescent="0.2">
      <c r="C162" s="266"/>
      <c r="D162" s="266"/>
      <c r="E162" s="266"/>
      <c r="F162" s="266"/>
      <c r="G162" s="266"/>
      <c r="H162" s="266"/>
      <c r="I162" s="266"/>
      <c r="J162" s="266"/>
      <c r="K162" s="266"/>
      <c r="L162" s="266"/>
      <c r="M162" s="266"/>
      <c r="N162" s="266"/>
    </row>
    <row r="163" spans="3:14" s="237" customFormat="1" x14ac:dyDescent="0.2">
      <c r="C163" s="266"/>
      <c r="D163" s="266"/>
      <c r="E163" s="266"/>
      <c r="F163" s="266"/>
      <c r="G163" s="266"/>
      <c r="H163" s="266"/>
      <c r="I163" s="266"/>
      <c r="J163" s="266"/>
      <c r="K163" s="266"/>
      <c r="L163" s="266"/>
      <c r="M163" s="266"/>
      <c r="N163" s="266"/>
    </row>
    <row r="164" spans="3:14" s="237" customFormat="1" x14ac:dyDescent="0.2">
      <c r="C164" s="266"/>
      <c r="D164" s="266"/>
      <c r="E164" s="266"/>
      <c r="F164" s="266"/>
      <c r="G164" s="266"/>
      <c r="H164" s="266"/>
      <c r="I164" s="266"/>
      <c r="J164" s="266"/>
      <c r="K164" s="266"/>
      <c r="L164" s="266"/>
      <c r="M164" s="266"/>
      <c r="N164" s="266"/>
    </row>
    <row r="165" spans="3:14" s="237" customFormat="1" x14ac:dyDescent="0.2">
      <c r="C165" s="266"/>
      <c r="D165" s="266"/>
      <c r="E165" s="266"/>
      <c r="F165" s="266"/>
      <c r="G165" s="266"/>
      <c r="H165" s="266"/>
      <c r="I165" s="266"/>
      <c r="J165" s="266"/>
      <c r="K165" s="266"/>
      <c r="L165" s="266"/>
      <c r="M165" s="266"/>
      <c r="N165" s="266"/>
    </row>
    <row r="166" spans="3:14" s="237" customFormat="1" x14ac:dyDescent="0.2">
      <c r="C166" s="266"/>
      <c r="D166" s="266"/>
      <c r="E166" s="266"/>
      <c r="F166" s="266"/>
      <c r="G166" s="266"/>
      <c r="H166" s="266"/>
      <c r="I166" s="266"/>
      <c r="J166" s="266"/>
      <c r="K166" s="266"/>
      <c r="L166" s="266"/>
      <c r="M166" s="266"/>
      <c r="N166" s="266"/>
    </row>
    <row r="167" spans="3:14" s="237" customFormat="1" x14ac:dyDescent="0.2">
      <c r="C167" s="266"/>
      <c r="D167" s="266"/>
      <c r="E167" s="266"/>
      <c r="F167" s="266"/>
      <c r="G167" s="266"/>
      <c r="H167" s="266"/>
      <c r="I167" s="266"/>
      <c r="J167" s="266"/>
      <c r="K167" s="266"/>
      <c r="L167" s="266"/>
      <c r="M167" s="266"/>
      <c r="N167" s="266"/>
    </row>
    <row r="168" spans="3:14" s="237" customFormat="1" x14ac:dyDescent="0.2">
      <c r="C168" s="266"/>
      <c r="D168" s="266"/>
      <c r="E168" s="266"/>
      <c r="F168" s="266"/>
      <c r="G168" s="266"/>
      <c r="H168" s="266"/>
      <c r="I168" s="266"/>
      <c r="J168" s="266"/>
      <c r="K168" s="266"/>
      <c r="L168" s="266"/>
      <c r="M168" s="266"/>
      <c r="N168" s="266"/>
    </row>
    <row r="169" spans="3:14" s="237" customFormat="1" x14ac:dyDescent="0.2">
      <c r="C169" s="266"/>
      <c r="D169" s="266"/>
      <c r="E169" s="266"/>
      <c r="F169" s="266"/>
      <c r="G169" s="266"/>
      <c r="H169" s="266"/>
      <c r="I169" s="266"/>
      <c r="J169" s="266"/>
      <c r="K169" s="266"/>
      <c r="L169" s="266"/>
      <c r="M169" s="266"/>
      <c r="N169" s="266"/>
    </row>
    <row r="170" spans="3:14" s="237" customFormat="1" x14ac:dyDescent="0.2">
      <c r="C170" s="266"/>
      <c r="D170" s="266"/>
      <c r="E170" s="266"/>
      <c r="F170" s="266"/>
      <c r="G170" s="266"/>
      <c r="H170" s="266"/>
      <c r="I170" s="266"/>
      <c r="J170" s="266"/>
      <c r="K170" s="266"/>
      <c r="L170" s="266"/>
      <c r="M170" s="266"/>
      <c r="N170" s="266"/>
    </row>
    <row r="171" spans="3:14" s="237" customFormat="1" x14ac:dyDescent="0.2">
      <c r="C171" s="266"/>
      <c r="D171" s="266"/>
      <c r="E171" s="266"/>
      <c r="F171" s="266"/>
      <c r="G171" s="266"/>
      <c r="H171" s="266"/>
      <c r="I171" s="266"/>
      <c r="J171" s="266"/>
      <c r="K171" s="266"/>
      <c r="L171" s="266"/>
      <c r="M171" s="266"/>
      <c r="N171" s="266"/>
    </row>
    <row r="172" spans="3:14" s="237" customFormat="1" x14ac:dyDescent="0.2">
      <c r="C172" s="266"/>
      <c r="D172" s="266"/>
      <c r="E172" s="266"/>
      <c r="F172" s="266"/>
      <c r="G172" s="266"/>
      <c r="H172" s="266"/>
      <c r="I172" s="266"/>
      <c r="J172" s="266"/>
      <c r="K172" s="266"/>
      <c r="L172" s="266"/>
      <c r="M172" s="266"/>
      <c r="N172" s="266"/>
    </row>
    <row r="173" spans="3:14" s="237" customFormat="1" x14ac:dyDescent="0.2">
      <c r="C173" s="266"/>
      <c r="D173" s="266"/>
      <c r="E173" s="266"/>
      <c r="F173" s="266"/>
      <c r="G173" s="266"/>
      <c r="H173" s="266"/>
      <c r="I173" s="266"/>
      <c r="J173" s="266"/>
      <c r="K173" s="266"/>
      <c r="L173" s="266"/>
      <c r="M173" s="266"/>
      <c r="N173" s="266"/>
    </row>
    <row r="174" spans="3:14" s="237" customFormat="1" x14ac:dyDescent="0.2">
      <c r="C174" s="266"/>
      <c r="D174" s="266"/>
      <c r="E174" s="266"/>
      <c r="F174" s="266"/>
      <c r="G174" s="266"/>
      <c r="H174" s="266"/>
      <c r="I174" s="266"/>
      <c r="J174" s="266"/>
      <c r="K174" s="266"/>
      <c r="L174" s="266"/>
      <c r="M174" s="266"/>
      <c r="N174" s="266"/>
    </row>
    <row r="175" spans="3:14" s="237" customFormat="1" x14ac:dyDescent="0.2">
      <c r="C175" s="266"/>
      <c r="D175" s="266"/>
      <c r="E175" s="266"/>
      <c r="F175" s="266"/>
      <c r="G175" s="266"/>
      <c r="H175" s="266"/>
      <c r="I175" s="266"/>
      <c r="J175" s="266"/>
      <c r="K175" s="266"/>
      <c r="L175" s="266"/>
      <c r="M175" s="266"/>
      <c r="N175" s="266"/>
    </row>
    <row r="176" spans="3:14" s="237" customFormat="1" x14ac:dyDescent="0.2">
      <c r="C176" s="266"/>
      <c r="D176" s="266"/>
      <c r="E176" s="266"/>
      <c r="F176" s="266"/>
      <c r="G176" s="266"/>
      <c r="H176" s="266"/>
      <c r="I176" s="266"/>
      <c r="J176" s="266"/>
      <c r="K176" s="266"/>
      <c r="L176" s="266"/>
      <c r="M176" s="266"/>
      <c r="N176" s="266"/>
    </row>
    <row r="177" spans="3:14" s="237" customFormat="1" x14ac:dyDescent="0.2">
      <c r="C177" s="266"/>
      <c r="D177" s="266"/>
      <c r="E177" s="266"/>
      <c r="F177" s="266"/>
      <c r="G177" s="266"/>
      <c r="H177" s="266"/>
      <c r="I177" s="266"/>
      <c r="J177" s="266"/>
      <c r="K177" s="266"/>
      <c r="L177" s="266"/>
      <c r="M177" s="266"/>
      <c r="N177" s="266"/>
    </row>
    <row r="178" spans="3:14" s="237" customFormat="1" x14ac:dyDescent="0.2">
      <c r="C178" s="266"/>
      <c r="D178" s="266"/>
      <c r="E178" s="266"/>
      <c r="F178" s="266"/>
      <c r="G178" s="266"/>
      <c r="H178" s="266"/>
      <c r="I178" s="266"/>
      <c r="J178" s="266"/>
      <c r="K178" s="266"/>
      <c r="L178" s="266"/>
      <c r="M178" s="266"/>
      <c r="N178" s="266"/>
    </row>
    <row r="179" spans="3:14" s="237" customFormat="1" x14ac:dyDescent="0.2">
      <c r="C179" s="266"/>
      <c r="D179" s="266"/>
      <c r="E179" s="266"/>
      <c r="F179" s="266"/>
      <c r="G179" s="266"/>
      <c r="H179" s="266"/>
      <c r="I179" s="266"/>
      <c r="J179" s="266"/>
      <c r="K179" s="266"/>
      <c r="L179" s="266"/>
      <c r="M179" s="266"/>
      <c r="N179" s="266"/>
    </row>
    <row r="180" spans="3:14" s="237" customFormat="1" x14ac:dyDescent="0.2">
      <c r="C180" s="266"/>
      <c r="D180" s="266"/>
      <c r="E180" s="266"/>
      <c r="F180" s="266"/>
      <c r="G180" s="266"/>
      <c r="H180" s="266"/>
      <c r="I180" s="266"/>
      <c r="J180" s="266"/>
      <c r="K180" s="266"/>
      <c r="L180" s="266"/>
      <c r="M180" s="266"/>
      <c r="N180" s="266"/>
    </row>
    <row r="181" spans="3:14" s="237" customFormat="1" x14ac:dyDescent="0.2">
      <c r="C181" s="266"/>
      <c r="D181" s="266"/>
      <c r="E181" s="266"/>
      <c r="F181" s="266"/>
      <c r="G181" s="266"/>
      <c r="H181" s="266"/>
      <c r="I181" s="266"/>
      <c r="J181" s="266"/>
      <c r="K181" s="266"/>
      <c r="L181" s="266"/>
      <c r="M181" s="266"/>
      <c r="N181" s="266"/>
    </row>
    <row r="182" spans="3:14" s="237" customFormat="1" x14ac:dyDescent="0.2">
      <c r="C182" s="266"/>
      <c r="D182" s="266"/>
      <c r="E182" s="266"/>
      <c r="F182" s="266"/>
      <c r="G182" s="266"/>
      <c r="H182" s="266"/>
      <c r="I182" s="266"/>
      <c r="J182" s="266"/>
      <c r="K182" s="266"/>
      <c r="L182" s="266"/>
      <c r="M182" s="266"/>
      <c r="N182" s="266"/>
    </row>
    <row r="183" spans="3:14" s="237" customFormat="1" x14ac:dyDescent="0.2">
      <c r="C183" s="266"/>
      <c r="D183" s="266"/>
      <c r="E183" s="266"/>
      <c r="F183" s="266"/>
      <c r="G183" s="266"/>
      <c r="H183" s="266"/>
      <c r="I183" s="266"/>
      <c r="J183" s="266"/>
      <c r="K183" s="266"/>
      <c r="L183" s="266"/>
      <c r="M183" s="266"/>
      <c r="N183" s="266"/>
    </row>
    <row r="184" spans="3:14" s="237" customFormat="1" x14ac:dyDescent="0.2">
      <c r="C184" s="266"/>
      <c r="D184" s="266"/>
      <c r="E184" s="266"/>
      <c r="F184" s="266"/>
      <c r="G184" s="266"/>
      <c r="H184" s="266"/>
      <c r="I184" s="266"/>
      <c r="J184" s="266"/>
      <c r="K184" s="266"/>
      <c r="L184" s="266"/>
      <c r="M184" s="266"/>
      <c r="N184" s="266"/>
    </row>
    <row r="185" spans="3:14" s="237" customFormat="1" x14ac:dyDescent="0.2">
      <c r="C185" s="266"/>
      <c r="D185" s="266"/>
      <c r="E185" s="266"/>
      <c r="F185" s="266"/>
      <c r="G185" s="266"/>
      <c r="H185" s="266"/>
      <c r="I185" s="266"/>
      <c r="J185" s="266"/>
      <c r="K185" s="266"/>
      <c r="L185" s="266"/>
      <c r="M185" s="266"/>
      <c r="N185" s="266"/>
    </row>
    <row r="186" spans="3:14" s="237" customFormat="1" x14ac:dyDescent="0.2">
      <c r="C186" s="266"/>
      <c r="D186" s="266"/>
      <c r="E186" s="266"/>
      <c r="F186" s="266"/>
      <c r="G186" s="266"/>
      <c r="H186" s="266"/>
      <c r="I186" s="266"/>
      <c r="J186" s="266"/>
      <c r="K186" s="266"/>
      <c r="L186" s="266"/>
      <c r="M186" s="266"/>
      <c r="N186" s="266"/>
    </row>
    <row r="187" spans="3:14" s="237" customFormat="1" x14ac:dyDescent="0.2">
      <c r="C187" s="266"/>
      <c r="D187" s="266"/>
      <c r="E187" s="266"/>
      <c r="F187" s="266"/>
      <c r="G187" s="266"/>
      <c r="H187" s="266"/>
      <c r="I187" s="266"/>
      <c r="J187" s="266"/>
      <c r="K187" s="266"/>
      <c r="L187" s="266"/>
      <c r="M187" s="266"/>
      <c r="N187" s="266"/>
    </row>
    <row r="188" spans="3:14" s="237" customFormat="1" x14ac:dyDescent="0.2">
      <c r="C188" s="266"/>
      <c r="D188" s="266"/>
      <c r="E188" s="266"/>
      <c r="F188" s="266"/>
      <c r="G188" s="266"/>
      <c r="H188" s="266"/>
      <c r="I188" s="266"/>
      <c r="J188" s="266"/>
      <c r="K188" s="266"/>
      <c r="L188" s="266"/>
      <c r="M188" s="266"/>
      <c r="N188" s="266"/>
    </row>
    <row r="189" spans="3:14" s="237" customFormat="1" x14ac:dyDescent="0.2">
      <c r="C189" s="266"/>
      <c r="D189" s="266"/>
      <c r="E189" s="266"/>
      <c r="F189" s="266"/>
      <c r="G189" s="266"/>
      <c r="H189" s="266"/>
      <c r="I189" s="266"/>
      <c r="J189" s="266"/>
      <c r="K189" s="266"/>
      <c r="L189" s="266"/>
      <c r="M189" s="266"/>
      <c r="N189" s="266"/>
    </row>
    <row r="190" spans="3:14" s="237" customFormat="1" x14ac:dyDescent="0.2">
      <c r="C190" s="266"/>
      <c r="D190" s="266"/>
      <c r="E190" s="266"/>
      <c r="F190" s="266"/>
      <c r="G190" s="266"/>
      <c r="H190" s="266"/>
      <c r="I190" s="266"/>
      <c r="J190" s="266"/>
      <c r="K190" s="266"/>
      <c r="L190" s="266"/>
      <c r="M190" s="266"/>
      <c r="N190" s="266"/>
    </row>
    <row r="191" spans="3:14" s="237" customFormat="1" x14ac:dyDescent="0.2">
      <c r="C191" s="266"/>
      <c r="D191" s="266"/>
      <c r="E191" s="266"/>
      <c r="F191" s="266"/>
      <c r="G191" s="266"/>
      <c r="H191" s="266"/>
      <c r="I191" s="266"/>
      <c r="J191" s="266"/>
      <c r="K191" s="266"/>
      <c r="L191" s="266"/>
      <c r="M191" s="266"/>
      <c r="N191" s="266"/>
    </row>
    <row r="192" spans="3:14" s="237" customFormat="1" x14ac:dyDescent="0.2">
      <c r="C192" s="266"/>
      <c r="D192" s="266"/>
      <c r="E192" s="266"/>
      <c r="F192" s="266"/>
      <c r="G192" s="266"/>
      <c r="H192" s="266"/>
      <c r="I192" s="266"/>
      <c r="J192" s="266"/>
      <c r="K192" s="266"/>
      <c r="L192" s="266"/>
      <c r="M192" s="266"/>
      <c r="N192" s="266"/>
    </row>
    <row r="193" spans="3:14" s="237" customFormat="1" x14ac:dyDescent="0.2">
      <c r="C193" s="266"/>
      <c r="D193" s="266"/>
      <c r="E193" s="266"/>
      <c r="F193" s="266"/>
      <c r="G193" s="266"/>
      <c r="H193" s="266"/>
      <c r="I193" s="266"/>
      <c r="J193" s="266"/>
      <c r="K193" s="266"/>
      <c r="L193" s="266"/>
      <c r="M193" s="266"/>
      <c r="N193" s="266"/>
    </row>
    <row r="194" spans="3:14" s="237" customFormat="1" x14ac:dyDescent="0.2">
      <c r="C194" s="266"/>
      <c r="D194" s="266"/>
      <c r="E194" s="266"/>
      <c r="F194" s="266"/>
      <c r="G194" s="266"/>
      <c r="H194" s="266"/>
      <c r="I194" s="266"/>
      <c r="J194" s="266"/>
      <c r="K194" s="266"/>
      <c r="L194" s="266"/>
      <c r="M194" s="266"/>
      <c r="N194" s="266"/>
    </row>
    <row r="195" spans="3:14" s="237" customFormat="1" x14ac:dyDescent="0.2">
      <c r="C195" s="266"/>
      <c r="D195" s="266"/>
      <c r="E195" s="266"/>
      <c r="F195" s="266"/>
      <c r="G195" s="266"/>
      <c r="H195" s="266"/>
      <c r="I195" s="266"/>
      <c r="J195" s="266"/>
      <c r="K195" s="266"/>
      <c r="L195" s="266"/>
      <c r="M195" s="266"/>
      <c r="N195" s="266"/>
    </row>
    <row r="196" spans="3:14" s="237" customFormat="1" x14ac:dyDescent="0.2">
      <c r="C196" s="266"/>
      <c r="D196" s="266"/>
      <c r="E196" s="266"/>
      <c r="F196" s="266"/>
      <c r="G196" s="266"/>
      <c r="H196" s="266"/>
      <c r="I196" s="266"/>
      <c r="J196" s="266"/>
      <c r="K196" s="266"/>
      <c r="L196" s="266"/>
      <c r="M196" s="266"/>
      <c r="N196" s="266"/>
    </row>
    <row r="197" spans="3:14" s="237" customFormat="1" x14ac:dyDescent="0.2">
      <c r="C197" s="266"/>
      <c r="D197" s="266"/>
      <c r="E197" s="266"/>
      <c r="F197" s="266"/>
      <c r="G197" s="266"/>
      <c r="H197" s="266"/>
      <c r="I197" s="266"/>
      <c r="J197" s="266"/>
      <c r="K197" s="266"/>
      <c r="L197" s="266"/>
      <c r="M197" s="266"/>
      <c r="N197" s="266"/>
    </row>
    <row r="198" spans="3:14" s="237" customFormat="1" x14ac:dyDescent="0.2">
      <c r="C198" s="266"/>
      <c r="D198" s="266"/>
      <c r="E198" s="266"/>
      <c r="F198" s="266"/>
      <c r="G198" s="266"/>
      <c r="H198" s="266"/>
      <c r="I198" s="266"/>
      <c r="J198" s="266"/>
      <c r="K198" s="266"/>
      <c r="L198" s="266"/>
      <c r="M198" s="266"/>
      <c r="N198" s="266"/>
    </row>
    <row r="199" spans="3:14" s="237" customFormat="1" x14ac:dyDescent="0.2">
      <c r="C199" s="266"/>
      <c r="D199" s="266"/>
      <c r="E199" s="266"/>
      <c r="F199" s="266"/>
      <c r="G199" s="266"/>
      <c r="H199" s="266"/>
      <c r="I199" s="266"/>
      <c r="J199" s="266"/>
      <c r="K199" s="266"/>
      <c r="L199" s="266"/>
      <c r="M199" s="266"/>
      <c r="N199" s="266"/>
    </row>
    <row r="200" spans="3:14" s="237" customFormat="1" x14ac:dyDescent="0.2">
      <c r="C200" s="266"/>
      <c r="D200" s="266"/>
      <c r="E200" s="266"/>
      <c r="F200" s="266"/>
      <c r="G200" s="266"/>
      <c r="H200" s="266"/>
      <c r="I200" s="266"/>
      <c r="J200" s="266"/>
      <c r="K200" s="266"/>
      <c r="L200" s="266"/>
      <c r="M200" s="266"/>
      <c r="N200" s="266"/>
    </row>
    <row r="201" spans="3:14" s="237" customFormat="1" x14ac:dyDescent="0.2">
      <c r="C201" s="266"/>
      <c r="D201" s="266"/>
      <c r="E201" s="266"/>
      <c r="F201" s="266"/>
      <c r="G201" s="266"/>
      <c r="H201" s="266"/>
      <c r="I201" s="266"/>
      <c r="J201" s="266"/>
      <c r="K201" s="266"/>
      <c r="L201" s="266"/>
      <c r="M201" s="266"/>
      <c r="N201" s="266"/>
    </row>
    <row r="202" spans="3:14" s="237" customFormat="1" x14ac:dyDescent="0.2">
      <c r="C202" s="266"/>
      <c r="D202" s="266"/>
      <c r="E202" s="266"/>
      <c r="F202" s="266"/>
      <c r="G202" s="266"/>
      <c r="H202" s="266"/>
      <c r="I202" s="266"/>
      <c r="J202" s="266"/>
      <c r="K202" s="266"/>
      <c r="L202" s="266"/>
      <c r="M202" s="266"/>
      <c r="N202" s="266"/>
    </row>
    <row r="203" spans="3:14" s="237" customFormat="1" x14ac:dyDescent="0.2">
      <c r="C203" s="266"/>
      <c r="D203" s="266"/>
      <c r="E203" s="266"/>
      <c r="F203" s="266"/>
      <c r="G203" s="266"/>
      <c r="H203" s="266"/>
      <c r="I203" s="266"/>
      <c r="J203" s="266"/>
      <c r="K203" s="266"/>
      <c r="L203" s="266"/>
      <c r="M203" s="266"/>
      <c r="N203" s="266"/>
    </row>
    <row r="204" spans="3:14" s="237" customFormat="1" x14ac:dyDescent="0.2">
      <c r="C204" s="266"/>
      <c r="D204" s="266"/>
      <c r="E204" s="266"/>
      <c r="F204" s="266"/>
      <c r="G204" s="266"/>
      <c r="H204" s="266"/>
      <c r="I204" s="266"/>
      <c r="J204" s="266"/>
      <c r="K204" s="266"/>
      <c r="L204" s="266"/>
      <c r="M204" s="266"/>
      <c r="N204" s="266"/>
    </row>
    <row r="205" spans="3:14" s="237" customFormat="1" x14ac:dyDescent="0.2">
      <c r="C205" s="266"/>
      <c r="D205" s="266"/>
      <c r="E205" s="266"/>
      <c r="F205" s="266"/>
      <c r="G205" s="266"/>
      <c r="H205" s="266"/>
      <c r="I205" s="266"/>
      <c r="J205" s="266"/>
      <c r="K205" s="266"/>
      <c r="L205" s="266"/>
      <c r="M205" s="266"/>
      <c r="N205" s="266"/>
    </row>
    <row r="206" spans="3:14" s="237" customFormat="1" x14ac:dyDescent="0.2">
      <c r="C206" s="266"/>
      <c r="D206" s="266"/>
      <c r="E206" s="266"/>
      <c r="F206" s="266"/>
      <c r="G206" s="266"/>
      <c r="H206" s="266"/>
      <c r="I206" s="266"/>
      <c r="J206" s="266"/>
      <c r="K206" s="266"/>
      <c r="L206" s="266"/>
      <c r="M206" s="266"/>
      <c r="N206" s="266"/>
    </row>
    <row r="207" spans="3:14" s="237" customFormat="1" x14ac:dyDescent="0.2">
      <c r="C207" s="266"/>
      <c r="D207" s="266"/>
      <c r="E207" s="266"/>
      <c r="F207" s="266"/>
      <c r="G207" s="266"/>
      <c r="H207" s="266"/>
      <c r="I207" s="266"/>
      <c r="J207" s="266"/>
      <c r="K207" s="266"/>
      <c r="L207" s="266"/>
      <c r="M207" s="266"/>
      <c r="N207" s="266"/>
    </row>
    <row r="208" spans="3:14" s="237" customFormat="1" x14ac:dyDescent="0.2">
      <c r="C208" s="266"/>
      <c r="D208" s="266"/>
      <c r="E208" s="266"/>
      <c r="F208" s="266"/>
      <c r="G208" s="266"/>
      <c r="H208" s="266"/>
      <c r="I208" s="266"/>
      <c r="J208" s="266"/>
      <c r="K208" s="266"/>
      <c r="L208" s="266"/>
      <c r="M208" s="266"/>
      <c r="N208" s="266"/>
    </row>
    <row r="209" spans="3:14" s="237" customFormat="1" x14ac:dyDescent="0.2">
      <c r="C209" s="266"/>
      <c r="D209" s="266"/>
      <c r="E209" s="266"/>
      <c r="F209" s="266"/>
      <c r="G209" s="266"/>
      <c r="H209" s="266"/>
      <c r="I209" s="266"/>
      <c r="J209" s="266"/>
      <c r="K209" s="266"/>
      <c r="L209" s="266"/>
      <c r="M209" s="266"/>
      <c r="N209" s="266"/>
    </row>
    <row r="210" spans="3:14" s="237" customFormat="1" x14ac:dyDescent="0.2">
      <c r="C210" s="266"/>
      <c r="D210" s="266"/>
      <c r="E210" s="266"/>
      <c r="F210" s="266"/>
      <c r="G210" s="266"/>
      <c r="H210" s="266"/>
      <c r="I210" s="266"/>
      <c r="J210" s="266"/>
      <c r="K210" s="266"/>
      <c r="L210" s="266"/>
      <c r="M210" s="266"/>
      <c r="N210" s="266"/>
    </row>
    <row r="211" spans="3:14" s="237" customFormat="1" x14ac:dyDescent="0.2">
      <c r="C211" s="266"/>
      <c r="D211" s="266"/>
      <c r="E211" s="266"/>
      <c r="F211" s="266"/>
      <c r="G211" s="266"/>
      <c r="H211" s="266"/>
      <c r="I211" s="266"/>
      <c r="J211" s="266"/>
      <c r="K211" s="266"/>
      <c r="L211" s="266"/>
      <c r="M211" s="266"/>
      <c r="N211" s="266"/>
    </row>
    <row r="212" spans="3:14" s="237" customFormat="1" x14ac:dyDescent="0.2">
      <c r="C212" s="266"/>
      <c r="D212" s="266"/>
      <c r="E212" s="266"/>
      <c r="F212" s="266"/>
      <c r="G212" s="266"/>
      <c r="H212" s="266"/>
      <c r="I212" s="266"/>
      <c r="J212" s="266"/>
      <c r="K212" s="266"/>
      <c r="L212" s="266"/>
      <c r="M212" s="266"/>
      <c r="N212" s="266"/>
    </row>
    <row r="213" spans="3:14" s="237" customFormat="1" x14ac:dyDescent="0.2">
      <c r="C213" s="266"/>
      <c r="D213" s="266"/>
      <c r="E213" s="266"/>
      <c r="F213" s="266"/>
      <c r="G213" s="266"/>
      <c r="H213" s="266"/>
      <c r="I213" s="266"/>
      <c r="J213" s="266"/>
      <c r="K213" s="266"/>
      <c r="L213" s="266"/>
      <c r="M213" s="266"/>
      <c r="N213" s="266"/>
    </row>
    <row r="214" spans="3:14" s="237" customFormat="1" x14ac:dyDescent="0.2">
      <c r="C214" s="266"/>
      <c r="D214" s="266"/>
      <c r="E214" s="266"/>
      <c r="F214" s="266"/>
      <c r="G214" s="266"/>
      <c r="H214" s="266"/>
      <c r="I214" s="266"/>
      <c r="J214" s="266"/>
      <c r="K214" s="266"/>
      <c r="L214" s="266"/>
      <c r="M214" s="266"/>
      <c r="N214" s="266"/>
    </row>
    <row r="215" spans="3:14" s="237" customFormat="1" x14ac:dyDescent="0.2">
      <c r="C215" s="266"/>
      <c r="D215" s="266"/>
      <c r="E215" s="266"/>
      <c r="F215" s="266"/>
      <c r="G215" s="266"/>
      <c r="H215" s="266"/>
      <c r="I215" s="266"/>
      <c r="J215" s="266"/>
      <c r="K215" s="266"/>
      <c r="L215" s="266"/>
      <c r="M215" s="266"/>
      <c r="N215" s="266"/>
    </row>
    <row r="216" spans="3:14" s="237" customFormat="1" x14ac:dyDescent="0.2">
      <c r="C216" s="266"/>
      <c r="D216" s="266"/>
      <c r="E216" s="266"/>
      <c r="F216" s="266"/>
      <c r="G216" s="266"/>
      <c r="H216" s="266"/>
      <c r="I216" s="266"/>
      <c r="J216" s="266"/>
      <c r="K216" s="266"/>
      <c r="L216" s="266"/>
      <c r="M216" s="266"/>
      <c r="N216" s="266"/>
    </row>
    <row r="217" spans="3:14" s="237" customFormat="1" x14ac:dyDescent="0.2">
      <c r="C217" s="266"/>
      <c r="D217" s="266"/>
      <c r="E217" s="266"/>
      <c r="F217" s="266"/>
      <c r="G217" s="266"/>
      <c r="H217" s="266"/>
      <c r="I217" s="266"/>
      <c r="J217" s="266"/>
      <c r="K217" s="266"/>
      <c r="L217" s="266"/>
      <c r="M217" s="266"/>
      <c r="N217" s="266"/>
    </row>
    <row r="218" spans="3:14" s="237" customFormat="1" x14ac:dyDescent="0.2">
      <c r="C218" s="266"/>
      <c r="D218" s="266"/>
      <c r="E218" s="266"/>
      <c r="F218" s="266"/>
      <c r="G218" s="266"/>
      <c r="H218" s="266"/>
      <c r="I218" s="266"/>
      <c r="J218" s="266"/>
      <c r="K218" s="266"/>
      <c r="L218" s="266"/>
      <c r="M218" s="266"/>
      <c r="N218" s="266"/>
    </row>
    <row r="219" spans="3:14" s="237" customFormat="1" x14ac:dyDescent="0.2">
      <c r="C219" s="266"/>
      <c r="D219" s="266"/>
      <c r="E219" s="266"/>
      <c r="F219" s="266"/>
      <c r="G219" s="266"/>
      <c r="H219" s="266"/>
      <c r="I219" s="266"/>
      <c r="J219" s="266"/>
      <c r="K219" s="266"/>
      <c r="L219" s="266"/>
      <c r="M219" s="266"/>
      <c r="N219" s="266"/>
    </row>
    <row r="220" spans="3:14" s="237" customFormat="1" x14ac:dyDescent="0.2">
      <c r="C220" s="266"/>
      <c r="D220" s="266"/>
      <c r="E220" s="266"/>
      <c r="F220" s="266"/>
      <c r="G220" s="266"/>
      <c r="H220" s="266"/>
      <c r="I220" s="266"/>
      <c r="J220" s="266"/>
      <c r="K220" s="266"/>
      <c r="L220" s="266"/>
      <c r="M220" s="266"/>
      <c r="N220" s="266"/>
    </row>
    <row r="221" spans="3:14" s="237" customFormat="1" x14ac:dyDescent="0.2">
      <c r="C221" s="266"/>
      <c r="D221" s="266"/>
      <c r="E221" s="266"/>
      <c r="F221" s="266"/>
      <c r="G221" s="266"/>
      <c r="H221" s="266"/>
      <c r="I221" s="266"/>
      <c r="J221" s="266"/>
      <c r="K221" s="266"/>
      <c r="L221" s="266"/>
      <c r="M221" s="266"/>
      <c r="N221" s="266"/>
    </row>
    <row r="222" spans="3:14" s="237" customFormat="1" x14ac:dyDescent="0.2">
      <c r="C222" s="266"/>
      <c r="D222" s="266"/>
      <c r="E222" s="266"/>
      <c r="F222" s="266"/>
      <c r="G222" s="266"/>
      <c r="H222" s="266"/>
      <c r="I222" s="266"/>
      <c r="J222" s="266"/>
      <c r="K222" s="266"/>
      <c r="L222" s="266"/>
      <c r="M222" s="266"/>
      <c r="N222" s="266"/>
    </row>
    <row r="223" spans="3:14" s="237" customFormat="1" x14ac:dyDescent="0.2">
      <c r="C223" s="266"/>
      <c r="D223" s="266"/>
      <c r="E223" s="266"/>
      <c r="F223" s="266"/>
      <c r="G223" s="266"/>
      <c r="H223" s="266"/>
      <c r="I223" s="266"/>
      <c r="J223" s="266"/>
      <c r="K223" s="266"/>
      <c r="L223" s="266"/>
      <c r="M223" s="266"/>
      <c r="N223" s="266"/>
    </row>
    <row r="224" spans="3:14" s="237" customFormat="1" x14ac:dyDescent="0.2">
      <c r="C224" s="266"/>
      <c r="D224" s="266"/>
      <c r="E224" s="266"/>
      <c r="F224" s="266"/>
      <c r="G224" s="266"/>
      <c r="H224" s="266"/>
      <c r="I224" s="266"/>
      <c r="J224" s="266"/>
      <c r="K224" s="266"/>
      <c r="L224" s="266"/>
      <c r="M224" s="266"/>
      <c r="N224" s="266"/>
    </row>
    <row r="225" spans="3:14" s="237" customFormat="1" x14ac:dyDescent="0.2">
      <c r="C225" s="266"/>
      <c r="D225" s="266"/>
      <c r="E225" s="266"/>
      <c r="F225" s="266"/>
      <c r="G225" s="266"/>
      <c r="H225" s="266"/>
      <c r="I225" s="266"/>
      <c r="J225" s="266"/>
      <c r="K225" s="266"/>
      <c r="L225" s="266"/>
      <c r="M225" s="266"/>
      <c r="N225" s="266"/>
    </row>
    <row r="226" spans="3:14" s="237" customFormat="1" x14ac:dyDescent="0.2">
      <c r="C226" s="266"/>
      <c r="D226" s="266"/>
      <c r="E226" s="266"/>
      <c r="F226" s="266"/>
      <c r="G226" s="266"/>
      <c r="H226" s="266"/>
      <c r="I226" s="266"/>
      <c r="J226" s="266"/>
      <c r="K226" s="266"/>
      <c r="L226" s="266"/>
      <c r="M226" s="266"/>
      <c r="N226" s="266"/>
    </row>
    <row r="227" spans="3:14" s="237" customFormat="1" x14ac:dyDescent="0.2">
      <c r="C227" s="266"/>
      <c r="D227" s="266"/>
      <c r="E227" s="266"/>
      <c r="F227" s="266"/>
      <c r="G227" s="266"/>
      <c r="H227" s="266"/>
      <c r="I227" s="266"/>
      <c r="J227" s="266"/>
      <c r="K227" s="266"/>
      <c r="L227" s="266"/>
      <c r="M227" s="266"/>
      <c r="N227" s="266"/>
    </row>
    <row r="228" spans="3:14" s="237" customFormat="1" x14ac:dyDescent="0.2">
      <c r="C228" s="266"/>
      <c r="D228" s="266"/>
      <c r="E228" s="266"/>
      <c r="F228" s="266"/>
      <c r="G228" s="266"/>
      <c r="H228" s="266"/>
      <c r="I228" s="266"/>
      <c r="J228" s="266"/>
      <c r="K228" s="266"/>
      <c r="L228" s="266"/>
      <c r="M228" s="266"/>
      <c r="N228" s="266"/>
    </row>
    <row r="229" spans="3:14" s="237" customFormat="1" x14ac:dyDescent="0.2">
      <c r="C229" s="266"/>
      <c r="D229" s="266"/>
      <c r="E229" s="266"/>
      <c r="F229" s="266"/>
      <c r="G229" s="266"/>
      <c r="H229" s="266"/>
      <c r="I229" s="266"/>
      <c r="J229" s="266"/>
      <c r="K229" s="266"/>
      <c r="L229" s="266"/>
      <c r="M229" s="266"/>
      <c r="N229" s="266"/>
    </row>
    <row r="230" spans="3:14" s="237" customFormat="1" x14ac:dyDescent="0.2">
      <c r="C230" s="266"/>
      <c r="D230" s="266"/>
      <c r="E230" s="266"/>
      <c r="F230" s="266"/>
      <c r="G230" s="266"/>
      <c r="H230" s="266"/>
      <c r="I230" s="266"/>
      <c r="J230" s="266"/>
      <c r="K230" s="266"/>
      <c r="L230" s="266"/>
      <c r="M230" s="266"/>
      <c r="N230" s="266"/>
    </row>
    <row r="231" spans="3:14" s="237" customFormat="1" x14ac:dyDescent="0.2">
      <c r="C231" s="266"/>
      <c r="D231" s="266"/>
      <c r="E231" s="266"/>
      <c r="F231" s="266"/>
      <c r="G231" s="266"/>
      <c r="H231" s="266"/>
      <c r="I231" s="266"/>
      <c r="J231" s="266"/>
      <c r="K231" s="266"/>
      <c r="L231" s="266"/>
      <c r="M231" s="266"/>
      <c r="N231" s="266"/>
    </row>
    <row r="232" spans="3:14" s="237" customFormat="1" x14ac:dyDescent="0.2">
      <c r="C232" s="266"/>
      <c r="D232" s="266"/>
      <c r="E232" s="266"/>
      <c r="F232" s="266"/>
      <c r="G232" s="266"/>
      <c r="H232" s="266"/>
      <c r="I232" s="266"/>
      <c r="J232" s="266"/>
      <c r="K232" s="266"/>
      <c r="L232" s="266"/>
      <c r="M232" s="266"/>
      <c r="N232" s="266"/>
    </row>
    <row r="233" spans="3:14" s="237" customFormat="1" x14ac:dyDescent="0.2">
      <c r="C233" s="266"/>
      <c r="D233" s="266"/>
      <c r="E233" s="266"/>
      <c r="F233" s="266"/>
      <c r="G233" s="266"/>
      <c r="H233" s="266"/>
      <c r="I233" s="266"/>
      <c r="J233" s="266"/>
      <c r="K233" s="266"/>
      <c r="L233" s="266"/>
      <c r="M233" s="266"/>
      <c r="N233" s="266"/>
    </row>
    <row r="234" spans="3:14" s="237" customFormat="1" x14ac:dyDescent="0.2">
      <c r="C234" s="266"/>
      <c r="D234" s="266"/>
      <c r="E234" s="266"/>
      <c r="F234" s="266"/>
      <c r="G234" s="266"/>
      <c r="H234" s="266"/>
      <c r="I234" s="266"/>
      <c r="J234" s="266"/>
      <c r="K234" s="266"/>
      <c r="L234" s="266"/>
      <c r="M234" s="266"/>
      <c r="N234" s="266"/>
    </row>
    <row r="235" spans="3:14" s="237" customFormat="1" x14ac:dyDescent="0.2">
      <c r="C235" s="266"/>
      <c r="D235" s="266"/>
      <c r="E235" s="266"/>
      <c r="F235" s="266"/>
      <c r="G235" s="266"/>
      <c r="H235" s="266"/>
      <c r="I235" s="266"/>
      <c r="J235" s="266"/>
      <c r="K235" s="266"/>
      <c r="L235" s="266"/>
      <c r="M235" s="266"/>
      <c r="N235" s="266"/>
    </row>
    <row r="236" spans="3:14" s="237" customFormat="1" x14ac:dyDescent="0.2">
      <c r="C236" s="266"/>
      <c r="D236" s="266"/>
      <c r="E236" s="266"/>
      <c r="F236" s="266"/>
      <c r="G236" s="266"/>
      <c r="H236" s="266"/>
      <c r="I236" s="266"/>
      <c r="J236" s="266"/>
      <c r="K236" s="266"/>
      <c r="L236" s="266"/>
      <c r="M236" s="266"/>
      <c r="N236" s="266"/>
    </row>
    <row r="237" spans="3:14" s="237" customFormat="1" x14ac:dyDescent="0.2">
      <c r="C237" s="266"/>
      <c r="D237" s="266"/>
      <c r="E237" s="266"/>
      <c r="F237" s="266"/>
      <c r="G237" s="266"/>
      <c r="H237" s="266"/>
      <c r="I237" s="266"/>
      <c r="J237" s="266"/>
      <c r="K237" s="266"/>
      <c r="L237" s="266"/>
      <c r="M237" s="266"/>
      <c r="N237" s="266"/>
    </row>
    <row r="238" spans="3:14" s="237" customFormat="1" x14ac:dyDescent="0.2">
      <c r="C238" s="266"/>
      <c r="D238" s="266"/>
      <c r="E238" s="266"/>
      <c r="F238" s="266"/>
      <c r="G238" s="266"/>
      <c r="H238" s="266"/>
      <c r="I238" s="266"/>
      <c r="J238" s="266"/>
      <c r="K238" s="266"/>
      <c r="L238" s="266"/>
      <c r="M238" s="266"/>
      <c r="N238" s="266"/>
    </row>
    <row r="239" spans="3:14" s="237" customFormat="1" x14ac:dyDescent="0.2">
      <c r="C239" s="266"/>
      <c r="D239" s="266"/>
      <c r="E239" s="266"/>
      <c r="F239" s="266"/>
      <c r="G239" s="266"/>
      <c r="H239" s="266"/>
      <c r="I239" s="266"/>
      <c r="J239" s="266"/>
      <c r="K239" s="266"/>
      <c r="L239" s="266"/>
      <c r="M239" s="266"/>
      <c r="N239" s="266"/>
    </row>
    <row r="240" spans="3:14" s="237" customFormat="1" x14ac:dyDescent="0.2">
      <c r="C240" s="266"/>
      <c r="D240" s="266"/>
      <c r="E240" s="266"/>
      <c r="F240" s="266"/>
      <c r="G240" s="266"/>
      <c r="H240" s="266"/>
      <c r="I240" s="266"/>
      <c r="J240" s="266"/>
      <c r="K240" s="266"/>
      <c r="L240" s="266"/>
      <c r="M240" s="266"/>
      <c r="N240" s="266"/>
    </row>
    <row r="241" spans="3:14" s="237" customFormat="1" x14ac:dyDescent="0.2">
      <c r="C241" s="266"/>
      <c r="D241" s="266"/>
      <c r="E241" s="266"/>
      <c r="F241" s="266"/>
      <c r="G241" s="266"/>
      <c r="H241" s="266"/>
      <c r="I241" s="266"/>
      <c r="J241" s="266"/>
      <c r="K241" s="266"/>
      <c r="L241" s="266"/>
      <c r="M241" s="266"/>
      <c r="N241" s="266"/>
    </row>
    <row r="242" spans="3:14" s="237" customFormat="1" x14ac:dyDescent="0.2">
      <c r="C242" s="266"/>
      <c r="D242" s="266"/>
      <c r="E242" s="266"/>
      <c r="F242" s="266"/>
      <c r="G242" s="266"/>
      <c r="H242" s="266"/>
      <c r="I242" s="266"/>
      <c r="J242" s="266"/>
      <c r="K242" s="266"/>
      <c r="L242" s="266"/>
      <c r="M242" s="266"/>
      <c r="N242" s="266"/>
    </row>
    <row r="243" spans="3:14" s="237" customFormat="1" x14ac:dyDescent="0.2">
      <c r="C243" s="266"/>
      <c r="D243" s="266"/>
      <c r="E243" s="266"/>
      <c r="F243" s="266"/>
      <c r="G243" s="266"/>
      <c r="H243" s="266"/>
      <c r="I243" s="266"/>
      <c r="J243" s="266"/>
      <c r="K243" s="266"/>
      <c r="L243" s="266"/>
      <c r="M243" s="266"/>
      <c r="N243" s="266"/>
    </row>
    <row r="244" spans="3:14" s="237" customFormat="1" x14ac:dyDescent="0.2">
      <c r="C244" s="266"/>
      <c r="D244" s="266"/>
      <c r="E244" s="266"/>
      <c r="F244" s="266"/>
      <c r="G244" s="266"/>
      <c r="H244" s="266"/>
      <c r="I244" s="266"/>
      <c r="J244" s="266"/>
      <c r="K244" s="266"/>
      <c r="L244" s="266"/>
      <c r="M244" s="266"/>
      <c r="N244" s="266"/>
    </row>
    <row r="245" spans="3:14" s="237" customFormat="1" x14ac:dyDescent="0.2">
      <c r="C245" s="266"/>
      <c r="D245" s="266"/>
      <c r="E245" s="266"/>
      <c r="F245" s="266"/>
      <c r="G245" s="266"/>
      <c r="H245" s="266"/>
      <c r="I245" s="266"/>
      <c r="J245" s="266"/>
      <c r="K245" s="266"/>
      <c r="L245" s="266"/>
      <c r="M245" s="266"/>
      <c r="N245" s="266"/>
    </row>
    <row r="246" spans="3:14" s="237" customFormat="1" x14ac:dyDescent="0.2">
      <c r="C246" s="266"/>
      <c r="D246" s="266"/>
      <c r="E246" s="266"/>
      <c r="F246" s="266"/>
      <c r="G246" s="266"/>
      <c r="H246" s="266"/>
      <c r="I246" s="266"/>
      <c r="J246" s="266"/>
      <c r="K246" s="266"/>
      <c r="L246" s="266"/>
      <c r="M246" s="266"/>
      <c r="N246" s="266"/>
    </row>
    <row r="247" spans="3:14" s="237" customFormat="1" x14ac:dyDescent="0.2">
      <c r="C247" s="266"/>
      <c r="D247" s="266"/>
      <c r="E247" s="266"/>
      <c r="F247" s="266"/>
      <c r="G247" s="266"/>
      <c r="H247" s="266"/>
      <c r="I247" s="266"/>
      <c r="J247" s="266"/>
      <c r="K247" s="266"/>
      <c r="L247" s="266"/>
      <c r="M247" s="266"/>
      <c r="N247" s="266"/>
    </row>
    <row r="248" spans="3:14" s="237" customFormat="1" x14ac:dyDescent="0.2">
      <c r="C248" s="266"/>
      <c r="D248" s="266"/>
      <c r="E248" s="266"/>
      <c r="F248" s="266"/>
      <c r="G248" s="266"/>
      <c r="H248" s="266"/>
      <c r="I248" s="266"/>
      <c r="J248" s="266"/>
      <c r="K248" s="266"/>
      <c r="L248" s="266"/>
      <c r="M248" s="266"/>
      <c r="N248" s="266"/>
    </row>
    <row r="249" spans="3:14" s="237" customFormat="1" x14ac:dyDescent="0.2">
      <c r="C249" s="266"/>
      <c r="D249" s="266"/>
      <c r="E249" s="266"/>
      <c r="F249" s="266"/>
      <c r="G249" s="266"/>
      <c r="H249" s="266"/>
      <c r="I249" s="266"/>
      <c r="J249" s="266"/>
      <c r="K249" s="266"/>
      <c r="L249" s="266"/>
      <c r="M249" s="266"/>
      <c r="N249" s="266"/>
    </row>
    <row r="250" spans="3:14" s="237" customFormat="1" x14ac:dyDescent="0.2">
      <c r="C250" s="266"/>
      <c r="D250" s="266"/>
      <c r="E250" s="266"/>
      <c r="F250" s="266"/>
      <c r="G250" s="266"/>
      <c r="H250" s="266"/>
      <c r="I250" s="266"/>
      <c r="J250" s="266"/>
      <c r="K250" s="266"/>
      <c r="L250" s="266"/>
      <c r="M250" s="266"/>
      <c r="N250" s="266"/>
    </row>
    <row r="251" spans="3:14" s="237" customFormat="1" x14ac:dyDescent="0.2">
      <c r="C251" s="266"/>
      <c r="D251" s="266"/>
      <c r="E251" s="266"/>
      <c r="F251" s="266"/>
      <c r="G251" s="266"/>
      <c r="H251" s="266"/>
      <c r="I251" s="266"/>
      <c r="J251" s="266"/>
      <c r="K251" s="266"/>
      <c r="L251" s="266"/>
      <c r="M251" s="266"/>
      <c r="N251" s="266"/>
    </row>
    <row r="252" spans="3:14" s="237" customFormat="1" x14ac:dyDescent="0.2">
      <c r="C252" s="266"/>
      <c r="D252" s="266"/>
      <c r="E252" s="266"/>
      <c r="F252" s="266"/>
      <c r="G252" s="266"/>
      <c r="H252" s="266"/>
      <c r="I252" s="266"/>
      <c r="J252" s="266"/>
      <c r="K252" s="266"/>
      <c r="L252" s="266"/>
      <c r="M252" s="266"/>
      <c r="N252" s="266"/>
    </row>
    <row r="253" spans="3:14" s="237" customFormat="1" x14ac:dyDescent="0.2">
      <c r="C253" s="266"/>
      <c r="D253" s="266"/>
      <c r="E253" s="266"/>
      <c r="F253" s="266"/>
      <c r="G253" s="266"/>
      <c r="H253" s="266"/>
      <c r="I253" s="266"/>
      <c r="J253" s="266"/>
      <c r="K253" s="266"/>
      <c r="L253" s="266"/>
      <c r="M253" s="266"/>
      <c r="N253" s="266"/>
    </row>
    <row r="254" spans="3:14" s="237" customFormat="1" x14ac:dyDescent="0.2">
      <c r="C254" s="266"/>
      <c r="D254" s="266"/>
      <c r="E254" s="266"/>
      <c r="F254" s="266"/>
      <c r="G254" s="266"/>
      <c r="H254" s="266"/>
      <c r="I254" s="266"/>
      <c r="J254" s="266"/>
      <c r="K254" s="266"/>
      <c r="L254" s="266"/>
      <c r="M254" s="266"/>
      <c r="N254" s="266"/>
    </row>
    <row r="255" spans="3:14" s="237" customFormat="1" x14ac:dyDescent="0.2">
      <c r="C255" s="266"/>
      <c r="D255" s="266"/>
      <c r="E255" s="266"/>
      <c r="F255" s="266"/>
      <c r="G255" s="266"/>
      <c r="H255" s="266"/>
      <c r="I255" s="266"/>
      <c r="J255" s="266"/>
      <c r="K255" s="266"/>
      <c r="L255" s="266"/>
      <c r="M255" s="266"/>
      <c r="N255" s="266"/>
    </row>
    <row r="256" spans="3:14" s="237" customFormat="1" x14ac:dyDescent="0.2">
      <c r="C256" s="266"/>
      <c r="D256" s="266"/>
      <c r="E256" s="266"/>
      <c r="F256" s="266"/>
      <c r="G256" s="266"/>
      <c r="H256" s="266"/>
      <c r="I256" s="266"/>
      <c r="J256" s="266"/>
      <c r="K256" s="266"/>
      <c r="L256" s="266"/>
      <c r="M256" s="266"/>
      <c r="N256" s="266"/>
    </row>
    <row r="257" spans="3:14" s="237" customFormat="1" x14ac:dyDescent="0.2">
      <c r="C257" s="266"/>
      <c r="D257" s="266"/>
      <c r="E257" s="266"/>
      <c r="F257" s="266"/>
      <c r="G257" s="266"/>
      <c r="H257" s="266"/>
      <c r="I257" s="266"/>
      <c r="J257" s="266"/>
      <c r="K257" s="266"/>
      <c r="L257" s="266"/>
      <c r="M257" s="266"/>
      <c r="N257" s="266"/>
    </row>
    <row r="258" spans="3:14" s="237" customFormat="1" x14ac:dyDescent="0.2">
      <c r="C258" s="266"/>
      <c r="D258" s="266"/>
      <c r="E258" s="266"/>
      <c r="F258" s="266"/>
      <c r="G258" s="266"/>
      <c r="H258" s="266"/>
      <c r="I258" s="266"/>
      <c r="J258" s="266"/>
      <c r="K258" s="266"/>
      <c r="L258" s="266"/>
      <c r="M258" s="266"/>
      <c r="N258" s="266"/>
    </row>
    <row r="259" spans="3:14" s="237" customFormat="1" x14ac:dyDescent="0.2">
      <c r="C259" s="266"/>
      <c r="D259" s="266"/>
      <c r="E259" s="266"/>
      <c r="F259" s="266"/>
      <c r="G259" s="266"/>
      <c r="H259" s="266"/>
      <c r="I259" s="266"/>
      <c r="J259" s="266"/>
      <c r="K259" s="266"/>
      <c r="L259" s="266"/>
      <c r="M259" s="266"/>
      <c r="N259" s="266"/>
    </row>
    <row r="260" spans="3:14" s="237" customFormat="1" x14ac:dyDescent="0.2">
      <c r="C260" s="266"/>
      <c r="D260" s="266"/>
      <c r="E260" s="266"/>
      <c r="F260" s="266"/>
      <c r="G260" s="266"/>
      <c r="H260" s="266"/>
      <c r="I260" s="266"/>
      <c r="J260" s="266"/>
      <c r="K260" s="266"/>
      <c r="L260" s="266"/>
      <c r="M260" s="266"/>
      <c r="N260" s="266"/>
    </row>
    <row r="261" spans="3:14" s="237" customFormat="1" x14ac:dyDescent="0.2">
      <c r="C261" s="266"/>
      <c r="D261" s="266"/>
      <c r="E261" s="266"/>
      <c r="F261" s="266"/>
      <c r="G261" s="266"/>
      <c r="H261" s="266"/>
      <c r="I261" s="266"/>
      <c r="J261" s="266"/>
      <c r="K261" s="266"/>
      <c r="L261" s="266"/>
      <c r="M261" s="266"/>
      <c r="N261" s="266"/>
    </row>
    <row r="262" spans="3:14" s="237" customFormat="1" x14ac:dyDescent="0.2">
      <c r="C262" s="266"/>
      <c r="D262" s="266"/>
      <c r="E262" s="266"/>
      <c r="F262" s="266"/>
      <c r="G262" s="266"/>
      <c r="H262" s="266"/>
      <c r="I262" s="266"/>
      <c r="J262" s="266"/>
      <c r="K262" s="266"/>
      <c r="L262" s="266"/>
      <c r="M262" s="266"/>
      <c r="N262" s="266"/>
    </row>
  </sheetData>
  <protectedRanges>
    <protectedRange sqref="B14:B15 B32:B33" name="Rango1_1"/>
  </protectedRanges>
  <mergeCells count="39">
    <mergeCell ref="A2:N2"/>
    <mergeCell ref="A4:N4"/>
    <mergeCell ref="A5:N5"/>
    <mergeCell ref="A6:A7"/>
    <mergeCell ref="B6:B7"/>
    <mergeCell ref="C6:C7"/>
    <mergeCell ref="D6:D7"/>
    <mergeCell ref="E6:E7"/>
    <mergeCell ref="J6:J7"/>
    <mergeCell ref="A23:N23"/>
    <mergeCell ref="A24:A25"/>
    <mergeCell ref="B24:B25"/>
    <mergeCell ref="A3:N3"/>
    <mergeCell ref="A21:B21"/>
    <mergeCell ref="K6:K7"/>
    <mergeCell ref="L6:L7"/>
    <mergeCell ref="M6:M7"/>
    <mergeCell ref="N6:N7"/>
    <mergeCell ref="A8:B8"/>
    <mergeCell ref="A13:B13"/>
    <mergeCell ref="F6:F7"/>
    <mergeCell ref="G6:G7"/>
    <mergeCell ref="H6:H7"/>
    <mergeCell ref="I6:I7"/>
    <mergeCell ref="M24:M25"/>
    <mergeCell ref="N24:N25"/>
    <mergeCell ref="A26:B26"/>
    <mergeCell ref="A31:B31"/>
    <mergeCell ref="A39:B39"/>
    <mergeCell ref="H24:H25"/>
    <mergeCell ref="I24:I25"/>
    <mergeCell ref="J24:J25"/>
    <mergeCell ref="K24:K25"/>
    <mergeCell ref="L24:L25"/>
    <mergeCell ref="C24:C25"/>
    <mergeCell ref="D24:D25"/>
    <mergeCell ref="E24:E25"/>
    <mergeCell ref="F24:F25"/>
    <mergeCell ref="G24:G25"/>
  </mergeCells>
  <phoneticPr fontId="0" type="noConversion"/>
  <pageMargins left="0.16" right="0.16" top="0.75" bottom="0.75" header="0.3" footer="0.3"/>
  <pageSetup scale="9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BASE!$F$3:$F$4</xm:f>
          </x14:formula1>
          <xm:sqref>A14:A20 A32:A38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C248"/>
  <sheetViews>
    <sheetView topLeftCell="A4" zoomScaleNormal="100" workbookViewId="0">
      <selection activeCell="I9" sqref="I9"/>
    </sheetView>
  </sheetViews>
  <sheetFormatPr baseColWidth="10" defaultRowHeight="12.75" x14ac:dyDescent="0.2"/>
  <cols>
    <col min="1" max="1" width="12" customWidth="1"/>
    <col min="2" max="2" width="27" customWidth="1"/>
    <col min="3" max="3" width="14" style="277" customWidth="1"/>
    <col min="4" max="4" width="14.85546875" style="277" customWidth="1"/>
    <col min="5" max="5" width="13.7109375" style="277" customWidth="1"/>
    <col min="6" max="13" width="12.7109375" style="277" customWidth="1"/>
    <col min="14" max="14" width="12.85546875" style="277" customWidth="1"/>
    <col min="15" max="81" width="11.42578125" style="237"/>
  </cols>
  <sheetData>
    <row r="1" spans="1:14" x14ac:dyDescent="0.2">
      <c r="A1" s="237"/>
      <c r="B1" s="237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</row>
    <row r="2" spans="1:14" ht="20.25" customHeight="1" x14ac:dyDescent="0.25">
      <c r="A2" s="1255" t="s">
        <v>693</v>
      </c>
      <c r="B2" s="1255"/>
      <c r="C2" s="1255"/>
      <c r="D2" s="1255"/>
      <c r="E2" s="1255"/>
      <c r="F2" s="1255"/>
      <c r="G2" s="1255"/>
      <c r="H2" s="1255"/>
      <c r="I2" s="1255"/>
      <c r="J2" s="1255"/>
      <c r="K2" s="1255"/>
      <c r="L2" s="1255"/>
      <c r="M2" s="1255"/>
      <c r="N2" s="1255"/>
    </row>
    <row r="3" spans="1:14" ht="20.25" customHeight="1" x14ac:dyDescent="0.25">
      <c r="A3" s="1254" t="str">
        <f>+PRESUPUESTO!B2</f>
        <v>MEDICINA PREGRADO</v>
      </c>
      <c r="B3" s="1254"/>
      <c r="C3" s="1254"/>
      <c r="D3" s="1254"/>
      <c r="E3" s="1254"/>
      <c r="F3" s="1254"/>
      <c r="G3" s="1254"/>
      <c r="H3" s="1254"/>
      <c r="I3" s="1254"/>
      <c r="J3" s="1254"/>
      <c r="K3" s="1254"/>
      <c r="L3" s="1254"/>
      <c r="M3" s="1254"/>
      <c r="N3" s="1254"/>
    </row>
    <row r="4" spans="1:14" ht="20.25" customHeight="1" thickBot="1" x14ac:dyDescent="0.3">
      <c r="A4" s="1256">
        <v>2018</v>
      </c>
      <c r="B4" s="1256"/>
      <c r="C4" s="1256"/>
      <c r="D4" s="1256"/>
      <c r="E4" s="1256"/>
      <c r="F4" s="1256"/>
      <c r="G4" s="1256"/>
      <c r="H4" s="1256"/>
      <c r="I4" s="1256"/>
      <c r="J4" s="1256"/>
      <c r="K4" s="1256"/>
      <c r="L4" s="1256"/>
      <c r="M4" s="1256"/>
      <c r="N4" s="1256"/>
    </row>
    <row r="5" spans="1:14" ht="12.75" customHeight="1" thickBot="1" x14ac:dyDescent="0.25">
      <c r="A5" s="1268" t="s">
        <v>169</v>
      </c>
      <c r="B5" s="1269"/>
      <c r="C5" s="1269"/>
      <c r="D5" s="1269"/>
      <c r="E5" s="1269"/>
      <c r="F5" s="1269"/>
      <c r="G5" s="1269"/>
      <c r="H5" s="1269"/>
      <c r="I5" s="1269"/>
      <c r="J5" s="1269"/>
      <c r="K5" s="1269"/>
      <c r="L5" s="1269"/>
      <c r="M5" s="1269"/>
      <c r="N5" s="1270"/>
    </row>
    <row r="6" spans="1:14" ht="12.75" customHeight="1" x14ac:dyDescent="0.2">
      <c r="A6" s="1273" t="s">
        <v>418</v>
      </c>
      <c r="B6" s="1259" t="s">
        <v>441</v>
      </c>
      <c r="C6" s="1249" t="s">
        <v>666</v>
      </c>
      <c r="D6" s="1249" t="s">
        <v>666</v>
      </c>
      <c r="E6" s="1249" t="s">
        <v>666</v>
      </c>
      <c r="F6" s="1249" t="s">
        <v>666</v>
      </c>
      <c r="G6" s="1249" t="s">
        <v>666</v>
      </c>
      <c r="H6" s="1249" t="s">
        <v>666</v>
      </c>
      <c r="I6" s="1249" t="s">
        <v>666</v>
      </c>
      <c r="J6" s="1249" t="s">
        <v>666</v>
      </c>
      <c r="K6" s="1249" t="s">
        <v>666</v>
      </c>
      <c r="L6" s="1249" t="s">
        <v>666</v>
      </c>
      <c r="M6" s="1249" t="s">
        <v>666</v>
      </c>
      <c r="N6" s="1249" t="s">
        <v>869</v>
      </c>
    </row>
    <row r="7" spans="1:14" ht="46.9" customHeight="1" thickBot="1" x14ac:dyDescent="0.25">
      <c r="A7" s="1274"/>
      <c r="B7" s="1260"/>
      <c r="C7" s="1250"/>
      <c r="D7" s="1250"/>
      <c r="E7" s="1250"/>
      <c r="F7" s="1250"/>
      <c r="G7" s="1250"/>
      <c r="H7" s="1250"/>
      <c r="I7" s="1250"/>
      <c r="J7" s="1250"/>
      <c r="K7" s="1250"/>
      <c r="L7" s="1250"/>
      <c r="M7" s="1250"/>
      <c r="N7" s="1250"/>
    </row>
    <row r="8" spans="1:14" ht="57.75" customHeight="1" thickBot="1" x14ac:dyDescent="0.25">
      <c r="A8" s="1263" t="s">
        <v>774</v>
      </c>
      <c r="B8" s="1264"/>
      <c r="C8" s="290"/>
      <c r="D8" s="290"/>
      <c r="E8" s="992"/>
      <c r="F8" s="267"/>
      <c r="G8" s="267"/>
      <c r="H8" s="267"/>
      <c r="I8" s="267"/>
      <c r="J8" s="267"/>
      <c r="K8" s="267"/>
      <c r="L8" s="267"/>
      <c r="M8" s="267"/>
      <c r="N8" s="268"/>
    </row>
    <row r="9" spans="1:14" ht="20.45" customHeight="1" x14ac:dyDescent="0.2">
      <c r="A9" s="249"/>
      <c r="B9" s="245" t="s">
        <v>469</v>
      </c>
      <c r="C9" s="291" t="s">
        <v>1274</v>
      </c>
      <c r="D9" s="291" t="s">
        <v>1276</v>
      </c>
      <c r="E9" s="291" t="s">
        <v>1277</v>
      </c>
      <c r="F9" s="986" t="s">
        <v>1279</v>
      </c>
      <c r="G9" s="986" t="s">
        <v>1280</v>
      </c>
      <c r="H9" s="986" t="s">
        <v>1283</v>
      </c>
      <c r="I9" s="269" t="s">
        <v>1319</v>
      </c>
      <c r="J9" s="269"/>
      <c r="K9" s="269"/>
      <c r="L9" s="269"/>
      <c r="M9" s="269"/>
      <c r="N9" s="270"/>
    </row>
    <row r="10" spans="1:14" x14ac:dyDescent="0.2">
      <c r="A10" s="239"/>
      <c r="B10" s="245" t="s">
        <v>474</v>
      </c>
      <c r="C10" s="291">
        <v>150</v>
      </c>
      <c r="D10" s="291">
        <v>50</v>
      </c>
      <c r="E10" s="291">
        <v>500</v>
      </c>
      <c r="F10" s="269">
        <v>240</v>
      </c>
      <c r="G10" s="269">
        <v>240</v>
      </c>
      <c r="H10" s="269">
        <v>200</v>
      </c>
      <c r="I10" s="269">
        <v>120</v>
      </c>
      <c r="J10" s="269"/>
      <c r="K10" s="269"/>
      <c r="L10" s="269"/>
      <c r="M10" s="269"/>
      <c r="N10" s="270"/>
    </row>
    <row r="11" spans="1:14" ht="13.5" thickBot="1" x14ac:dyDescent="0.25">
      <c r="A11" s="250"/>
      <c r="B11" s="245" t="s">
        <v>470</v>
      </c>
      <c r="C11" s="986" t="s">
        <v>1275</v>
      </c>
      <c r="D11" s="986" t="s">
        <v>1275</v>
      </c>
      <c r="E11" s="986" t="s">
        <v>1278</v>
      </c>
      <c r="F11" s="986" t="s">
        <v>1278</v>
      </c>
      <c r="G11" s="986" t="s">
        <v>1278</v>
      </c>
      <c r="H11" s="986" t="s">
        <v>1284</v>
      </c>
      <c r="I11" s="269" t="s">
        <v>1320</v>
      </c>
      <c r="J11" s="269"/>
      <c r="K11" s="269"/>
      <c r="L11" s="269"/>
      <c r="M11" s="269"/>
      <c r="N11" s="270"/>
    </row>
    <row r="12" spans="1:14" ht="13.5" thickBot="1" x14ac:dyDescent="0.25">
      <c r="A12" s="247"/>
      <c r="B12" s="245" t="s">
        <v>472</v>
      </c>
      <c r="C12" s="304" t="s">
        <v>169</v>
      </c>
      <c r="D12" s="304" t="s">
        <v>169</v>
      </c>
      <c r="E12" s="304" t="s">
        <v>169</v>
      </c>
      <c r="F12" s="280"/>
      <c r="G12" s="280"/>
      <c r="H12" s="280"/>
      <c r="I12" s="280"/>
      <c r="J12" s="280"/>
      <c r="K12" s="280"/>
      <c r="L12" s="280"/>
      <c r="M12" s="280"/>
      <c r="N12" s="270"/>
    </row>
    <row r="13" spans="1:14" ht="13.5" thickBot="1" x14ac:dyDescent="0.25">
      <c r="A13" s="1253" t="s">
        <v>445</v>
      </c>
      <c r="B13" s="1272"/>
      <c r="C13" s="899"/>
      <c r="D13" s="899"/>
      <c r="E13" s="899"/>
      <c r="F13" s="899"/>
      <c r="G13" s="899"/>
      <c r="H13" s="899"/>
      <c r="I13" s="899"/>
      <c r="J13" s="899"/>
      <c r="K13" s="899"/>
      <c r="L13" s="899"/>
      <c r="M13" s="899"/>
      <c r="N13" s="268"/>
    </row>
    <row r="14" spans="1:14" s="237" customFormat="1" x14ac:dyDescent="0.2">
      <c r="A14" s="912">
        <v>5110950000</v>
      </c>
      <c r="B14" s="902" t="s">
        <v>223</v>
      </c>
      <c r="C14" s="991"/>
      <c r="D14" s="991"/>
      <c r="E14" s="991"/>
      <c r="F14" s="904"/>
      <c r="G14" s="904"/>
      <c r="H14" s="904"/>
      <c r="I14" s="904">
        <v>3000000</v>
      </c>
      <c r="J14" s="904" t="s">
        <v>169</v>
      </c>
      <c r="K14" s="904"/>
      <c r="L14" s="904"/>
      <c r="M14" s="904"/>
      <c r="N14" s="915">
        <f t="shared" ref="N14:N22" si="0">SUM(C14:M14)</f>
        <v>3000000</v>
      </c>
    </row>
    <row r="15" spans="1:14" s="237" customFormat="1" x14ac:dyDescent="0.2">
      <c r="A15" s="913">
        <v>5155050000</v>
      </c>
      <c r="B15" s="245" t="s">
        <v>420</v>
      </c>
      <c r="C15" s="305"/>
      <c r="D15" s="305"/>
      <c r="E15" s="305"/>
      <c r="F15" s="269"/>
      <c r="G15" s="269" t="s">
        <v>169</v>
      </c>
      <c r="H15" s="269" t="s">
        <v>169</v>
      </c>
      <c r="I15" s="269">
        <v>2500000</v>
      </c>
      <c r="J15" s="269"/>
      <c r="K15" s="269"/>
      <c r="L15" s="269"/>
      <c r="M15" s="269"/>
      <c r="N15" s="270">
        <f t="shared" si="0"/>
        <v>2500000</v>
      </c>
    </row>
    <row r="16" spans="1:14" s="237" customFormat="1" x14ac:dyDescent="0.2">
      <c r="A16" s="913">
        <v>5155150000</v>
      </c>
      <c r="B16" s="245" t="s">
        <v>473</v>
      </c>
      <c r="C16" s="305"/>
      <c r="D16" s="305"/>
      <c r="E16" s="305"/>
      <c r="F16" s="269"/>
      <c r="G16" s="269"/>
      <c r="H16" s="269"/>
      <c r="I16" s="269">
        <v>6000000</v>
      </c>
      <c r="J16" s="269"/>
      <c r="K16" s="269" t="s">
        <v>169</v>
      </c>
      <c r="L16" s="269"/>
      <c r="M16" s="269"/>
      <c r="N16" s="270">
        <f t="shared" si="0"/>
        <v>6000000</v>
      </c>
    </row>
    <row r="17" spans="1:14" s="237" customFormat="1" x14ac:dyDescent="0.2">
      <c r="A17" s="913">
        <v>5195200000</v>
      </c>
      <c r="B17" s="245" t="s">
        <v>451</v>
      </c>
      <c r="C17" s="991"/>
      <c r="D17" s="991"/>
      <c r="E17" s="991"/>
      <c r="F17" s="269"/>
      <c r="G17" s="269"/>
      <c r="H17" s="269"/>
      <c r="I17" s="269"/>
      <c r="J17" s="269"/>
      <c r="K17" s="269"/>
      <c r="L17" s="269" t="s">
        <v>169</v>
      </c>
      <c r="M17" s="269"/>
      <c r="N17" s="270">
        <f t="shared" si="0"/>
        <v>0</v>
      </c>
    </row>
    <row r="18" spans="1:14" s="237" customFormat="1" x14ac:dyDescent="0.2">
      <c r="A18" s="913">
        <v>5195450000</v>
      </c>
      <c r="B18" s="245" t="s">
        <v>454</v>
      </c>
      <c r="C18" s="305"/>
      <c r="D18" s="305"/>
      <c r="E18" s="305"/>
      <c r="F18" s="269"/>
      <c r="G18" s="269"/>
      <c r="H18" s="269"/>
      <c r="I18" s="269"/>
      <c r="J18" s="269"/>
      <c r="K18" s="269"/>
      <c r="L18" s="269"/>
      <c r="M18" s="269" t="s">
        <v>169</v>
      </c>
      <c r="N18" s="270">
        <f t="shared" si="0"/>
        <v>0</v>
      </c>
    </row>
    <row r="19" spans="1:14" s="237" customFormat="1" x14ac:dyDescent="0.2">
      <c r="A19" s="913">
        <v>5195300000</v>
      </c>
      <c r="B19" s="245" t="s">
        <v>453</v>
      </c>
      <c r="C19" s="305"/>
      <c r="D19" s="305"/>
      <c r="E19" s="305"/>
      <c r="F19" s="269"/>
      <c r="G19" s="269"/>
      <c r="H19" s="269"/>
      <c r="I19" s="269"/>
      <c r="J19" s="269"/>
      <c r="K19" s="269"/>
      <c r="L19" s="269"/>
      <c r="M19" s="269"/>
      <c r="N19" s="270">
        <f t="shared" si="0"/>
        <v>0</v>
      </c>
    </row>
    <row r="20" spans="1:14" s="237" customFormat="1" x14ac:dyDescent="0.2">
      <c r="A20" s="913">
        <v>5195950200</v>
      </c>
      <c r="B20" s="245" t="s">
        <v>455</v>
      </c>
      <c r="C20" s="305"/>
      <c r="D20" s="305"/>
      <c r="E20" s="305"/>
      <c r="F20" s="269"/>
      <c r="G20" s="269"/>
      <c r="H20" s="269"/>
      <c r="I20" s="269"/>
      <c r="J20" s="269"/>
      <c r="K20" s="269"/>
      <c r="L20" s="269"/>
      <c r="M20" s="269"/>
      <c r="N20" s="270">
        <f t="shared" si="0"/>
        <v>0</v>
      </c>
    </row>
    <row r="21" spans="1:14" s="237" customFormat="1" x14ac:dyDescent="0.2">
      <c r="A21" s="913">
        <v>5195950100</v>
      </c>
      <c r="B21" s="246" t="s">
        <v>235</v>
      </c>
      <c r="C21" s="305"/>
      <c r="D21" s="305"/>
      <c r="E21" s="305"/>
      <c r="F21" s="269"/>
      <c r="G21" s="269"/>
      <c r="H21" s="269"/>
      <c r="I21" s="269"/>
      <c r="J21" s="269"/>
      <c r="K21" s="269"/>
      <c r="L21" s="269"/>
      <c r="M21" s="269"/>
      <c r="N21" s="270">
        <f t="shared" si="0"/>
        <v>0</v>
      </c>
    </row>
    <row r="22" spans="1:14" s="237" customFormat="1" ht="13.5" thickBot="1" x14ac:dyDescent="0.25">
      <c r="A22" s="914">
        <v>5395950000</v>
      </c>
      <c r="B22" s="916" t="s">
        <v>457</v>
      </c>
      <c r="C22" s="917">
        <v>1500000</v>
      </c>
      <c r="D22" s="917">
        <v>1500000</v>
      </c>
      <c r="E22" s="917">
        <v>7000000</v>
      </c>
      <c r="F22" s="918">
        <v>4000000</v>
      </c>
      <c r="G22" s="918">
        <v>4000000</v>
      </c>
      <c r="H22" s="918">
        <v>4000000</v>
      </c>
      <c r="I22" s="918">
        <v>1700000</v>
      </c>
      <c r="J22" s="918" t="s">
        <v>169</v>
      </c>
      <c r="K22" s="918"/>
      <c r="L22" s="918"/>
      <c r="M22" s="918"/>
      <c r="N22" s="919">
        <f t="shared" si="0"/>
        <v>23700000</v>
      </c>
    </row>
    <row r="23" spans="1:14" s="237" customFormat="1" ht="13.5" thickBot="1" x14ac:dyDescent="0.25">
      <c r="A23" s="1265" t="s">
        <v>458</v>
      </c>
      <c r="B23" s="1267"/>
      <c r="C23" s="275">
        <f t="shared" ref="C23:M23" si="1">SUM(C14:C22)</f>
        <v>1500000</v>
      </c>
      <c r="D23" s="275">
        <f t="shared" si="1"/>
        <v>1500000</v>
      </c>
      <c r="E23" s="275">
        <f t="shared" si="1"/>
        <v>7000000</v>
      </c>
      <c r="F23" s="275">
        <f t="shared" si="1"/>
        <v>4000000</v>
      </c>
      <c r="G23" s="275">
        <f t="shared" si="1"/>
        <v>4000000</v>
      </c>
      <c r="H23" s="275">
        <f t="shared" si="1"/>
        <v>4000000</v>
      </c>
      <c r="I23" s="275">
        <f t="shared" si="1"/>
        <v>13200000</v>
      </c>
      <c r="J23" s="275">
        <f t="shared" si="1"/>
        <v>0</v>
      </c>
      <c r="K23" s="275">
        <f t="shared" si="1"/>
        <v>0</v>
      </c>
      <c r="L23" s="275">
        <f t="shared" si="1"/>
        <v>0</v>
      </c>
      <c r="M23" s="275">
        <f t="shared" si="1"/>
        <v>0</v>
      </c>
      <c r="N23" s="275">
        <f>SUM(C23:M23)</f>
        <v>35200000</v>
      </c>
    </row>
    <row r="24" spans="1:14" s="237" customFormat="1" x14ac:dyDescent="0.2">
      <c r="A24" s="1271"/>
      <c r="B24" s="1271"/>
      <c r="C24" s="1271"/>
      <c r="D24" s="1271"/>
      <c r="E24" s="1271"/>
      <c r="F24" s="1271"/>
      <c r="G24" s="1271"/>
      <c r="H24" s="1271"/>
      <c r="I24" s="1271"/>
      <c r="J24" s="1271"/>
      <c r="K24" s="1271"/>
      <c r="L24" s="1271"/>
      <c r="M24" s="1271"/>
      <c r="N24" s="1271"/>
    </row>
    <row r="25" spans="1:14" s="237" customFormat="1" x14ac:dyDescent="0.2">
      <c r="A25" s="555" t="s">
        <v>664</v>
      </c>
      <c r="B25" s="252"/>
      <c r="C25" s="276"/>
      <c r="D25" s="276"/>
      <c r="E25" s="276"/>
      <c r="F25" s="276"/>
      <c r="G25" s="276"/>
      <c r="H25" s="276"/>
      <c r="I25" s="276"/>
      <c r="J25" s="276"/>
      <c r="K25" s="276"/>
      <c r="L25" s="276"/>
      <c r="M25" s="276"/>
      <c r="N25" s="266"/>
    </row>
    <row r="26" spans="1:14" s="237" customFormat="1" x14ac:dyDescent="0.2">
      <c r="C26" s="266"/>
      <c r="D26" s="266"/>
      <c r="E26" s="266"/>
      <c r="F26" s="266"/>
      <c r="G26" s="266"/>
      <c r="H26" s="266"/>
      <c r="I26" s="266"/>
      <c r="J26" s="266"/>
      <c r="K26" s="266"/>
      <c r="L26" s="266"/>
      <c r="M26" s="266"/>
      <c r="N26" s="266"/>
    </row>
    <row r="27" spans="1:14" s="237" customFormat="1" x14ac:dyDescent="0.2">
      <c r="C27" s="266"/>
      <c r="D27" s="266"/>
      <c r="E27" s="266"/>
      <c r="F27" s="266"/>
      <c r="G27" s="266"/>
      <c r="H27" s="266"/>
      <c r="I27" s="266"/>
      <c r="J27" s="266"/>
      <c r="K27" s="266"/>
      <c r="L27" s="266"/>
      <c r="M27" s="266"/>
      <c r="N27" s="266"/>
    </row>
    <row r="28" spans="1:14" s="237" customFormat="1" x14ac:dyDescent="0.2">
      <c r="C28" s="266"/>
      <c r="D28" s="266"/>
      <c r="E28" s="266"/>
      <c r="F28" s="266"/>
      <c r="G28" s="266"/>
      <c r="H28" s="266"/>
      <c r="I28" s="266"/>
      <c r="J28" s="266"/>
      <c r="K28" s="266"/>
      <c r="L28" s="266"/>
      <c r="M28" s="266"/>
      <c r="N28" s="266"/>
    </row>
    <row r="29" spans="1:14" s="237" customFormat="1" x14ac:dyDescent="0.2">
      <c r="C29" s="266"/>
      <c r="D29" s="266"/>
      <c r="E29" s="266"/>
      <c r="F29" s="266"/>
      <c r="G29" s="266"/>
      <c r="H29" s="266"/>
      <c r="I29" s="266"/>
      <c r="J29" s="266"/>
      <c r="K29" s="266"/>
      <c r="L29" s="266"/>
      <c r="M29" s="266"/>
      <c r="N29" s="266"/>
    </row>
    <row r="30" spans="1:14" s="237" customFormat="1" x14ac:dyDescent="0.2">
      <c r="C30" s="266"/>
      <c r="D30" s="266"/>
      <c r="E30" s="266"/>
      <c r="F30" s="266"/>
      <c r="G30" s="266"/>
      <c r="H30" s="266"/>
      <c r="I30" s="266"/>
      <c r="J30" s="266"/>
      <c r="K30" s="266"/>
      <c r="L30" s="266"/>
      <c r="M30" s="266"/>
      <c r="N30" s="266"/>
    </row>
    <row r="31" spans="1:14" s="237" customFormat="1" x14ac:dyDescent="0.2">
      <c r="C31" s="266"/>
      <c r="D31" s="266"/>
      <c r="E31" s="266"/>
      <c r="F31" s="266"/>
      <c r="G31" s="266"/>
      <c r="H31" s="266"/>
      <c r="I31" s="266"/>
      <c r="J31" s="266"/>
      <c r="K31" s="266"/>
      <c r="L31" s="266"/>
      <c r="M31" s="266"/>
      <c r="N31" s="266"/>
    </row>
    <row r="32" spans="1:14" s="237" customFormat="1" x14ac:dyDescent="0.2">
      <c r="C32" s="266"/>
      <c r="D32" s="266"/>
      <c r="E32" s="266"/>
      <c r="F32" s="266"/>
      <c r="G32" s="266"/>
      <c r="H32" s="266"/>
      <c r="I32" s="266"/>
      <c r="J32" s="266"/>
      <c r="K32" s="266"/>
      <c r="L32" s="266"/>
      <c r="M32" s="266"/>
      <c r="N32" s="266"/>
    </row>
    <row r="33" spans="3:14" s="237" customFormat="1" x14ac:dyDescent="0.2">
      <c r="C33" s="266"/>
      <c r="D33" s="266"/>
      <c r="E33" s="266"/>
      <c r="F33" s="266"/>
      <c r="G33" s="266"/>
      <c r="H33" s="266"/>
      <c r="I33" s="266"/>
      <c r="J33" s="266"/>
      <c r="K33" s="266"/>
      <c r="L33" s="266"/>
      <c r="M33" s="266"/>
      <c r="N33" s="266"/>
    </row>
    <row r="34" spans="3:14" s="237" customFormat="1" x14ac:dyDescent="0.2">
      <c r="C34" s="266"/>
      <c r="D34" s="266"/>
      <c r="E34" s="266"/>
      <c r="F34" s="266"/>
      <c r="G34" s="266"/>
      <c r="H34" s="266"/>
      <c r="I34" s="266"/>
      <c r="J34" s="266"/>
      <c r="K34" s="266"/>
      <c r="L34" s="266"/>
      <c r="M34" s="266"/>
      <c r="N34" s="266"/>
    </row>
    <row r="35" spans="3:14" s="237" customFormat="1" x14ac:dyDescent="0.2">
      <c r="C35" s="266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</row>
    <row r="36" spans="3:14" s="237" customFormat="1" x14ac:dyDescent="0.2"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</row>
    <row r="37" spans="3:14" s="237" customFormat="1" x14ac:dyDescent="0.2">
      <c r="C37" s="266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</row>
    <row r="38" spans="3:14" s="237" customFormat="1" x14ac:dyDescent="0.2">
      <c r="C38" s="266"/>
      <c r="D38" s="266"/>
      <c r="E38" s="266"/>
      <c r="F38" s="266"/>
      <c r="G38" s="266"/>
      <c r="H38" s="266"/>
      <c r="I38" s="266"/>
      <c r="J38" s="266"/>
      <c r="K38" s="266"/>
      <c r="L38" s="266"/>
      <c r="M38" s="266"/>
      <c r="N38" s="266"/>
    </row>
    <row r="39" spans="3:14" s="237" customFormat="1" x14ac:dyDescent="0.2"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</row>
    <row r="40" spans="3:14" s="237" customFormat="1" x14ac:dyDescent="0.2">
      <c r="C40" s="266"/>
      <c r="D40" s="266"/>
      <c r="E40" s="266"/>
      <c r="F40" s="266"/>
      <c r="G40" s="266"/>
      <c r="H40" s="266"/>
      <c r="I40" s="266"/>
      <c r="J40" s="266"/>
      <c r="K40" s="266"/>
      <c r="L40" s="266"/>
      <c r="M40" s="266"/>
      <c r="N40" s="266"/>
    </row>
    <row r="41" spans="3:14" s="237" customFormat="1" x14ac:dyDescent="0.2">
      <c r="C41" s="266"/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</row>
    <row r="42" spans="3:14" s="237" customFormat="1" x14ac:dyDescent="0.2">
      <c r="C42" s="266"/>
      <c r="D42" s="266"/>
      <c r="E42" s="266"/>
      <c r="F42" s="266"/>
      <c r="G42" s="266"/>
      <c r="H42" s="266"/>
      <c r="I42" s="266"/>
      <c r="J42" s="266"/>
      <c r="K42" s="266"/>
      <c r="L42" s="266"/>
      <c r="M42" s="266"/>
      <c r="N42" s="266"/>
    </row>
    <row r="43" spans="3:14" s="237" customFormat="1" x14ac:dyDescent="0.2"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6"/>
      <c r="N43" s="266"/>
    </row>
    <row r="44" spans="3:14" s="237" customFormat="1" x14ac:dyDescent="0.2">
      <c r="C44" s="266"/>
      <c r="D44" s="266"/>
      <c r="E44" s="266"/>
      <c r="F44" s="266"/>
      <c r="G44" s="266"/>
      <c r="H44" s="266"/>
      <c r="I44" s="266"/>
      <c r="J44" s="266"/>
      <c r="K44" s="266"/>
      <c r="L44" s="266"/>
      <c r="M44" s="266"/>
      <c r="N44" s="266"/>
    </row>
    <row r="45" spans="3:14" s="237" customFormat="1" x14ac:dyDescent="0.2">
      <c r="C45" s="266"/>
      <c r="D45" s="266"/>
      <c r="E45" s="266"/>
      <c r="F45" s="266"/>
      <c r="G45" s="266"/>
      <c r="H45" s="266"/>
      <c r="I45" s="266"/>
      <c r="J45" s="266"/>
      <c r="K45" s="266"/>
      <c r="L45" s="266"/>
      <c r="M45" s="266"/>
      <c r="N45" s="266"/>
    </row>
    <row r="46" spans="3:14" s="237" customFormat="1" x14ac:dyDescent="0.2">
      <c r="C46" s="266"/>
      <c r="D46" s="266"/>
      <c r="E46" s="266"/>
      <c r="F46" s="266"/>
      <c r="G46" s="266"/>
      <c r="H46" s="266"/>
      <c r="I46" s="266"/>
      <c r="J46" s="266"/>
      <c r="K46" s="266"/>
      <c r="L46" s="266"/>
      <c r="M46" s="266"/>
      <c r="N46" s="266"/>
    </row>
    <row r="47" spans="3:14" s="237" customFormat="1" x14ac:dyDescent="0.2">
      <c r="C47" s="266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</row>
    <row r="48" spans="3:14" s="237" customFormat="1" x14ac:dyDescent="0.2">
      <c r="C48" s="266"/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</row>
    <row r="49" spans="3:14" s="237" customFormat="1" x14ac:dyDescent="0.2">
      <c r="C49" s="266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</row>
    <row r="50" spans="3:14" s="237" customFormat="1" x14ac:dyDescent="0.2"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</row>
    <row r="51" spans="3:14" s="237" customFormat="1" x14ac:dyDescent="0.2"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</row>
    <row r="52" spans="3:14" s="237" customFormat="1" x14ac:dyDescent="0.2"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</row>
    <row r="53" spans="3:14" s="237" customFormat="1" x14ac:dyDescent="0.2">
      <c r="C53" s="266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</row>
    <row r="54" spans="3:14" s="237" customFormat="1" x14ac:dyDescent="0.2">
      <c r="C54" s="266"/>
      <c r="D54" s="266"/>
      <c r="E54" s="266"/>
      <c r="F54" s="266"/>
      <c r="G54" s="266"/>
      <c r="H54" s="266"/>
      <c r="I54" s="266"/>
      <c r="J54" s="266"/>
      <c r="K54" s="266"/>
      <c r="L54" s="266"/>
      <c r="M54" s="266"/>
      <c r="N54" s="266"/>
    </row>
    <row r="55" spans="3:14" s="237" customFormat="1" x14ac:dyDescent="0.2">
      <c r="C55" s="266"/>
      <c r="D55" s="266"/>
      <c r="E55" s="266"/>
      <c r="F55" s="266"/>
      <c r="G55" s="266"/>
      <c r="H55" s="266"/>
      <c r="I55" s="266"/>
      <c r="J55" s="266"/>
      <c r="K55" s="266"/>
      <c r="L55" s="266"/>
      <c r="M55" s="266"/>
      <c r="N55" s="266"/>
    </row>
    <row r="56" spans="3:14" s="237" customFormat="1" x14ac:dyDescent="0.2">
      <c r="C56" s="266"/>
      <c r="D56" s="266"/>
      <c r="E56" s="266"/>
      <c r="F56" s="266"/>
      <c r="G56" s="266"/>
      <c r="H56" s="266"/>
      <c r="I56" s="266"/>
      <c r="J56" s="266"/>
      <c r="K56" s="266"/>
      <c r="L56" s="266"/>
      <c r="M56" s="266"/>
      <c r="N56" s="266"/>
    </row>
    <row r="57" spans="3:14" s="237" customFormat="1" x14ac:dyDescent="0.2"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</row>
    <row r="58" spans="3:14" s="237" customFormat="1" x14ac:dyDescent="0.2">
      <c r="C58" s="266"/>
      <c r="D58" s="266"/>
      <c r="E58" s="266"/>
      <c r="F58" s="266"/>
      <c r="G58" s="266"/>
      <c r="H58" s="266"/>
      <c r="I58" s="266"/>
      <c r="J58" s="266"/>
      <c r="K58" s="266"/>
      <c r="L58" s="266"/>
      <c r="M58" s="266"/>
      <c r="N58" s="266"/>
    </row>
    <row r="59" spans="3:14" s="237" customFormat="1" x14ac:dyDescent="0.2">
      <c r="C59" s="266"/>
      <c r="D59" s="266"/>
      <c r="E59" s="266"/>
      <c r="F59" s="266"/>
      <c r="G59" s="266"/>
      <c r="H59" s="266"/>
      <c r="I59" s="266"/>
      <c r="J59" s="266"/>
      <c r="K59" s="266"/>
      <c r="L59" s="266"/>
      <c r="M59" s="266"/>
      <c r="N59" s="266"/>
    </row>
    <row r="60" spans="3:14" s="237" customFormat="1" x14ac:dyDescent="0.2">
      <c r="C60" s="266"/>
      <c r="D60" s="266"/>
      <c r="E60" s="266"/>
      <c r="F60" s="266"/>
      <c r="G60" s="266"/>
      <c r="H60" s="266"/>
      <c r="I60" s="266"/>
      <c r="J60" s="266"/>
      <c r="K60" s="266"/>
      <c r="L60" s="266"/>
      <c r="M60" s="266"/>
      <c r="N60" s="266"/>
    </row>
    <row r="61" spans="3:14" s="237" customFormat="1" x14ac:dyDescent="0.2">
      <c r="C61" s="266"/>
      <c r="D61" s="266"/>
      <c r="E61" s="266"/>
      <c r="F61" s="266"/>
      <c r="G61" s="266"/>
      <c r="H61" s="266"/>
      <c r="I61" s="266"/>
      <c r="J61" s="266"/>
      <c r="K61" s="266"/>
      <c r="L61" s="266"/>
      <c r="M61" s="266"/>
      <c r="N61" s="266"/>
    </row>
    <row r="62" spans="3:14" s="237" customFormat="1" x14ac:dyDescent="0.2"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6"/>
      <c r="N62" s="266"/>
    </row>
    <row r="63" spans="3:14" s="237" customFormat="1" x14ac:dyDescent="0.2">
      <c r="C63" s="266"/>
      <c r="D63" s="266"/>
      <c r="E63" s="266"/>
      <c r="F63" s="266"/>
      <c r="G63" s="266"/>
      <c r="H63" s="266"/>
      <c r="I63" s="266"/>
      <c r="J63" s="266"/>
      <c r="K63" s="266"/>
      <c r="L63" s="266"/>
      <c r="M63" s="266"/>
      <c r="N63" s="266"/>
    </row>
    <row r="64" spans="3:14" s="237" customFormat="1" x14ac:dyDescent="0.2">
      <c r="C64" s="266"/>
      <c r="D64" s="266"/>
      <c r="E64" s="266"/>
      <c r="F64" s="266"/>
      <c r="G64" s="266"/>
      <c r="H64" s="266"/>
      <c r="I64" s="266"/>
      <c r="J64" s="266"/>
      <c r="K64" s="266"/>
      <c r="L64" s="266"/>
      <c r="M64" s="266"/>
      <c r="N64" s="266"/>
    </row>
    <row r="65" spans="3:14" s="237" customFormat="1" x14ac:dyDescent="0.2">
      <c r="C65" s="266"/>
      <c r="D65" s="266"/>
      <c r="E65" s="266"/>
      <c r="F65" s="266"/>
      <c r="G65" s="266"/>
      <c r="H65" s="266"/>
      <c r="I65" s="266"/>
      <c r="J65" s="266"/>
      <c r="K65" s="266"/>
      <c r="L65" s="266"/>
      <c r="M65" s="266"/>
      <c r="N65" s="266"/>
    </row>
    <row r="66" spans="3:14" s="237" customFormat="1" x14ac:dyDescent="0.2"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6"/>
      <c r="N66" s="266"/>
    </row>
    <row r="67" spans="3:14" s="237" customFormat="1" x14ac:dyDescent="0.2">
      <c r="C67" s="266"/>
      <c r="D67" s="266"/>
      <c r="E67" s="266"/>
      <c r="F67" s="266"/>
      <c r="G67" s="266"/>
      <c r="H67" s="266"/>
      <c r="I67" s="266"/>
      <c r="J67" s="266"/>
      <c r="K67" s="266"/>
      <c r="L67" s="266"/>
      <c r="M67" s="266"/>
      <c r="N67" s="266"/>
    </row>
    <row r="68" spans="3:14" s="237" customFormat="1" x14ac:dyDescent="0.2">
      <c r="C68" s="266"/>
      <c r="D68" s="266"/>
      <c r="E68" s="266"/>
      <c r="F68" s="266"/>
      <c r="G68" s="266"/>
      <c r="H68" s="266"/>
      <c r="I68" s="266"/>
      <c r="J68" s="266"/>
      <c r="K68" s="266"/>
      <c r="L68" s="266"/>
      <c r="M68" s="266"/>
      <c r="N68" s="266"/>
    </row>
    <row r="69" spans="3:14" s="237" customFormat="1" x14ac:dyDescent="0.2">
      <c r="C69" s="266"/>
      <c r="D69" s="266"/>
      <c r="E69" s="266"/>
      <c r="F69" s="266"/>
      <c r="G69" s="266"/>
      <c r="H69" s="266"/>
      <c r="I69" s="266"/>
      <c r="J69" s="266"/>
      <c r="K69" s="266"/>
      <c r="L69" s="266"/>
      <c r="M69" s="266"/>
      <c r="N69" s="266"/>
    </row>
    <row r="70" spans="3:14" s="237" customFormat="1" x14ac:dyDescent="0.2">
      <c r="C70" s="266"/>
      <c r="D70" s="266"/>
      <c r="E70" s="266"/>
      <c r="F70" s="266"/>
      <c r="G70" s="266"/>
      <c r="H70" s="266"/>
      <c r="I70" s="266"/>
      <c r="J70" s="266"/>
      <c r="K70" s="266"/>
      <c r="L70" s="266"/>
      <c r="M70" s="266"/>
      <c r="N70" s="266"/>
    </row>
    <row r="71" spans="3:14" s="237" customFormat="1" x14ac:dyDescent="0.2">
      <c r="C71" s="266"/>
      <c r="D71" s="266"/>
      <c r="E71" s="266"/>
      <c r="F71" s="266"/>
      <c r="G71" s="266"/>
      <c r="H71" s="266"/>
      <c r="I71" s="266"/>
      <c r="J71" s="266"/>
      <c r="K71" s="266"/>
      <c r="L71" s="266"/>
      <c r="M71" s="266"/>
      <c r="N71" s="266"/>
    </row>
    <row r="72" spans="3:14" s="237" customFormat="1" x14ac:dyDescent="0.2">
      <c r="C72" s="266"/>
      <c r="D72" s="266"/>
      <c r="E72" s="266"/>
      <c r="F72" s="266"/>
      <c r="G72" s="266"/>
      <c r="H72" s="266"/>
      <c r="I72" s="266"/>
      <c r="J72" s="266"/>
      <c r="K72" s="266"/>
      <c r="L72" s="266"/>
      <c r="M72" s="266"/>
      <c r="N72" s="266"/>
    </row>
    <row r="73" spans="3:14" s="237" customFormat="1" x14ac:dyDescent="0.2">
      <c r="C73" s="266"/>
      <c r="D73" s="266"/>
      <c r="E73" s="266"/>
      <c r="F73" s="266"/>
      <c r="G73" s="266"/>
      <c r="H73" s="266"/>
      <c r="I73" s="266"/>
      <c r="J73" s="266"/>
      <c r="K73" s="266"/>
      <c r="L73" s="266"/>
      <c r="M73" s="266"/>
      <c r="N73" s="266"/>
    </row>
    <row r="74" spans="3:14" s="237" customFormat="1" x14ac:dyDescent="0.2">
      <c r="C74" s="266"/>
      <c r="D74" s="266"/>
      <c r="E74" s="266"/>
      <c r="F74" s="266"/>
      <c r="G74" s="266"/>
      <c r="H74" s="266"/>
      <c r="I74" s="266"/>
      <c r="J74" s="266"/>
      <c r="K74" s="266"/>
      <c r="L74" s="266"/>
      <c r="M74" s="266"/>
      <c r="N74" s="266"/>
    </row>
    <row r="75" spans="3:14" s="237" customFormat="1" x14ac:dyDescent="0.2">
      <c r="C75" s="266"/>
      <c r="D75" s="266"/>
      <c r="E75" s="266"/>
      <c r="F75" s="266"/>
      <c r="G75" s="266"/>
      <c r="H75" s="266"/>
      <c r="I75" s="266"/>
      <c r="J75" s="266"/>
      <c r="K75" s="266"/>
      <c r="L75" s="266"/>
      <c r="M75" s="266"/>
      <c r="N75" s="266"/>
    </row>
    <row r="76" spans="3:14" s="237" customFormat="1" x14ac:dyDescent="0.2">
      <c r="C76" s="266"/>
      <c r="D76" s="266"/>
      <c r="E76" s="266"/>
      <c r="F76" s="266"/>
      <c r="G76" s="266"/>
      <c r="H76" s="266"/>
      <c r="I76" s="266"/>
      <c r="J76" s="266"/>
      <c r="K76" s="266"/>
      <c r="L76" s="266"/>
      <c r="M76" s="266"/>
      <c r="N76" s="266"/>
    </row>
    <row r="77" spans="3:14" s="237" customFormat="1" x14ac:dyDescent="0.2">
      <c r="C77" s="266"/>
      <c r="D77" s="266"/>
      <c r="E77" s="266"/>
      <c r="F77" s="266"/>
      <c r="G77" s="266"/>
      <c r="H77" s="266"/>
      <c r="I77" s="266"/>
      <c r="J77" s="266"/>
      <c r="K77" s="266"/>
      <c r="L77" s="266"/>
      <c r="M77" s="266"/>
      <c r="N77" s="266"/>
    </row>
    <row r="78" spans="3:14" s="237" customFormat="1" x14ac:dyDescent="0.2">
      <c r="C78" s="266"/>
      <c r="D78" s="266"/>
      <c r="E78" s="266"/>
      <c r="F78" s="266"/>
      <c r="G78" s="266"/>
      <c r="H78" s="266"/>
      <c r="I78" s="266"/>
      <c r="J78" s="266"/>
      <c r="K78" s="266"/>
      <c r="L78" s="266"/>
      <c r="M78" s="266"/>
      <c r="N78" s="266"/>
    </row>
    <row r="79" spans="3:14" s="237" customFormat="1" x14ac:dyDescent="0.2">
      <c r="C79" s="266"/>
      <c r="D79" s="266"/>
      <c r="E79" s="266"/>
      <c r="F79" s="266"/>
      <c r="G79" s="266"/>
      <c r="H79" s="266"/>
      <c r="I79" s="266"/>
      <c r="J79" s="266"/>
      <c r="K79" s="266"/>
      <c r="L79" s="266"/>
      <c r="M79" s="266"/>
      <c r="N79" s="266"/>
    </row>
    <row r="80" spans="3:14" s="237" customFormat="1" x14ac:dyDescent="0.2">
      <c r="C80" s="266"/>
      <c r="D80" s="266"/>
      <c r="E80" s="266"/>
      <c r="F80" s="266"/>
      <c r="G80" s="266"/>
      <c r="H80" s="266"/>
      <c r="I80" s="266"/>
      <c r="J80" s="266"/>
      <c r="K80" s="266"/>
      <c r="L80" s="266"/>
      <c r="M80" s="266"/>
      <c r="N80" s="266"/>
    </row>
    <row r="81" spans="3:14" s="237" customFormat="1" x14ac:dyDescent="0.2">
      <c r="C81" s="266"/>
      <c r="D81" s="266"/>
      <c r="E81" s="266"/>
      <c r="F81" s="266"/>
      <c r="G81" s="266"/>
      <c r="H81" s="266"/>
      <c r="I81" s="266"/>
      <c r="J81" s="266"/>
      <c r="K81" s="266"/>
      <c r="L81" s="266"/>
      <c r="M81" s="266"/>
      <c r="N81" s="266"/>
    </row>
    <row r="82" spans="3:14" s="237" customFormat="1" x14ac:dyDescent="0.2">
      <c r="C82" s="266"/>
      <c r="D82" s="266"/>
      <c r="E82" s="266"/>
      <c r="F82" s="266"/>
      <c r="G82" s="266"/>
      <c r="H82" s="266"/>
      <c r="I82" s="266"/>
      <c r="J82" s="266"/>
      <c r="K82" s="266"/>
      <c r="L82" s="266"/>
      <c r="M82" s="266"/>
      <c r="N82" s="266"/>
    </row>
    <row r="83" spans="3:14" s="237" customFormat="1" x14ac:dyDescent="0.2">
      <c r="C83" s="266"/>
      <c r="D83" s="266"/>
      <c r="E83" s="266"/>
      <c r="F83" s="266"/>
      <c r="G83" s="266"/>
      <c r="H83" s="266"/>
      <c r="I83" s="266"/>
      <c r="J83" s="266"/>
      <c r="K83" s="266"/>
      <c r="L83" s="266"/>
      <c r="M83" s="266"/>
      <c r="N83" s="266"/>
    </row>
    <row r="84" spans="3:14" s="237" customFormat="1" x14ac:dyDescent="0.2">
      <c r="C84" s="266"/>
      <c r="D84" s="266"/>
      <c r="E84" s="266"/>
      <c r="F84" s="266"/>
      <c r="G84" s="266"/>
      <c r="H84" s="266"/>
      <c r="I84" s="266"/>
      <c r="J84" s="266"/>
      <c r="K84" s="266"/>
      <c r="L84" s="266"/>
      <c r="M84" s="266"/>
      <c r="N84" s="266"/>
    </row>
    <row r="85" spans="3:14" s="237" customFormat="1" x14ac:dyDescent="0.2">
      <c r="C85" s="266"/>
      <c r="D85" s="266"/>
      <c r="E85" s="266"/>
      <c r="F85" s="266"/>
      <c r="G85" s="266"/>
      <c r="H85" s="266"/>
      <c r="I85" s="266"/>
      <c r="J85" s="266"/>
      <c r="K85" s="266"/>
      <c r="L85" s="266"/>
      <c r="M85" s="266"/>
      <c r="N85" s="266"/>
    </row>
    <row r="86" spans="3:14" s="237" customFormat="1" x14ac:dyDescent="0.2">
      <c r="C86" s="266"/>
      <c r="D86" s="266"/>
      <c r="E86" s="266"/>
      <c r="F86" s="266"/>
      <c r="G86" s="266"/>
      <c r="H86" s="266"/>
      <c r="I86" s="266"/>
      <c r="J86" s="266"/>
      <c r="K86" s="266"/>
      <c r="L86" s="266"/>
      <c r="M86" s="266"/>
      <c r="N86" s="266"/>
    </row>
    <row r="87" spans="3:14" s="237" customFormat="1" x14ac:dyDescent="0.2">
      <c r="C87" s="266"/>
      <c r="D87" s="266"/>
      <c r="E87" s="266"/>
      <c r="F87" s="266"/>
      <c r="G87" s="266"/>
      <c r="H87" s="266"/>
      <c r="I87" s="266"/>
      <c r="J87" s="266"/>
      <c r="K87" s="266"/>
      <c r="L87" s="266"/>
      <c r="M87" s="266"/>
      <c r="N87" s="266"/>
    </row>
    <row r="88" spans="3:14" s="237" customFormat="1" x14ac:dyDescent="0.2">
      <c r="C88" s="266"/>
      <c r="D88" s="266"/>
      <c r="E88" s="266"/>
      <c r="F88" s="266"/>
      <c r="G88" s="266"/>
      <c r="H88" s="266"/>
      <c r="I88" s="266"/>
      <c r="J88" s="266"/>
      <c r="K88" s="266"/>
      <c r="L88" s="266"/>
      <c r="M88" s="266"/>
      <c r="N88" s="266"/>
    </row>
    <row r="89" spans="3:14" s="237" customFormat="1" x14ac:dyDescent="0.2">
      <c r="C89" s="266"/>
      <c r="D89" s="266"/>
      <c r="E89" s="266"/>
      <c r="F89" s="266"/>
      <c r="G89" s="266"/>
      <c r="H89" s="266"/>
      <c r="I89" s="266"/>
      <c r="J89" s="266"/>
      <c r="K89" s="266"/>
      <c r="L89" s="266"/>
      <c r="M89" s="266"/>
      <c r="N89" s="266"/>
    </row>
    <row r="90" spans="3:14" s="237" customFormat="1" x14ac:dyDescent="0.2">
      <c r="C90" s="266"/>
      <c r="D90" s="266"/>
      <c r="E90" s="266"/>
      <c r="F90" s="266"/>
      <c r="G90" s="266"/>
      <c r="H90" s="266"/>
      <c r="I90" s="266"/>
      <c r="J90" s="266"/>
      <c r="K90" s="266"/>
      <c r="L90" s="266"/>
      <c r="M90" s="266"/>
      <c r="N90" s="266"/>
    </row>
    <row r="91" spans="3:14" s="237" customFormat="1" x14ac:dyDescent="0.2">
      <c r="C91" s="266"/>
      <c r="D91" s="266"/>
      <c r="E91" s="266"/>
      <c r="F91" s="266"/>
      <c r="G91" s="266"/>
      <c r="H91" s="266"/>
      <c r="I91" s="266"/>
      <c r="J91" s="266"/>
      <c r="K91" s="266"/>
      <c r="L91" s="266"/>
      <c r="M91" s="266"/>
      <c r="N91" s="266"/>
    </row>
    <row r="92" spans="3:14" s="237" customFormat="1" x14ac:dyDescent="0.2">
      <c r="C92" s="266"/>
      <c r="D92" s="266"/>
      <c r="E92" s="266"/>
      <c r="F92" s="266"/>
      <c r="G92" s="266"/>
      <c r="H92" s="266"/>
      <c r="I92" s="266"/>
      <c r="J92" s="266"/>
      <c r="K92" s="266"/>
      <c r="L92" s="266"/>
      <c r="M92" s="266"/>
      <c r="N92" s="266"/>
    </row>
    <row r="93" spans="3:14" s="237" customFormat="1" x14ac:dyDescent="0.2">
      <c r="C93" s="266"/>
      <c r="D93" s="266"/>
      <c r="E93" s="266"/>
      <c r="F93" s="266"/>
      <c r="G93" s="266"/>
      <c r="H93" s="266"/>
      <c r="I93" s="266"/>
      <c r="J93" s="266"/>
      <c r="K93" s="266"/>
      <c r="L93" s="266"/>
      <c r="M93" s="266"/>
      <c r="N93" s="266"/>
    </row>
    <row r="94" spans="3:14" s="237" customFormat="1" x14ac:dyDescent="0.2">
      <c r="C94" s="266"/>
      <c r="D94" s="266"/>
      <c r="E94" s="266"/>
      <c r="F94" s="266"/>
      <c r="G94" s="266"/>
      <c r="H94" s="266"/>
      <c r="I94" s="266"/>
      <c r="J94" s="266"/>
      <c r="K94" s="266"/>
      <c r="L94" s="266"/>
      <c r="M94" s="266"/>
      <c r="N94" s="266"/>
    </row>
    <row r="95" spans="3:14" s="237" customFormat="1" x14ac:dyDescent="0.2">
      <c r="C95" s="266"/>
      <c r="D95" s="266"/>
      <c r="E95" s="266"/>
      <c r="F95" s="266"/>
      <c r="G95" s="266"/>
      <c r="H95" s="266"/>
      <c r="I95" s="266"/>
      <c r="J95" s="266"/>
      <c r="K95" s="266"/>
      <c r="L95" s="266"/>
      <c r="M95" s="266"/>
      <c r="N95" s="266"/>
    </row>
    <row r="96" spans="3:14" s="237" customFormat="1" x14ac:dyDescent="0.2">
      <c r="C96" s="266"/>
      <c r="D96" s="266"/>
      <c r="E96" s="266"/>
      <c r="F96" s="266"/>
      <c r="G96" s="266"/>
      <c r="H96" s="266"/>
      <c r="I96" s="266"/>
      <c r="J96" s="266"/>
      <c r="K96" s="266"/>
      <c r="L96" s="266"/>
      <c r="M96" s="266"/>
      <c r="N96" s="266"/>
    </row>
    <row r="97" spans="3:14" s="237" customFormat="1" x14ac:dyDescent="0.2">
      <c r="C97" s="266"/>
      <c r="D97" s="266"/>
      <c r="E97" s="266"/>
      <c r="F97" s="266"/>
      <c r="G97" s="266"/>
      <c r="H97" s="266"/>
      <c r="I97" s="266"/>
      <c r="J97" s="266"/>
      <c r="K97" s="266"/>
      <c r="L97" s="266"/>
      <c r="M97" s="266"/>
      <c r="N97" s="266"/>
    </row>
    <row r="98" spans="3:14" s="237" customFormat="1" x14ac:dyDescent="0.2">
      <c r="C98" s="266"/>
      <c r="D98" s="266"/>
      <c r="E98" s="266"/>
      <c r="F98" s="266"/>
      <c r="G98" s="266"/>
      <c r="H98" s="266"/>
      <c r="I98" s="266"/>
      <c r="J98" s="266"/>
      <c r="K98" s="266"/>
      <c r="L98" s="266"/>
      <c r="M98" s="266"/>
      <c r="N98" s="266"/>
    </row>
    <row r="99" spans="3:14" s="237" customFormat="1" x14ac:dyDescent="0.2">
      <c r="C99" s="266"/>
      <c r="D99" s="266"/>
      <c r="E99" s="266"/>
      <c r="F99" s="266"/>
      <c r="G99" s="266"/>
      <c r="H99" s="266"/>
      <c r="I99" s="266"/>
      <c r="J99" s="266"/>
      <c r="K99" s="266"/>
      <c r="L99" s="266"/>
      <c r="M99" s="266"/>
      <c r="N99" s="266"/>
    </row>
    <row r="100" spans="3:14" s="237" customFormat="1" x14ac:dyDescent="0.2">
      <c r="C100" s="266"/>
      <c r="D100" s="266"/>
      <c r="E100" s="266"/>
      <c r="F100" s="266"/>
      <c r="G100" s="266"/>
      <c r="H100" s="266"/>
      <c r="I100" s="266"/>
      <c r="J100" s="266"/>
      <c r="K100" s="266"/>
      <c r="L100" s="266"/>
      <c r="M100" s="266"/>
      <c r="N100" s="266"/>
    </row>
    <row r="101" spans="3:14" s="237" customFormat="1" x14ac:dyDescent="0.2">
      <c r="C101" s="266"/>
      <c r="D101" s="266"/>
      <c r="E101" s="266"/>
      <c r="F101" s="266"/>
      <c r="G101" s="266"/>
      <c r="H101" s="266"/>
      <c r="I101" s="266"/>
      <c r="J101" s="266"/>
      <c r="K101" s="266"/>
      <c r="L101" s="266"/>
      <c r="M101" s="266"/>
      <c r="N101" s="266"/>
    </row>
    <row r="102" spans="3:14" s="237" customFormat="1" x14ac:dyDescent="0.2">
      <c r="C102" s="266"/>
      <c r="D102" s="266"/>
      <c r="E102" s="266"/>
      <c r="F102" s="266"/>
      <c r="G102" s="266"/>
      <c r="H102" s="266"/>
      <c r="I102" s="266"/>
      <c r="J102" s="266"/>
      <c r="K102" s="266"/>
      <c r="L102" s="266"/>
      <c r="M102" s="266"/>
      <c r="N102" s="266"/>
    </row>
    <row r="103" spans="3:14" s="237" customFormat="1" x14ac:dyDescent="0.2">
      <c r="C103" s="266"/>
      <c r="D103" s="266"/>
      <c r="E103" s="266"/>
      <c r="F103" s="266"/>
      <c r="G103" s="266"/>
      <c r="H103" s="266"/>
      <c r="I103" s="266"/>
      <c r="J103" s="266"/>
      <c r="K103" s="266"/>
      <c r="L103" s="266"/>
      <c r="M103" s="266"/>
      <c r="N103" s="266"/>
    </row>
    <row r="104" spans="3:14" s="237" customFormat="1" x14ac:dyDescent="0.2">
      <c r="C104" s="266"/>
      <c r="D104" s="266"/>
      <c r="E104" s="266"/>
      <c r="F104" s="266"/>
      <c r="G104" s="266"/>
      <c r="H104" s="266"/>
      <c r="I104" s="266"/>
      <c r="J104" s="266"/>
      <c r="K104" s="266"/>
      <c r="L104" s="266"/>
      <c r="M104" s="266"/>
      <c r="N104" s="266"/>
    </row>
    <row r="105" spans="3:14" s="237" customFormat="1" x14ac:dyDescent="0.2">
      <c r="C105" s="266"/>
      <c r="D105" s="266"/>
      <c r="E105" s="266"/>
      <c r="F105" s="266"/>
      <c r="G105" s="266"/>
      <c r="H105" s="266"/>
      <c r="I105" s="266"/>
      <c r="J105" s="266"/>
      <c r="K105" s="266"/>
      <c r="L105" s="266"/>
      <c r="M105" s="266"/>
      <c r="N105" s="266"/>
    </row>
    <row r="106" spans="3:14" s="237" customFormat="1" x14ac:dyDescent="0.2">
      <c r="C106" s="266"/>
      <c r="D106" s="266"/>
      <c r="E106" s="266"/>
      <c r="F106" s="266"/>
      <c r="G106" s="266"/>
      <c r="H106" s="266"/>
      <c r="I106" s="266"/>
      <c r="J106" s="266"/>
      <c r="K106" s="266"/>
      <c r="L106" s="266"/>
      <c r="M106" s="266"/>
      <c r="N106" s="266"/>
    </row>
    <row r="107" spans="3:14" s="237" customFormat="1" x14ac:dyDescent="0.2">
      <c r="C107" s="266"/>
      <c r="D107" s="266"/>
      <c r="E107" s="266"/>
      <c r="F107" s="266"/>
      <c r="G107" s="266"/>
      <c r="H107" s="266"/>
      <c r="I107" s="266"/>
      <c r="J107" s="266"/>
      <c r="K107" s="266"/>
      <c r="L107" s="266"/>
      <c r="M107" s="266"/>
      <c r="N107" s="266"/>
    </row>
    <row r="108" spans="3:14" s="237" customFormat="1" x14ac:dyDescent="0.2">
      <c r="C108" s="266"/>
      <c r="D108" s="266"/>
      <c r="E108" s="266"/>
      <c r="F108" s="266"/>
      <c r="G108" s="266"/>
      <c r="H108" s="266"/>
      <c r="I108" s="266"/>
      <c r="J108" s="266"/>
      <c r="K108" s="266"/>
      <c r="L108" s="266"/>
      <c r="M108" s="266"/>
      <c r="N108" s="266"/>
    </row>
    <row r="109" spans="3:14" s="237" customFormat="1" x14ac:dyDescent="0.2">
      <c r="C109" s="266"/>
      <c r="D109" s="266"/>
      <c r="E109" s="266"/>
      <c r="F109" s="266"/>
      <c r="G109" s="266"/>
      <c r="H109" s="266"/>
      <c r="I109" s="266"/>
      <c r="J109" s="266"/>
      <c r="K109" s="266"/>
      <c r="L109" s="266"/>
      <c r="M109" s="266"/>
      <c r="N109" s="266"/>
    </row>
    <row r="110" spans="3:14" s="237" customFormat="1" x14ac:dyDescent="0.2">
      <c r="C110" s="266"/>
      <c r="D110" s="266"/>
      <c r="E110" s="266"/>
      <c r="F110" s="266"/>
      <c r="G110" s="266"/>
      <c r="H110" s="266"/>
      <c r="I110" s="266"/>
      <c r="J110" s="266"/>
      <c r="K110" s="266"/>
      <c r="L110" s="266"/>
      <c r="M110" s="266"/>
      <c r="N110" s="266"/>
    </row>
    <row r="111" spans="3:14" s="237" customFormat="1" x14ac:dyDescent="0.2">
      <c r="C111" s="266"/>
      <c r="D111" s="266"/>
      <c r="E111" s="266"/>
      <c r="F111" s="266"/>
      <c r="G111" s="266"/>
      <c r="H111" s="266"/>
      <c r="I111" s="266"/>
      <c r="J111" s="266"/>
      <c r="K111" s="266"/>
      <c r="L111" s="266"/>
      <c r="M111" s="266"/>
      <c r="N111" s="266"/>
    </row>
    <row r="112" spans="3:14" s="237" customFormat="1" x14ac:dyDescent="0.2">
      <c r="C112" s="266"/>
      <c r="D112" s="266"/>
      <c r="E112" s="266"/>
      <c r="F112" s="266"/>
      <c r="G112" s="266"/>
      <c r="H112" s="266"/>
      <c r="I112" s="266"/>
      <c r="J112" s="266"/>
      <c r="K112" s="266"/>
      <c r="L112" s="266"/>
      <c r="M112" s="266"/>
      <c r="N112" s="266"/>
    </row>
    <row r="113" spans="3:14" s="237" customFormat="1" x14ac:dyDescent="0.2">
      <c r="C113" s="266"/>
      <c r="D113" s="266"/>
      <c r="E113" s="266"/>
      <c r="F113" s="266"/>
      <c r="G113" s="266"/>
      <c r="H113" s="266"/>
      <c r="I113" s="266"/>
      <c r="J113" s="266"/>
      <c r="K113" s="266"/>
      <c r="L113" s="266"/>
      <c r="M113" s="266"/>
      <c r="N113" s="266"/>
    </row>
    <row r="114" spans="3:14" s="237" customFormat="1" x14ac:dyDescent="0.2">
      <c r="C114" s="266"/>
      <c r="D114" s="266"/>
      <c r="E114" s="266"/>
      <c r="F114" s="266"/>
      <c r="G114" s="266"/>
      <c r="H114" s="266"/>
      <c r="I114" s="266"/>
      <c r="J114" s="266"/>
      <c r="K114" s="266"/>
      <c r="L114" s="266"/>
      <c r="M114" s="266"/>
      <c r="N114" s="266"/>
    </row>
    <row r="115" spans="3:14" s="237" customFormat="1" x14ac:dyDescent="0.2">
      <c r="C115" s="266"/>
      <c r="D115" s="266"/>
      <c r="E115" s="266"/>
      <c r="F115" s="266"/>
      <c r="G115" s="266"/>
      <c r="H115" s="266"/>
      <c r="I115" s="266"/>
      <c r="J115" s="266"/>
      <c r="K115" s="266"/>
      <c r="L115" s="266"/>
      <c r="M115" s="266"/>
      <c r="N115" s="266"/>
    </row>
    <row r="116" spans="3:14" s="237" customFormat="1" x14ac:dyDescent="0.2">
      <c r="C116" s="266"/>
      <c r="D116" s="266"/>
      <c r="E116" s="266"/>
      <c r="F116" s="266"/>
      <c r="G116" s="266"/>
      <c r="H116" s="266"/>
      <c r="I116" s="266"/>
      <c r="J116" s="266"/>
      <c r="K116" s="266"/>
      <c r="L116" s="266"/>
      <c r="M116" s="266"/>
      <c r="N116" s="266"/>
    </row>
    <row r="117" spans="3:14" s="237" customFormat="1" x14ac:dyDescent="0.2">
      <c r="C117" s="266"/>
      <c r="D117" s="266"/>
      <c r="E117" s="266"/>
      <c r="F117" s="266"/>
      <c r="G117" s="266"/>
      <c r="H117" s="266"/>
      <c r="I117" s="266"/>
      <c r="J117" s="266"/>
      <c r="K117" s="266"/>
      <c r="L117" s="266"/>
      <c r="M117" s="266"/>
      <c r="N117" s="266"/>
    </row>
    <row r="118" spans="3:14" s="237" customFormat="1" x14ac:dyDescent="0.2">
      <c r="C118" s="266"/>
      <c r="D118" s="266"/>
      <c r="E118" s="266"/>
      <c r="F118" s="266"/>
      <c r="G118" s="266"/>
      <c r="H118" s="266"/>
      <c r="I118" s="266"/>
      <c r="J118" s="266"/>
      <c r="K118" s="266"/>
      <c r="L118" s="266"/>
      <c r="M118" s="266"/>
      <c r="N118" s="266"/>
    </row>
    <row r="119" spans="3:14" s="237" customFormat="1" x14ac:dyDescent="0.2">
      <c r="C119" s="266"/>
      <c r="D119" s="266"/>
      <c r="E119" s="266"/>
      <c r="F119" s="266"/>
      <c r="G119" s="266"/>
      <c r="H119" s="266"/>
      <c r="I119" s="266"/>
      <c r="J119" s="266"/>
      <c r="K119" s="266"/>
      <c r="L119" s="266"/>
      <c r="M119" s="266"/>
      <c r="N119" s="266"/>
    </row>
    <row r="120" spans="3:14" s="237" customFormat="1" x14ac:dyDescent="0.2">
      <c r="C120" s="266"/>
      <c r="D120" s="266"/>
      <c r="E120" s="266"/>
      <c r="F120" s="266"/>
      <c r="G120" s="266"/>
      <c r="H120" s="266"/>
      <c r="I120" s="266"/>
      <c r="J120" s="266"/>
      <c r="K120" s="266"/>
      <c r="L120" s="266"/>
      <c r="M120" s="266"/>
      <c r="N120" s="266"/>
    </row>
    <row r="121" spans="3:14" s="237" customFormat="1" x14ac:dyDescent="0.2">
      <c r="C121" s="266"/>
      <c r="D121" s="266"/>
      <c r="E121" s="266"/>
      <c r="F121" s="266"/>
      <c r="G121" s="266"/>
      <c r="H121" s="266"/>
      <c r="I121" s="266"/>
      <c r="J121" s="266"/>
      <c r="K121" s="266"/>
      <c r="L121" s="266"/>
      <c r="M121" s="266"/>
      <c r="N121" s="266"/>
    </row>
    <row r="122" spans="3:14" s="237" customFormat="1" x14ac:dyDescent="0.2">
      <c r="C122" s="266"/>
      <c r="D122" s="266"/>
      <c r="E122" s="266"/>
      <c r="F122" s="266"/>
      <c r="G122" s="266"/>
      <c r="H122" s="266"/>
      <c r="I122" s="266"/>
      <c r="J122" s="266"/>
      <c r="K122" s="266"/>
      <c r="L122" s="266"/>
      <c r="M122" s="266"/>
      <c r="N122" s="266"/>
    </row>
    <row r="123" spans="3:14" s="237" customFormat="1" x14ac:dyDescent="0.2">
      <c r="C123" s="266"/>
      <c r="D123" s="266"/>
      <c r="E123" s="266"/>
      <c r="F123" s="266"/>
      <c r="G123" s="266"/>
      <c r="H123" s="266"/>
      <c r="I123" s="266"/>
      <c r="J123" s="266"/>
      <c r="K123" s="266"/>
      <c r="L123" s="266"/>
      <c r="M123" s="266"/>
      <c r="N123" s="266"/>
    </row>
    <row r="124" spans="3:14" s="237" customFormat="1" x14ac:dyDescent="0.2">
      <c r="C124" s="266"/>
      <c r="D124" s="266"/>
      <c r="E124" s="266"/>
      <c r="F124" s="266"/>
      <c r="G124" s="266"/>
      <c r="H124" s="266"/>
      <c r="I124" s="266"/>
      <c r="J124" s="266"/>
      <c r="K124" s="266"/>
      <c r="L124" s="266"/>
      <c r="M124" s="266"/>
      <c r="N124" s="266"/>
    </row>
    <row r="125" spans="3:14" s="237" customFormat="1" x14ac:dyDescent="0.2">
      <c r="C125" s="266"/>
      <c r="D125" s="266"/>
      <c r="E125" s="266"/>
      <c r="F125" s="266"/>
      <c r="G125" s="266"/>
      <c r="H125" s="266"/>
      <c r="I125" s="266"/>
      <c r="J125" s="266"/>
      <c r="K125" s="266"/>
      <c r="L125" s="266"/>
      <c r="M125" s="266"/>
      <c r="N125" s="266"/>
    </row>
    <row r="126" spans="3:14" s="237" customFormat="1" x14ac:dyDescent="0.2">
      <c r="C126" s="266"/>
      <c r="D126" s="266"/>
      <c r="E126" s="266"/>
      <c r="F126" s="266"/>
      <c r="G126" s="266"/>
      <c r="H126" s="266"/>
      <c r="I126" s="266"/>
      <c r="J126" s="266"/>
      <c r="K126" s="266"/>
      <c r="L126" s="266"/>
      <c r="M126" s="266"/>
      <c r="N126" s="266"/>
    </row>
    <row r="127" spans="3:14" s="237" customFormat="1" x14ac:dyDescent="0.2">
      <c r="C127" s="266"/>
      <c r="D127" s="266"/>
      <c r="E127" s="266"/>
      <c r="F127" s="266"/>
      <c r="G127" s="266"/>
      <c r="H127" s="266"/>
      <c r="I127" s="266"/>
      <c r="J127" s="266"/>
      <c r="K127" s="266"/>
      <c r="L127" s="266"/>
      <c r="M127" s="266"/>
      <c r="N127" s="266"/>
    </row>
    <row r="128" spans="3:14" s="237" customFormat="1" x14ac:dyDescent="0.2">
      <c r="C128" s="266"/>
      <c r="D128" s="266"/>
      <c r="E128" s="266"/>
      <c r="F128" s="266"/>
      <c r="G128" s="266"/>
      <c r="H128" s="266"/>
      <c r="I128" s="266"/>
      <c r="J128" s="266"/>
      <c r="K128" s="266"/>
      <c r="L128" s="266"/>
      <c r="M128" s="266"/>
      <c r="N128" s="266"/>
    </row>
    <row r="129" spans="3:14" s="237" customFormat="1" x14ac:dyDescent="0.2">
      <c r="C129" s="266"/>
      <c r="D129" s="266"/>
      <c r="E129" s="266"/>
      <c r="F129" s="266"/>
      <c r="G129" s="266"/>
      <c r="H129" s="266"/>
      <c r="I129" s="266"/>
      <c r="J129" s="266"/>
      <c r="K129" s="266"/>
      <c r="L129" s="266"/>
      <c r="M129" s="266"/>
      <c r="N129" s="266"/>
    </row>
    <row r="130" spans="3:14" s="237" customFormat="1" x14ac:dyDescent="0.2">
      <c r="C130" s="266"/>
      <c r="D130" s="266"/>
      <c r="E130" s="266"/>
      <c r="F130" s="266"/>
      <c r="G130" s="266"/>
      <c r="H130" s="266"/>
      <c r="I130" s="266"/>
      <c r="J130" s="266"/>
      <c r="K130" s="266"/>
      <c r="L130" s="266"/>
      <c r="M130" s="266"/>
      <c r="N130" s="266"/>
    </row>
    <row r="131" spans="3:14" s="237" customFormat="1" x14ac:dyDescent="0.2">
      <c r="C131" s="266"/>
      <c r="D131" s="266"/>
      <c r="E131" s="266"/>
      <c r="F131" s="266"/>
      <c r="G131" s="266"/>
      <c r="H131" s="266"/>
      <c r="I131" s="266"/>
      <c r="J131" s="266"/>
      <c r="K131" s="266"/>
      <c r="L131" s="266"/>
      <c r="M131" s="266"/>
      <c r="N131" s="266"/>
    </row>
    <row r="132" spans="3:14" s="237" customFormat="1" x14ac:dyDescent="0.2">
      <c r="C132" s="266"/>
      <c r="D132" s="266"/>
      <c r="E132" s="266"/>
      <c r="F132" s="266"/>
      <c r="G132" s="266"/>
      <c r="H132" s="266"/>
      <c r="I132" s="266"/>
      <c r="J132" s="266"/>
      <c r="K132" s="266"/>
      <c r="L132" s="266"/>
      <c r="M132" s="266"/>
      <c r="N132" s="266"/>
    </row>
    <row r="133" spans="3:14" s="237" customFormat="1" x14ac:dyDescent="0.2">
      <c r="C133" s="266"/>
      <c r="D133" s="266"/>
      <c r="E133" s="266"/>
      <c r="F133" s="266"/>
      <c r="G133" s="266"/>
      <c r="H133" s="266"/>
      <c r="I133" s="266"/>
      <c r="J133" s="266"/>
      <c r="K133" s="266"/>
      <c r="L133" s="266"/>
      <c r="M133" s="266"/>
      <c r="N133" s="266"/>
    </row>
    <row r="134" spans="3:14" s="237" customFormat="1" x14ac:dyDescent="0.2">
      <c r="C134" s="266"/>
      <c r="D134" s="266"/>
      <c r="E134" s="266"/>
      <c r="F134" s="266"/>
      <c r="G134" s="266"/>
      <c r="H134" s="266"/>
      <c r="I134" s="266"/>
      <c r="J134" s="266"/>
      <c r="K134" s="266"/>
      <c r="L134" s="266"/>
      <c r="M134" s="266"/>
      <c r="N134" s="266"/>
    </row>
    <row r="135" spans="3:14" s="237" customFormat="1" x14ac:dyDescent="0.2">
      <c r="C135" s="266"/>
      <c r="D135" s="266"/>
      <c r="E135" s="266"/>
      <c r="F135" s="266"/>
      <c r="G135" s="266"/>
      <c r="H135" s="266"/>
      <c r="I135" s="266"/>
      <c r="J135" s="266"/>
      <c r="K135" s="266"/>
      <c r="L135" s="266"/>
      <c r="M135" s="266"/>
      <c r="N135" s="266"/>
    </row>
    <row r="136" spans="3:14" s="237" customFormat="1" x14ac:dyDescent="0.2">
      <c r="C136" s="266"/>
      <c r="D136" s="266"/>
      <c r="E136" s="266"/>
      <c r="F136" s="266"/>
      <c r="G136" s="266"/>
      <c r="H136" s="266"/>
      <c r="I136" s="266"/>
      <c r="J136" s="266"/>
      <c r="K136" s="266"/>
      <c r="L136" s="266"/>
      <c r="M136" s="266"/>
      <c r="N136" s="266"/>
    </row>
    <row r="137" spans="3:14" s="237" customFormat="1" x14ac:dyDescent="0.2">
      <c r="C137" s="266"/>
      <c r="D137" s="266"/>
      <c r="E137" s="266"/>
      <c r="F137" s="266"/>
      <c r="G137" s="266"/>
      <c r="H137" s="266"/>
      <c r="I137" s="266"/>
      <c r="J137" s="266"/>
      <c r="K137" s="266"/>
      <c r="L137" s="266"/>
      <c r="M137" s="266"/>
      <c r="N137" s="266"/>
    </row>
    <row r="138" spans="3:14" s="237" customFormat="1" x14ac:dyDescent="0.2">
      <c r="C138" s="266"/>
      <c r="D138" s="266"/>
      <c r="E138" s="266"/>
      <c r="F138" s="266"/>
      <c r="G138" s="266"/>
      <c r="H138" s="266"/>
      <c r="I138" s="266"/>
      <c r="J138" s="266"/>
      <c r="K138" s="266"/>
      <c r="L138" s="266"/>
      <c r="M138" s="266"/>
      <c r="N138" s="266"/>
    </row>
    <row r="139" spans="3:14" s="237" customFormat="1" x14ac:dyDescent="0.2">
      <c r="C139" s="266"/>
      <c r="D139" s="266"/>
      <c r="E139" s="266"/>
      <c r="F139" s="266"/>
      <c r="G139" s="266"/>
      <c r="H139" s="266"/>
      <c r="I139" s="266"/>
      <c r="J139" s="266"/>
      <c r="K139" s="266"/>
      <c r="L139" s="266"/>
      <c r="M139" s="266"/>
      <c r="N139" s="266"/>
    </row>
    <row r="140" spans="3:14" s="237" customFormat="1" x14ac:dyDescent="0.2">
      <c r="C140" s="266"/>
      <c r="D140" s="266"/>
      <c r="E140" s="266"/>
      <c r="F140" s="266"/>
      <c r="G140" s="266"/>
      <c r="H140" s="266"/>
      <c r="I140" s="266"/>
      <c r="J140" s="266"/>
      <c r="K140" s="266"/>
      <c r="L140" s="266"/>
      <c r="M140" s="266"/>
      <c r="N140" s="266"/>
    </row>
    <row r="141" spans="3:14" s="237" customFormat="1" x14ac:dyDescent="0.2">
      <c r="C141" s="266"/>
      <c r="D141" s="266"/>
      <c r="E141" s="266"/>
      <c r="F141" s="266"/>
      <c r="G141" s="266"/>
      <c r="H141" s="266"/>
      <c r="I141" s="266"/>
      <c r="J141" s="266"/>
      <c r="K141" s="266"/>
      <c r="L141" s="266"/>
      <c r="M141" s="266"/>
      <c r="N141" s="266"/>
    </row>
    <row r="142" spans="3:14" s="237" customFormat="1" x14ac:dyDescent="0.2">
      <c r="C142" s="266"/>
      <c r="D142" s="266"/>
      <c r="E142" s="266"/>
      <c r="F142" s="266"/>
      <c r="G142" s="266"/>
      <c r="H142" s="266"/>
      <c r="I142" s="266"/>
      <c r="J142" s="266"/>
      <c r="K142" s="266"/>
      <c r="L142" s="266"/>
      <c r="M142" s="266"/>
      <c r="N142" s="266"/>
    </row>
    <row r="143" spans="3:14" s="237" customFormat="1" x14ac:dyDescent="0.2">
      <c r="C143" s="266"/>
      <c r="D143" s="266"/>
      <c r="E143" s="266"/>
      <c r="F143" s="266"/>
      <c r="G143" s="266"/>
      <c r="H143" s="266"/>
      <c r="I143" s="266"/>
      <c r="J143" s="266"/>
      <c r="K143" s="266"/>
      <c r="L143" s="266"/>
      <c r="M143" s="266"/>
      <c r="N143" s="266"/>
    </row>
    <row r="144" spans="3:14" s="237" customFormat="1" x14ac:dyDescent="0.2">
      <c r="C144" s="266"/>
      <c r="D144" s="266"/>
      <c r="E144" s="266"/>
      <c r="F144" s="266"/>
      <c r="G144" s="266"/>
      <c r="H144" s="266"/>
      <c r="I144" s="266"/>
      <c r="J144" s="266"/>
      <c r="K144" s="266"/>
      <c r="L144" s="266"/>
      <c r="M144" s="266"/>
      <c r="N144" s="266"/>
    </row>
    <row r="145" spans="3:14" s="237" customFormat="1" x14ac:dyDescent="0.2">
      <c r="C145" s="266"/>
      <c r="D145" s="266"/>
      <c r="E145" s="266"/>
      <c r="F145" s="266"/>
      <c r="G145" s="266"/>
      <c r="H145" s="266"/>
      <c r="I145" s="266"/>
      <c r="J145" s="266"/>
      <c r="K145" s="266"/>
      <c r="L145" s="266"/>
      <c r="M145" s="266"/>
      <c r="N145" s="266"/>
    </row>
    <row r="146" spans="3:14" s="237" customFormat="1" x14ac:dyDescent="0.2">
      <c r="C146" s="266"/>
      <c r="D146" s="266"/>
      <c r="E146" s="266"/>
      <c r="F146" s="266"/>
      <c r="G146" s="266"/>
      <c r="H146" s="266"/>
      <c r="I146" s="266"/>
      <c r="J146" s="266"/>
      <c r="K146" s="266"/>
      <c r="L146" s="266"/>
      <c r="M146" s="266"/>
      <c r="N146" s="266"/>
    </row>
    <row r="147" spans="3:14" s="237" customFormat="1" x14ac:dyDescent="0.2">
      <c r="C147" s="266"/>
      <c r="D147" s="266"/>
      <c r="E147" s="266"/>
      <c r="F147" s="266"/>
      <c r="G147" s="266"/>
      <c r="H147" s="266"/>
      <c r="I147" s="266"/>
      <c r="J147" s="266"/>
      <c r="K147" s="266"/>
      <c r="L147" s="266"/>
      <c r="M147" s="266"/>
      <c r="N147" s="266"/>
    </row>
    <row r="148" spans="3:14" s="237" customFormat="1" x14ac:dyDescent="0.2">
      <c r="C148" s="266"/>
      <c r="D148" s="266"/>
      <c r="E148" s="266"/>
      <c r="F148" s="266"/>
      <c r="G148" s="266"/>
      <c r="H148" s="266"/>
      <c r="I148" s="266"/>
      <c r="J148" s="266"/>
      <c r="K148" s="266"/>
      <c r="L148" s="266"/>
      <c r="M148" s="266"/>
      <c r="N148" s="266"/>
    </row>
    <row r="149" spans="3:14" s="237" customFormat="1" x14ac:dyDescent="0.2">
      <c r="C149" s="266"/>
      <c r="D149" s="266"/>
      <c r="E149" s="266"/>
      <c r="F149" s="266"/>
      <c r="G149" s="266"/>
      <c r="H149" s="266"/>
      <c r="I149" s="266"/>
      <c r="J149" s="266"/>
      <c r="K149" s="266"/>
      <c r="L149" s="266"/>
      <c r="M149" s="266"/>
      <c r="N149" s="266"/>
    </row>
    <row r="150" spans="3:14" s="237" customFormat="1" x14ac:dyDescent="0.2">
      <c r="C150" s="266"/>
      <c r="D150" s="266"/>
      <c r="E150" s="266"/>
      <c r="F150" s="266"/>
      <c r="G150" s="266"/>
      <c r="H150" s="266"/>
      <c r="I150" s="266"/>
      <c r="J150" s="266"/>
      <c r="K150" s="266"/>
      <c r="L150" s="266"/>
      <c r="M150" s="266"/>
      <c r="N150" s="266"/>
    </row>
    <row r="151" spans="3:14" s="237" customFormat="1" x14ac:dyDescent="0.2">
      <c r="C151" s="266"/>
      <c r="D151" s="266"/>
      <c r="E151" s="266"/>
      <c r="F151" s="266"/>
      <c r="G151" s="266"/>
      <c r="H151" s="266"/>
      <c r="I151" s="266"/>
      <c r="J151" s="266"/>
      <c r="K151" s="266"/>
      <c r="L151" s="266"/>
      <c r="M151" s="266"/>
      <c r="N151" s="266"/>
    </row>
    <row r="152" spans="3:14" s="237" customFormat="1" x14ac:dyDescent="0.2">
      <c r="C152" s="266"/>
      <c r="D152" s="266"/>
      <c r="E152" s="266"/>
      <c r="F152" s="266"/>
      <c r="G152" s="266"/>
      <c r="H152" s="266"/>
      <c r="I152" s="266"/>
      <c r="J152" s="266"/>
      <c r="K152" s="266"/>
      <c r="L152" s="266"/>
      <c r="M152" s="266"/>
      <c r="N152" s="266"/>
    </row>
    <row r="153" spans="3:14" s="237" customFormat="1" x14ac:dyDescent="0.2">
      <c r="C153" s="266"/>
      <c r="D153" s="266"/>
      <c r="E153" s="266"/>
      <c r="F153" s="266"/>
      <c r="G153" s="266"/>
      <c r="H153" s="266"/>
      <c r="I153" s="266"/>
      <c r="J153" s="266"/>
      <c r="K153" s="266"/>
      <c r="L153" s="266"/>
      <c r="M153" s="266"/>
      <c r="N153" s="266"/>
    </row>
    <row r="154" spans="3:14" s="237" customFormat="1" x14ac:dyDescent="0.2">
      <c r="C154" s="266"/>
      <c r="D154" s="266"/>
      <c r="E154" s="266"/>
      <c r="F154" s="266"/>
      <c r="G154" s="266"/>
      <c r="H154" s="266"/>
      <c r="I154" s="266"/>
      <c r="J154" s="266"/>
      <c r="K154" s="266"/>
      <c r="L154" s="266"/>
      <c r="M154" s="266"/>
      <c r="N154" s="266"/>
    </row>
    <row r="155" spans="3:14" s="237" customFormat="1" x14ac:dyDescent="0.2">
      <c r="C155" s="266"/>
      <c r="D155" s="266"/>
      <c r="E155" s="266"/>
      <c r="F155" s="266"/>
      <c r="G155" s="266"/>
      <c r="H155" s="266"/>
      <c r="I155" s="266"/>
      <c r="J155" s="266"/>
      <c r="K155" s="266"/>
      <c r="L155" s="266"/>
      <c r="M155" s="266"/>
      <c r="N155" s="266"/>
    </row>
    <row r="156" spans="3:14" s="237" customFormat="1" x14ac:dyDescent="0.2">
      <c r="C156" s="266"/>
      <c r="D156" s="266"/>
      <c r="E156" s="266"/>
      <c r="F156" s="266"/>
      <c r="G156" s="266"/>
      <c r="H156" s="266"/>
      <c r="I156" s="266"/>
      <c r="J156" s="266"/>
      <c r="K156" s="266"/>
      <c r="L156" s="266"/>
      <c r="M156" s="266"/>
      <c r="N156" s="266"/>
    </row>
    <row r="157" spans="3:14" s="237" customFormat="1" x14ac:dyDescent="0.2">
      <c r="C157" s="266"/>
      <c r="D157" s="266"/>
      <c r="E157" s="266"/>
      <c r="F157" s="266"/>
      <c r="G157" s="266"/>
      <c r="H157" s="266"/>
      <c r="I157" s="266"/>
      <c r="J157" s="266"/>
      <c r="K157" s="266"/>
      <c r="L157" s="266"/>
      <c r="M157" s="266"/>
      <c r="N157" s="266"/>
    </row>
    <row r="158" spans="3:14" s="237" customFormat="1" x14ac:dyDescent="0.2">
      <c r="C158" s="266"/>
      <c r="D158" s="266"/>
      <c r="E158" s="266"/>
      <c r="F158" s="266"/>
      <c r="G158" s="266"/>
      <c r="H158" s="266"/>
      <c r="I158" s="266"/>
      <c r="J158" s="266"/>
      <c r="K158" s="266"/>
      <c r="L158" s="266"/>
      <c r="M158" s="266"/>
      <c r="N158" s="266"/>
    </row>
    <row r="159" spans="3:14" s="237" customFormat="1" x14ac:dyDescent="0.2">
      <c r="C159" s="266"/>
      <c r="D159" s="266"/>
      <c r="E159" s="266"/>
      <c r="F159" s="266"/>
      <c r="G159" s="266"/>
      <c r="H159" s="266"/>
      <c r="I159" s="266"/>
      <c r="J159" s="266"/>
      <c r="K159" s="266"/>
      <c r="L159" s="266"/>
      <c r="M159" s="266"/>
      <c r="N159" s="266"/>
    </row>
    <row r="160" spans="3:14" s="237" customFormat="1" x14ac:dyDescent="0.2">
      <c r="C160" s="266"/>
      <c r="D160" s="266"/>
      <c r="E160" s="266"/>
      <c r="F160" s="266"/>
      <c r="G160" s="266"/>
      <c r="H160" s="266"/>
      <c r="I160" s="266"/>
      <c r="J160" s="266"/>
      <c r="K160" s="266"/>
      <c r="L160" s="266"/>
      <c r="M160" s="266"/>
      <c r="N160" s="266"/>
    </row>
    <row r="161" spans="3:14" s="237" customFormat="1" x14ac:dyDescent="0.2">
      <c r="C161" s="266"/>
      <c r="D161" s="266"/>
      <c r="E161" s="266"/>
      <c r="F161" s="266"/>
      <c r="G161" s="266"/>
      <c r="H161" s="266"/>
      <c r="I161" s="266"/>
      <c r="J161" s="266"/>
      <c r="K161" s="266"/>
      <c r="L161" s="266"/>
      <c r="M161" s="266"/>
      <c r="N161" s="266"/>
    </row>
    <row r="162" spans="3:14" s="237" customFormat="1" x14ac:dyDescent="0.2">
      <c r="C162" s="266"/>
      <c r="D162" s="266"/>
      <c r="E162" s="266"/>
      <c r="F162" s="266"/>
      <c r="G162" s="266"/>
      <c r="H162" s="266"/>
      <c r="I162" s="266"/>
      <c r="J162" s="266"/>
      <c r="K162" s="266"/>
      <c r="L162" s="266"/>
      <c r="M162" s="266"/>
      <c r="N162" s="266"/>
    </row>
    <row r="163" spans="3:14" s="237" customFormat="1" x14ac:dyDescent="0.2">
      <c r="C163" s="266"/>
      <c r="D163" s="266"/>
      <c r="E163" s="266"/>
      <c r="F163" s="266"/>
      <c r="G163" s="266"/>
      <c r="H163" s="266"/>
      <c r="I163" s="266"/>
      <c r="J163" s="266"/>
      <c r="K163" s="266"/>
      <c r="L163" s="266"/>
      <c r="M163" s="266"/>
      <c r="N163" s="266"/>
    </row>
    <row r="164" spans="3:14" s="237" customFormat="1" x14ac:dyDescent="0.2">
      <c r="C164" s="266"/>
      <c r="D164" s="266"/>
      <c r="E164" s="266"/>
      <c r="F164" s="266"/>
      <c r="G164" s="266"/>
      <c r="H164" s="266"/>
      <c r="I164" s="266"/>
      <c r="J164" s="266"/>
      <c r="K164" s="266"/>
      <c r="L164" s="266"/>
      <c r="M164" s="266"/>
      <c r="N164" s="266"/>
    </row>
    <row r="165" spans="3:14" s="237" customFormat="1" x14ac:dyDescent="0.2">
      <c r="C165" s="266"/>
      <c r="D165" s="266"/>
      <c r="E165" s="266"/>
      <c r="F165" s="266"/>
      <c r="G165" s="266"/>
      <c r="H165" s="266"/>
      <c r="I165" s="266"/>
      <c r="J165" s="266"/>
      <c r="K165" s="266"/>
      <c r="L165" s="266"/>
      <c r="M165" s="266"/>
      <c r="N165" s="266"/>
    </row>
    <row r="166" spans="3:14" s="237" customFormat="1" x14ac:dyDescent="0.2">
      <c r="C166" s="266"/>
      <c r="D166" s="266"/>
      <c r="E166" s="266"/>
      <c r="F166" s="266"/>
      <c r="G166" s="266"/>
      <c r="H166" s="266"/>
      <c r="I166" s="266"/>
      <c r="J166" s="266"/>
      <c r="K166" s="266"/>
      <c r="L166" s="266"/>
      <c r="M166" s="266"/>
      <c r="N166" s="266"/>
    </row>
    <row r="167" spans="3:14" s="237" customFormat="1" x14ac:dyDescent="0.2">
      <c r="C167" s="266"/>
      <c r="D167" s="266"/>
      <c r="E167" s="266"/>
      <c r="F167" s="266"/>
      <c r="G167" s="266"/>
      <c r="H167" s="266"/>
      <c r="I167" s="266"/>
      <c r="J167" s="266"/>
      <c r="K167" s="266"/>
      <c r="L167" s="266"/>
      <c r="M167" s="266"/>
      <c r="N167" s="266"/>
    </row>
    <row r="168" spans="3:14" s="237" customFormat="1" x14ac:dyDescent="0.2">
      <c r="C168" s="266"/>
      <c r="D168" s="266"/>
      <c r="E168" s="266"/>
      <c r="F168" s="266"/>
      <c r="G168" s="266"/>
      <c r="H168" s="266"/>
      <c r="I168" s="266"/>
      <c r="J168" s="266"/>
      <c r="K168" s="266"/>
      <c r="L168" s="266"/>
      <c r="M168" s="266"/>
      <c r="N168" s="266"/>
    </row>
    <row r="169" spans="3:14" s="237" customFormat="1" x14ac:dyDescent="0.2">
      <c r="C169" s="266"/>
      <c r="D169" s="266"/>
      <c r="E169" s="266"/>
      <c r="F169" s="266"/>
      <c r="G169" s="266"/>
      <c r="H169" s="266"/>
      <c r="I169" s="266"/>
      <c r="J169" s="266"/>
      <c r="K169" s="266"/>
      <c r="L169" s="266"/>
      <c r="M169" s="266"/>
      <c r="N169" s="266"/>
    </row>
    <row r="170" spans="3:14" s="237" customFormat="1" x14ac:dyDescent="0.2">
      <c r="C170" s="266"/>
      <c r="D170" s="266"/>
      <c r="E170" s="266"/>
      <c r="F170" s="266"/>
      <c r="G170" s="266"/>
      <c r="H170" s="266"/>
      <c r="I170" s="266"/>
      <c r="J170" s="266"/>
      <c r="K170" s="266"/>
      <c r="L170" s="266"/>
      <c r="M170" s="266"/>
      <c r="N170" s="266"/>
    </row>
    <row r="171" spans="3:14" s="237" customFormat="1" x14ac:dyDescent="0.2">
      <c r="C171" s="266"/>
      <c r="D171" s="266"/>
      <c r="E171" s="266"/>
      <c r="F171" s="266"/>
      <c r="G171" s="266"/>
      <c r="H171" s="266"/>
      <c r="I171" s="266"/>
      <c r="J171" s="266"/>
      <c r="K171" s="266"/>
      <c r="L171" s="266"/>
      <c r="M171" s="266"/>
      <c r="N171" s="266"/>
    </row>
    <row r="172" spans="3:14" s="237" customFormat="1" x14ac:dyDescent="0.2">
      <c r="C172" s="266"/>
      <c r="D172" s="266"/>
      <c r="E172" s="266"/>
      <c r="F172" s="266"/>
      <c r="G172" s="266"/>
      <c r="H172" s="266"/>
      <c r="I172" s="266"/>
      <c r="J172" s="266"/>
      <c r="K172" s="266"/>
      <c r="L172" s="266"/>
      <c r="M172" s="266"/>
      <c r="N172" s="266"/>
    </row>
    <row r="173" spans="3:14" s="237" customFormat="1" x14ac:dyDescent="0.2">
      <c r="C173" s="266"/>
      <c r="D173" s="266"/>
      <c r="E173" s="266"/>
      <c r="F173" s="266"/>
      <c r="G173" s="266"/>
      <c r="H173" s="266"/>
      <c r="I173" s="266"/>
      <c r="J173" s="266"/>
      <c r="K173" s="266"/>
      <c r="L173" s="266"/>
      <c r="M173" s="266"/>
      <c r="N173" s="266"/>
    </row>
    <row r="174" spans="3:14" s="237" customFormat="1" x14ac:dyDescent="0.2">
      <c r="C174" s="266"/>
      <c r="D174" s="266"/>
      <c r="E174" s="266"/>
      <c r="F174" s="266"/>
      <c r="G174" s="266"/>
      <c r="H174" s="266"/>
      <c r="I174" s="266"/>
      <c r="J174" s="266"/>
      <c r="K174" s="266"/>
      <c r="L174" s="266"/>
      <c r="M174" s="266"/>
      <c r="N174" s="266"/>
    </row>
    <row r="175" spans="3:14" s="237" customFormat="1" x14ac:dyDescent="0.2">
      <c r="C175" s="266"/>
      <c r="D175" s="266"/>
      <c r="E175" s="266"/>
      <c r="F175" s="266"/>
      <c r="G175" s="266"/>
      <c r="H175" s="266"/>
      <c r="I175" s="266"/>
      <c r="J175" s="266"/>
      <c r="K175" s="266"/>
      <c r="L175" s="266"/>
      <c r="M175" s="266"/>
      <c r="N175" s="266"/>
    </row>
    <row r="176" spans="3:14" s="237" customFormat="1" x14ac:dyDescent="0.2">
      <c r="C176" s="266"/>
      <c r="D176" s="266"/>
      <c r="E176" s="266"/>
      <c r="F176" s="266"/>
      <c r="G176" s="266"/>
      <c r="H176" s="266"/>
      <c r="I176" s="266"/>
      <c r="J176" s="266"/>
      <c r="K176" s="266"/>
      <c r="L176" s="266"/>
      <c r="M176" s="266"/>
      <c r="N176" s="266"/>
    </row>
    <row r="177" spans="3:14" s="237" customFormat="1" x14ac:dyDescent="0.2">
      <c r="C177" s="266"/>
      <c r="D177" s="266"/>
      <c r="E177" s="266"/>
      <c r="F177" s="266"/>
      <c r="G177" s="266"/>
      <c r="H177" s="266"/>
      <c r="I177" s="266"/>
      <c r="J177" s="266"/>
      <c r="K177" s="266"/>
      <c r="L177" s="266"/>
      <c r="M177" s="266"/>
      <c r="N177" s="266"/>
    </row>
    <row r="178" spans="3:14" s="237" customFormat="1" x14ac:dyDescent="0.2">
      <c r="C178" s="266"/>
      <c r="D178" s="266"/>
      <c r="E178" s="266"/>
      <c r="F178" s="266"/>
      <c r="G178" s="266"/>
      <c r="H178" s="266"/>
      <c r="I178" s="266"/>
      <c r="J178" s="266"/>
      <c r="K178" s="266"/>
      <c r="L178" s="266"/>
      <c r="M178" s="266"/>
      <c r="N178" s="266"/>
    </row>
    <row r="179" spans="3:14" s="237" customFormat="1" x14ac:dyDescent="0.2">
      <c r="C179" s="266"/>
      <c r="D179" s="266"/>
      <c r="E179" s="266"/>
      <c r="F179" s="266"/>
      <c r="G179" s="266"/>
      <c r="H179" s="266"/>
      <c r="I179" s="266"/>
      <c r="J179" s="266"/>
      <c r="K179" s="266"/>
      <c r="L179" s="266"/>
      <c r="M179" s="266"/>
      <c r="N179" s="266"/>
    </row>
    <row r="180" spans="3:14" s="237" customFormat="1" x14ac:dyDescent="0.2">
      <c r="C180" s="266"/>
      <c r="D180" s="266"/>
      <c r="E180" s="266"/>
      <c r="F180" s="266"/>
      <c r="G180" s="266"/>
      <c r="H180" s="266"/>
      <c r="I180" s="266"/>
      <c r="J180" s="266"/>
      <c r="K180" s="266"/>
      <c r="L180" s="266"/>
      <c r="M180" s="266"/>
      <c r="N180" s="266"/>
    </row>
    <row r="181" spans="3:14" s="237" customFormat="1" x14ac:dyDescent="0.2">
      <c r="C181" s="266"/>
      <c r="D181" s="266"/>
      <c r="E181" s="266"/>
      <c r="F181" s="266"/>
      <c r="G181" s="266"/>
      <c r="H181" s="266"/>
      <c r="I181" s="266"/>
      <c r="J181" s="266"/>
      <c r="K181" s="266"/>
      <c r="L181" s="266"/>
      <c r="M181" s="266"/>
      <c r="N181" s="266"/>
    </row>
    <row r="182" spans="3:14" s="237" customFormat="1" x14ac:dyDescent="0.2">
      <c r="C182" s="266"/>
      <c r="D182" s="266"/>
      <c r="E182" s="266"/>
      <c r="F182" s="266"/>
      <c r="G182" s="266"/>
      <c r="H182" s="266"/>
      <c r="I182" s="266"/>
      <c r="J182" s="266"/>
      <c r="K182" s="266"/>
      <c r="L182" s="266"/>
      <c r="M182" s="266"/>
      <c r="N182" s="266"/>
    </row>
    <row r="183" spans="3:14" s="237" customFormat="1" x14ac:dyDescent="0.2">
      <c r="C183" s="266"/>
      <c r="D183" s="266"/>
      <c r="E183" s="266"/>
      <c r="F183" s="266"/>
      <c r="G183" s="266"/>
      <c r="H183" s="266"/>
      <c r="I183" s="266"/>
      <c r="J183" s="266"/>
      <c r="K183" s="266"/>
      <c r="L183" s="266"/>
      <c r="M183" s="266"/>
      <c r="N183" s="266"/>
    </row>
    <row r="184" spans="3:14" s="237" customFormat="1" x14ac:dyDescent="0.2">
      <c r="C184" s="266"/>
      <c r="D184" s="266"/>
      <c r="E184" s="266"/>
      <c r="F184" s="266"/>
      <c r="G184" s="266"/>
      <c r="H184" s="266"/>
      <c r="I184" s="266"/>
      <c r="J184" s="266"/>
      <c r="K184" s="266"/>
      <c r="L184" s="266"/>
      <c r="M184" s="266"/>
      <c r="N184" s="266"/>
    </row>
    <row r="185" spans="3:14" s="237" customFormat="1" x14ac:dyDescent="0.2">
      <c r="C185" s="266"/>
      <c r="D185" s="266"/>
      <c r="E185" s="266"/>
      <c r="F185" s="266"/>
      <c r="G185" s="266"/>
      <c r="H185" s="266"/>
      <c r="I185" s="266"/>
      <c r="J185" s="266"/>
      <c r="K185" s="266"/>
      <c r="L185" s="266"/>
      <c r="M185" s="266"/>
      <c r="N185" s="266"/>
    </row>
    <row r="186" spans="3:14" s="237" customFormat="1" x14ac:dyDescent="0.2">
      <c r="C186" s="266"/>
      <c r="D186" s="266"/>
      <c r="E186" s="266"/>
      <c r="F186" s="266"/>
      <c r="G186" s="266"/>
      <c r="H186" s="266"/>
      <c r="I186" s="266"/>
      <c r="J186" s="266"/>
      <c r="K186" s="266"/>
      <c r="L186" s="266"/>
      <c r="M186" s="266"/>
      <c r="N186" s="266"/>
    </row>
    <row r="187" spans="3:14" s="237" customFormat="1" x14ac:dyDescent="0.2">
      <c r="C187" s="266"/>
      <c r="D187" s="266"/>
      <c r="E187" s="266"/>
      <c r="F187" s="266"/>
      <c r="G187" s="266"/>
      <c r="H187" s="266"/>
      <c r="I187" s="266"/>
      <c r="J187" s="266"/>
      <c r="K187" s="266"/>
      <c r="L187" s="266"/>
      <c r="M187" s="266"/>
      <c r="N187" s="266"/>
    </row>
    <row r="188" spans="3:14" s="237" customFormat="1" x14ac:dyDescent="0.2">
      <c r="C188" s="266"/>
      <c r="D188" s="266"/>
      <c r="E188" s="266"/>
      <c r="F188" s="266"/>
      <c r="G188" s="266"/>
      <c r="H188" s="266"/>
      <c r="I188" s="266"/>
      <c r="J188" s="266"/>
      <c r="K188" s="266"/>
      <c r="L188" s="266"/>
      <c r="M188" s="266"/>
      <c r="N188" s="266"/>
    </row>
    <row r="189" spans="3:14" s="237" customFormat="1" x14ac:dyDescent="0.2">
      <c r="C189" s="266"/>
      <c r="D189" s="266"/>
      <c r="E189" s="266"/>
      <c r="F189" s="266"/>
      <c r="G189" s="266"/>
      <c r="H189" s="266"/>
      <c r="I189" s="266"/>
      <c r="J189" s="266"/>
      <c r="K189" s="266"/>
      <c r="L189" s="266"/>
      <c r="M189" s="266"/>
      <c r="N189" s="266"/>
    </row>
    <row r="190" spans="3:14" s="237" customFormat="1" x14ac:dyDescent="0.2">
      <c r="C190" s="266"/>
      <c r="D190" s="266"/>
      <c r="E190" s="266"/>
      <c r="F190" s="266"/>
      <c r="G190" s="266"/>
      <c r="H190" s="266"/>
      <c r="I190" s="266"/>
      <c r="J190" s="266"/>
      <c r="K190" s="266"/>
      <c r="L190" s="266"/>
      <c r="M190" s="266"/>
      <c r="N190" s="266"/>
    </row>
    <row r="191" spans="3:14" s="237" customFormat="1" x14ac:dyDescent="0.2">
      <c r="C191" s="266"/>
      <c r="D191" s="266"/>
      <c r="E191" s="266"/>
      <c r="F191" s="266"/>
      <c r="G191" s="266"/>
      <c r="H191" s="266"/>
      <c r="I191" s="266"/>
      <c r="J191" s="266"/>
      <c r="K191" s="266"/>
      <c r="L191" s="266"/>
      <c r="M191" s="266"/>
      <c r="N191" s="266"/>
    </row>
    <row r="192" spans="3:14" s="237" customFormat="1" x14ac:dyDescent="0.2">
      <c r="C192" s="266"/>
      <c r="D192" s="266"/>
      <c r="E192" s="266"/>
      <c r="F192" s="266"/>
      <c r="G192" s="266"/>
      <c r="H192" s="266"/>
      <c r="I192" s="266"/>
      <c r="J192" s="266"/>
      <c r="K192" s="266"/>
      <c r="L192" s="266"/>
      <c r="M192" s="266"/>
      <c r="N192" s="266"/>
    </row>
    <row r="193" spans="3:14" s="237" customFormat="1" x14ac:dyDescent="0.2">
      <c r="C193" s="266"/>
      <c r="D193" s="266"/>
      <c r="E193" s="266"/>
      <c r="F193" s="266"/>
      <c r="G193" s="266"/>
      <c r="H193" s="266"/>
      <c r="I193" s="266"/>
      <c r="J193" s="266"/>
      <c r="K193" s="266"/>
      <c r="L193" s="266"/>
      <c r="M193" s="266"/>
      <c r="N193" s="266"/>
    </row>
    <row r="194" spans="3:14" s="237" customFormat="1" x14ac:dyDescent="0.2">
      <c r="C194" s="266"/>
      <c r="D194" s="266"/>
      <c r="E194" s="266"/>
      <c r="F194" s="266"/>
      <c r="G194" s="266"/>
      <c r="H194" s="266"/>
      <c r="I194" s="266"/>
      <c r="J194" s="266"/>
      <c r="K194" s="266"/>
      <c r="L194" s="266"/>
      <c r="M194" s="266"/>
      <c r="N194" s="266"/>
    </row>
    <row r="195" spans="3:14" s="237" customFormat="1" x14ac:dyDescent="0.2">
      <c r="C195" s="266"/>
      <c r="D195" s="266"/>
      <c r="E195" s="266"/>
      <c r="F195" s="266"/>
      <c r="G195" s="266"/>
      <c r="H195" s="266"/>
      <c r="I195" s="266"/>
      <c r="J195" s="266"/>
      <c r="K195" s="266"/>
      <c r="L195" s="266"/>
      <c r="M195" s="266"/>
      <c r="N195" s="266"/>
    </row>
    <row r="196" spans="3:14" s="237" customFormat="1" x14ac:dyDescent="0.2">
      <c r="C196" s="266"/>
      <c r="D196" s="266"/>
      <c r="E196" s="266"/>
      <c r="F196" s="266"/>
      <c r="G196" s="266"/>
      <c r="H196" s="266"/>
      <c r="I196" s="266"/>
      <c r="J196" s="266"/>
      <c r="K196" s="266"/>
      <c r="L196" s="266"/>
      <c r="M196" s="266"/>
      <c r="N196" s="266"/>
    </row>
    <row r="197" spans="3:14" s="237" customFormat="1" x14ac:dyDescent="0.2">
      <c r="C197" s="266"/>
      <c r="D197" s="266"/>
      <c r="E197" s="266"/>
      <c r="F197" s="266"/>
      <c r="G197" s="266"/>
      <c r="H197" s="266"/>
      <c r="I197" s="266"/>
      <c r="J197" s="266"/>
      <c r="K197" s="266"/>
      <c r="L197" s="266"/>
      <c r="M197" s="266"/>
      <c r="N197" s="266"/>
    </row>
    <row r="198" spans="3:14" s="237" customFormat="1" x14ac:dyDescent="0.2">
      <c r="C198" s="266"/>
      <c r="D198" s="266"/>
      <c r="E198" s="266"/>
      <c r="F198" s="266"/>
      <c r="G198" s="266"/>
      <c r="H198" s="266"/>
      <c r="I198" s="266"/>
      <c r="J198" s="266"/>
      <c r="K198" s="266"/>
      <c r="L198" s="266"/>
      <c r="M198" s="266"/>
      <c r="N198" s="266"/>
    </row>
    <row r="199" spans="3:14" s="237" customFormat="1" x14ac:dyDescent="0.2">
      <c r="C199" s="266"/>
      <c r="D199" s="266"/>
      <c r="E199" s="266"/>
      <c r="F199" s="266"/>
      <c r="G199" s="266"/>
      <c r="H199" s="266"/>
      <c r="I199" s="266"/>
      <c r="J199" s="266"/>
      <c r="K199" s="266"/>
      <c r="L199" s="266"/>
      <c r="M199" s="266"/>
      <c r="N199" s="266"/>
    </row>
    <row r="200" spans="3:14" s="237" customFormat="1" x14ac:dyDescent="0.2">
      <c r="C200" s="266"/>
      <c r="D200" s="266"/>
      <c r="E200" s="266"/>
      <c r="F200" s="266"/>
      <c r="G200" s="266"/>
      <c r="H200" s="266"/>
      <c r="I200" s="266"/>
      <c r="J200" s="266"/>
      <c r="K200" s="266"/>
      <c r="L200" s="266"/>
      <c r="M200" s="266"/>
      <c r="N200" s="266"/>
    </row>
    <row r="201" spans="3:14" s="237" customFormat="1" x14ac:dyDescent="0.2">
      <c r="C201" s="266"/>
      <c r="D201" s="266"/>
      <c r="E201" s="266"/>
      <c r="F201" s="266"/>
      <c r="G201" s="266"/>
      <c r="H201" s="266"/>
      <c r="I201" s="266"/>
      <c r="J201" s="266"/>
      <c r="K201" s="266"/>
      <c r="L201" s="266"/>
      <c r="M201" s="266"/>
      <c r="N201" s="266"/>
    </row>
    <row r="202" spans="3:14" s="237" customFormat="1" x14ac:dyDescent="0.2">
      <c r="C202" s="266"/>
      <c r="D202" s="266"/>
      <c r="E202" s="266"/>
      <c r="F202" s="266"/>
      <c r="G202" s="266"/>
      <c r="H202" s="266"/>
      <c r="I202" s="266"/>
      <c r="J202" s="266"/>
      <c r="K202" s="266"/>
      <c r="L202" s="266"/>
      <c r="M202" s="266"/>
      <c r="N202" s="266"/>
    </row>
    <row r="203" spans="3:14" s="237" customFormat="1" x14ac:dyDescent="0.2">
      <c r="C203" s="266"/>
      <c r="D203" s="266"/>
      <c r="E203" s="266"/>
      <c r="F203" s="266"/>
      <c r="G203" s="266"/>
      <c r="H203" s="266"/>
      <c r="I203" s="266"/>
      <c r="J203" s="266"/>
      <c r="K203" s="266"/>
      <c r="L203" s="266"/>
      <c r="M203" s="266"/>
      <c r="N203" s="266"/>
    </row>
    <row r="204" spans="3:14" s="237" customFormat="1" x14ac:dyDescent="0.2">
      <c r="C204" s="266"/>
      <c r="D204" s="266"/>
      <c r="E204" s="266"/>
      <c r="F204" s="266"/>
      <c r="G204" s="266"/>
      <c r="H204" s="266"/>
      <c r="I204" s="266"/>
      <c r="J204" s="266"/>
      <c r="K204" s="266"/>
      <c r="L204" s="266"/>
      <c r="M204" s="266"/>
      <c r="N204" s="266"/>
    </row>
    <row r="205" spans="3:14" s="237" customFormat="1" x14ac:dyDescent="0.2">
      <c r="C205" s="266"/>
      <c r="D205" s="266"/>
      <c r="E205" s="266"/>
      <c r="F205" s="266"/>
      <c r="G205" s="266"/>
      <c r="H205" s="266"/>
      <c r="I205" s="266"/>
      <c r="J205" s="266"/>
      <c r="K205" s="266"/>
      <c r="L205" s="266"/>
      <c r="M205" s="266"/>
      <c r="N205" s="266"/>
    </row>
    <row r="206" spans="3:14" s="237" customFormat="1" x14ac:dyDescent="0.2">
      <c r="C206" s="266"/>
      <c r="D206" s="266"/>
      <c r="E206" s="266"/>
      <c r="F206" s="266"/>
      <c r="G206" s="266"/>
      <c r="H206" s="266"/>
      <c r="I206" s="266"/>
      <c r="J206" s="266"/>
      <c r="K206" s="266"/>
      <c r="L206" s="266"/>
      <c r="M206" s="266"/>
      <c r="N206" s="266"/>
    </row>
    <row r="207" spans="3:14" s="237" customFormat="1" x14ac:dyDescent="0.2">
      <c r="C207" s="266"/>
      <c r="D207" s="266"/>
      <c r="E207" s="266"/>
      <c r="F207" s="266"/>
      <c r="G207" s="266"/>
      <c r="H207" s="266"/>
      <c r="I207" s="266"/>
      <c r="J207" s="266"/>
      <c r="K207" s="266"/>
      <c r="L207" s="266"/>
      <c r="M207" s="266"/>
      <c r="N207" s="266"/>
    </row>
    <row r="208" spans="3:14" s="237" customFormat="1" x14ac:dyDescent="0.2">
      <c r="C208" s="266"/>
      <c r="D208" s="266"/>
      <c r="E208" s="266"/>
      <c r="F208" s="266"/>
      <c r="G208" s="266"/>
      <c r="H208" s="266"/>
      <c r="I208" s="266"/>
      <c r="J208" s="266"/>
      <c r="K208" s="266"/>
      <c r="L208" s="266"/>
      <c r="M208" s="266"/>
      <c r="N208" s="266"/>
    </row>
    <row r="209" spans="3:14" s="237" customFormat="1" x14ac:dyDescent="0.2">
      <c r="C209" s="266"/>
      <c r="D209" s="266"/>
      <c r="E209" s="266"/>
      <c r="F209" s="266"/>
      <c r="G209" s="266"/>
      <c r="H209" s="266"/>
      <c r="I209" s="266"/>
      <c r="J209" s="266"/>
      <c r="K209" s="266"/>
      <c r="L209" s="266"/>
      <c r="M209" s="266"/>
      <c r="N209" s="266"/>
    </row>
    <row r="210" spans="3:14" s="237" customFormat="1" x14ac:dyDescent="0.2">
      <c r="C210" s="266"/>
      <c r="D210" s="266"/>
      <c r="E210" s="266"/>
      <c r="F210" s="266"/>
      <c r="G210" s="266"/>
      <c r="H210" s="266"/>
      <c r="I210" s="266"/>
      <c r="J210" s="266"/>
      <c r="K210" s="266"/>
      <c r="L210" s="266"/>
      <c r="M210" s="266"/>
      <c r="N210" s="266"/>
    </row>
    <row r="211" spans="3:14" s="237" customFormat="1" x14ac:dyDescent="0.2">
      <c r="C211" s="266"/>
      <c r="D211" s="266"/>
      <c r="E211" s="266"/>
      <c r="F211" s="266"/>
      <c r="G211" s="266"/>
      <c r="H211" s="266"/>
      <c r="I211" s="266"/>
      <c r="J211" s="266"/>
      <c r="K211" s="266"/>
      <c r="L211" s="266"/>
      <c r="M211" s="266"/>
      <c r="N211" s="266"/>
    </row>
    <row r="212" spans="3:14" s="237" customFormat="1" x14ac:dyDescent="0.2">
      <c r="C212" s="266"/>
      <c r="D212" s="266"/>
      <c r="E212" s="266"/>
      <c r="F212" s="266"/>
      <c r="G212" s="266"/>
      <c r="H212" s="266"/>
      <c r="I212" s="266"/>
      <c r="J212" s="266"/>
      <c r="K212" s="266"/>
      <c r="L212" s="266"/>
      <c r="M212" s="266"/>
      <c r="N212" s="266"/>
    </row>
    <row r="213" spans="3:14" s="237" customFormat="1" x14ac:dyDescent="0.2">
      <c r="C213" s="266"/>
      <c r="D213" s="266"/>
      <c r="E213" s="266"/>
      <c r="F213" s="266"/>
      <c r="G213" s="266"/>
      <c r="H213" s="266"/>
      <c r="I213" s="266"/>
      <c r="J213" s="266"/>
      <c r="K213" s="266"/>
      <c r="L213" s="266"/>
      <c r="M213" s="266"/>
      <c r="N213" s="266"/>
    </row>
    <row r="214" spans="3:14" s="237" customFormat="1" x14ac:dyDescent="0.2">
      <c r="C214" s="266"/>
      <c r="D214" s="266"/>
      <c r="E214" s="266"/>
      <c r="F214" s="266"/>
      <c r="G214" s="266"/>
      <c r="H214" s="266"/>
      <c r="I214" s="266"/>
      <c r="J214" s="266"/>
      <c r="K214" s="266"/>
      <c r="L214" s="266"/>
      <c r="M214" s="266"/>
      <c r="N214" s="266"/>
    </row>
    <row r="215" spans="3:14" s="237" customFormat="1" x14ac:dyDescent="0.2">
      <c r="C215" s="266"/>
      <c r="D215" s="266"/>
      <c r="E215" s="266"/>
      <c r="F215" s="266"/>
      <c r="G215" s="266"/>
      <c r="H215" s="266"/>
      <c r="I215" s="266"/>
      <c r="J215" s="266"/>
      <c r="K215" s="266"/>
      <c r="L215" s="266"/>
      <c r="M215" s="266"/>
      <c r="N215" s="266"/>
    </row>
    <row r="216" spans="3:14" s="237" customFormat="1" x14ac:dyDescent="0.2">
      <c r="C216" s="266"/>
      <c r="D216" s="266"/>
      <c r="E216" s="266"/>
      <c r="F216" s="266"/>
      <c r="G216" s="266"/>
      <c r="H216" s="266"/>
      <c r="I216" s="266"/>
      <c r="J216" s="266"/>
      <c r="K216" s="266"/>
      <c r="L216" s="266"/>
      <c r="M216" s="266"/>
      <c r="N216" s="266"/>
    </row>
    <row r="217" spans="3:14" s="237" customFormat="1" x14ac:dyDescent="0.2">
      <c r="C217" s="266"/>
      <c r="D217" s="266"/>
      <c r="E217" s="266"/>
      <c r="F217" s="266"/>
      <c r="G217" s="266"/>
      <c r="H217" s="266"/>
      <c r="I217" s="266"/>
      <c r="J217" s="266"/>
      <c r="K217" s="266"/>
      <c r="L217" s="266"/>
      <c r="M217" s="266"/>
      <c r="N217" s="266"/>
    </row>
    <row r="218" spans="3:14" s="237" customFormat="1" x14ac:dyDescent="0.2">
      <c r="C218" s="266"/>
      <c r="D218" s="266"/>
      <c r="E218" s="266"/>
      <c r="F218" s="266"/>
      <c r="G218" s="266"/>
      <c r="H218" s="266"/>
      <c r="I218" s="266"/>
      <c r="J218" s="266"/>
      <c r="K218" s="266"/>
      <c r="L218" s="266"/>
      <c r="M218" s="266"/>
      <c r="N218" s="266"/>
    </row>
    <row r="219" spans="3:14" s="237" customFormat="1" x14ac:dyDescent="0.2">
      <c r="C219" s="266"/>
      <c r="D219" s="266"/>
      <c r="E219" s="266"/>
      <c r="F219" s="266"/>
      <c r="G219" s="266"/>
      <c r="H219" s="266"/>
      <c r="I219" s="266"/>
      <c r="J219" s="266"/>
      <c r="K219" s="266"/>
      <c r="L219" s="266"/>
      <c r="M219" s="266"/>
      <c r="N219" s="266"/>
    </row>
    <row r="220" spans="3:14" s="237" customFormat="1" x14ac:dyDescent="0.2">
      <c r="C220" s="266"/>
      <c r="D220" s="266"/>
      <c r="E220" s="266"/>
      <c r="F220" s="266"/>
      <c r="G220" s="266"/>
      <c r="H220" s="266"/>
      <c r="I220" s="266"/>
      <c r="J220" s="266"/>
      <c r="K220" s="266"/>
      <c r="L220" s="266"/>
      <c r="M220" s="266"/>
      <c r="N220" s="266"/>
    </row>
    <row r="221" spans="3:14" s="237" customFormat="1" x14ac:dyDescent="0.2">
      <c r="C221" s="266"/>
      <c r="D221" s="266"/>
      <c r="E221" s="266"/>
      <c r="F221" s="266"/>
      <c r="G221" s="266"/>
      <c r="H221" s="266"/>
      <c r="I221" s="266"/>
      <c r="J221" s="266"/>
      <c r="K221" s="266"/>
      <c r="L221" s="266"/>
      <c r="M221" s="266"/>
      <c r="N221" s="266"/>
    </row>
    <row r="222" spans="3:14" s="237" customFormat="1" x14ac:dyDescent="0.2">
      <c r="C222" s="266"/>
      <c r="D222" s="266"/>
      <c r="E222" s="266"/>
      <c r="F222" s="266"/>
      <c r="G222" s="266"/>
      <c r="H222" s="266"/>
      <c r="I222" s="266"/>
      <c r="J222" s="266"/>
      <c r="K222" s="266"/>
      <c r="L222" s="266"/>
      <c r="M222" s="266"/>
      <c r="N222" s="266"/>
    </row>
    <row r="223" spans="3:14" s="237" customFormat="1" x14ac:dyDescent="0.2">
      <c r="C223" s="266"/>
      <c r="D223" s="266"/>
      <c r="E223" s="266"/>
      <c r="F223" s="266"/>
      <c r="G223" s="266"/>
      <c r="H223" s="266"/>
      <c r="I223" s="266"/>
      <c r="J223" s="266"/>
      <c r="K223" s="266"/>
      <c r="L223" s="266"/>
      <c r="M223" s="266"/>
      <c r="N223" s="266"/>
    </row>
    <row r="224" spans="3:14" s="237" customFormat="1" x14ac:dyDescent="0.2">
      <c r="C224" s="266"/>
      <c r="D224" s="266"/>
      <c r="E224" s="266"/>
      <c r="F224" s="266"/>
      <c r="G224" s="266"/>
      <c r="H224" s="266"/>
      <c r="I224" s="266"/>
      <c r="J224" s="266"/>
      <c r="K224" s="266"/>
      <c r="L224" s="266"/>
      <c r="M224" s="266"/>
      <c r="N224" s="266"/>
    </row>
    <row r="225" spans="3:14" s="237" customFormat="1" x14ac:dyDescent="0.2">
      <c r="C225" s="266"/>
      <c r="D225" s="266"/>
      <c r="E225" s="266"/>
      <c r="F225" s="266"/>
      <c r="G225" s="266"/>
      <c r="H225" s="266"/>
      <c r="I225" s="266"/>
      <c r="J225" s="266"/>
      <c r="K225" s="266"/>
      <c r="L225" s="266"/>
      <c r="M225" s="266"/>
      <c r="N225" s="266"/>
    </row>
    <row r="226" spans="3:14" s="237" customFormat="1" x14ac:dyDescent="0.2">
      <c r="C226" s="266"/>
      <c r="D226" s="266"/>
      <c r="E226" s="266"/>
      <c r="F226" s="266"/>
      <c r="G226" s="266"/>
      <c r="H226" s="266"/>
      <c r="I226" s="266"/>
      <c r="J226" s="266"/>
      <c r="K226" s="266"/>
      <c r="L226" s="266"/>
      <c r="M226" s="266"/>
      <c r="N226" s="266"/>
    </row>
    <row r="227" spans="3:14" s="237" customFormat="1" x14ac:dyDescent="0.2">
      <c r="C227" s="266"/>
      <c r="D227" s="266"/>
      <c r="E227" s="266"/>
      <c r="F227" s="266"/>
      <c r="G227" s="266"/>
      <c r="H227" s="266"/>
      <c r="I227" s="266"/>
      <c r="J227" s="266"/>
      <c r="K227" s="266"/>
      <c r="L227" s="266"/>
      <c r="M227" s="266"/>
      <c r="N227" s="266"/>
    </row>
    <row r="228" spans="3:14" s="237" customFormat="1" x14ac:dyDescent="0.2">
      <c r="C228" s="266"/>
      <c r="D228" s="266"/>
      <c r="E228" s="266"/>
      <c r="F228" s="266"/>
      <c r="G228" s="266"/>
      <c r="H228" s="266"/>
      <c r="I228" s="266"/>
      <c r="J228" s="266"/>
      <c r="K228" s="266"/>
      <c r="L228" s="266"/>
      <c r="M228" s="266"/>
      <c r="N228" s="266"/>
    </row>
    <row r="229" spans="3:14" s="237" customFormat="1" x14ac:dyDescent="0.2">
      <c r="C229" s="266"/>
      <c r="D229" s="266"/>
      <c r="E229" s="266"/>
      <c r="F229" s="266"/>
      <c r="G229" s="266"/>
      <c r="H229" s="266"/>
      <c r="I229" s="266"/>
      <c r="J229" s="266"/>
      <c r="K229" s="266"/>
      <c r="L229" s="266"/>
      <c r="M229" s="266"/>
      <c r="N229" s="266"/>
    </row>
    <row r="230" spans="3:14" s="237" customFormat="1" x14ac:dyDescent="0.2">
      <c r="C230" s="266"/>
      <c r="D230" s="266"/>
      <c r="E230" s="266"/>
      <c r="F230" s="266"/>
      <c r="G230" s="266"/>
      <c r="H230" s="266"/>
      <c r="I230" s="266"/>
      <c r="J230" s="266"/>
      <c r="K230" s="266"/>
      <c r="L230" s="266"/>
      <c r="M230" s="266"/>
      <c r="N230" s="266"/>
    </row>
    <row r="231" spans="3:14" s="237" customFormat="1" x14ac:dyDescent="0.2">
      <c r="C231" s="266"/>
      <c r="D231" s="266"/>
      <c r="E231" s="266"/>
      <c r="F231" s="266"/>
      <c r="G231" s="266"/>
      <c r="H231" s="266"/>
      <c r="I231" s="266"/>
      <c r="J231" s="266"/>
      <c r="K231" s="266"/>
      <c r="L231" s="266"/>
      <c r="M231" s="266"/>
      <c r="N231" s="266"/>
    </row>
    <row r="232" spans="3:14" s="237" customFormat="1" x14ac:dyDescent="0.2">
      <c r="C232" s="266"/>
      <c r="D232" s="266"/>
      <c r="E232" s="266"/>
      <c r="F232" s="266"/>
      <c r="G232" s="266"/>
      <c r="H232" s="266"/>
      <c r="I232" s="266"/>
      <c r="J232" s="266"/>
      <c r="K232" s="266"/>
      <c r="L232" s="266"/>
      <c r="M232" s="266"/>
      <c r="N232" s="266"/>
    </row>
    <row r="233" spans="3:14" s="237" customFormat="1" x14ac:dyDescent="0.2">
      <c r="C233" s="266"/>
      <c r="D233" s="266"/>
      <c r="E233" s="266"/>
      <c r="F233" s="266"/>
      <c r="G233" s="266"/>
      <c r="H233" s="266"/>
      <c r="I233" s="266"/>
      <c r="J233" s="266"/>
      <c r="K233" s="266"/>
      <c r="L233" s="266"/>
      <c r="M233" s="266"/>
      <c r="N233" s="266"/>
    </row>
    <row r="234" spans="3:14" s="237" customFormat="1" x14ac:dyDescent="0.2">
      <c r="C234" s="266"/>
      <c r="D234" s="266"/>
      <c r="E234" s="266"/>
      <c r="F234" s="266"/>
      <c r="G234" s="266"/>
      <c r="H234" s="266"/>
      <c r="I234" s="266"/>
      <c r="J234" s="266"/>
      <c r="K234" s="266"/>
      <c r="L234" s="266"/>
      <c r="M234" s="266"/>
      <c r="N234" s="266"/>
    </row>
    <row r="235" spans="3:14" s="237" customFormat="1" x14ac:dyDescent="0.2">
      <c r="C235" s="266"/>
      <c r="D235" s="266"/>
      <c r="E235" s="266"/>
      <c r="F235" s="266"/>
      <c r="G235" s="266"/>
      <c r="H235" s="266"/>
      <c r="I235" s="266"/>
      <c r="J235" s="266"/>
      <c r="K235" s="266"/>
      <c r="L235" s="266"/>
      <c r="M235" s="266"/>
      <c r="N235" s="266"/>
    </row>
    <row r="236" spans="3:14" s="237" customFormat="1" x14ac:dyDescent="0.2">
      <c r="C236" s="266"/>
      <c r="D236" s="266"/>
      <c r="E236" s="266"/>
      <c r="F236" s="266"/>
      <c r="G236" s="266"/>
      <c r="H236" s="266"/>
      <c r="I236" s="266"/>
      <c r="J236" s="266"/>
      <c r="K236" s="266"/>
      <c r="L236" s="266"/>
      <c r="M236" s="266"/>
      <c r="N236" s="266"/>
    </row>
    <row r="237" spans="3:14" s="237" customFormat="1" x14ac:dyDescent="0.2">
      <c r="C237" s="266"/>
      <c r="D237" s="266"/>
      <c r="E237" s="266"/>
      <c r="F237" s="266"/>
      <c r="G237" s="266"/>
      <c r="H237" s="266"/>
      <c r="I237" s="266"/>
      <c r="J237" s="266"/>
      <c r="K237" s="266"/>
      <c r="L237" s="266"/>
      <c r="M237" s="266"/>
      <c r="N237" s="266"/>
    </row>
    <row r="238" spans="3:14" s="237" customFormat="1" x14ac:dyDescent="0.2">
      <c r="C238" s="266"/>
      <c r="D238" s="266"/>
      <c r="E238" s="266"/>
      <c r="F238" s="266"/>
      <c r="G238" s="266"/>
      <c r="H238" s="266"/>
      <c r="I238" s="266"/>
      <c r="J238" s="266"/>
      <c r="K238" s="266"/>
      <c r="L238" s="266"/>
      <c r="M238" s="266"/>
      <c r="N238" s="266"/>
    </row>
    <row r="239" spans="3:14" s="237" customFormat="1" x14ac:dyDescent="0.2">
      <c r="C239" s="266"/>
      <c r="D239" s="266"/>
      <c r="E239" s="266"/>
      <c r="F239" s="266"/>
      <c r="G239" s="266"/>
      <c r="H239" s="266"/>
      <c r="I239" s="266"/>
      <c r="J239" s="266"/>
      <c r="K239" s="266"/>
      <c r="L239" s="266"/>
      <c r="M239" s="266"/>
      <c r="N239" s="266"/>
    </row>
    <row r="240" spans="3:14" s="237" customFormat="1" x14ac:dyDescent="0.2">
      <c r="C240" s="266"/>
      <c r="D240" s="266"/>
      <c r="E240" s="266"/>
      <c r="F240" s="266"/>
      <c r="G240" s="266"/>
      <c r="H240" s="266"/>
      <c r="I240" s="266"/>
      <c r="J240" s="266"/>
      <c r="K240" s="266"/>
      <c r="L240" s="266"/>
      <c r="M240" s="266"/>
      <c r="N240" s="266"/>
    </row>
    <row r="241" spans="3:14" s="237" customFormat="1" x14ac:dyDescent="0.2">
      <c r="C241" s="266"/>
      <c r="D241" s="266"/>
      <c r="E241" s="266"/>
      <c r="F241" s="266"/>
      <c r="G241" s="266"/>
      <c r="H241" s="266"/>
      <c r="I241" s="266"/>
      <c r="J241" s="266"/>
      <c r="K241" s="266"/>
      <c r="L241" s="266"/>
      <c r="M241" s="266"/>
      <c r="N241" s="266"/>
    </row>
    <row r="242" spans="3:14" s="237" customFormat="1" x14ac:dyDescent="0.2">
      <c r="C242" s="266"/>
      <c r="D242" s="266"/>
      <c r="E242" s="266"/>
      <c r="F242" s="266"/>
      <c r="G242" s="266"/>
      <c r="H242" s="266"/>
      <c r="I242" s="266"/>
      <c r="J242" s="266"/>
      <c r="K242" s="266"/>
      <c r="L242" s="266"/>
      <c r="M242" s="266"/>
      <c r="N242" s="266"/>
    </row>
    <row r="243" spans="3:14" s="237" customFormat="1" x14ac:dyDescent="0.2">
      <c r="C243" s="266"/>
      <c r="D243" s="266"/>
      <c r="E243" s="266"/>
      <c r="F243" s="266"/>
      <c r="G243" s="266"/>
      <c r="H243" s="266"/>
      <c r="I243" s="266"/>
      <c r="J243" s="266"/>
      <c r="K243" s="266"/>
      <c r="L243" s="266"/>
      <c r="M243" s="266"/>
      <c r="N243" s="266"/>
    </row>
    <row r="244" spans="3:14" s="237" customFormat="1" x14ac:dyDescent="0.2">
      <c r="C244" s="266"/>
      <c r="D244" s="266"/>
      <c r="E244" s="266"/>
      <c r="F244" s="266"/>
      <c r="G244" s="266"/>
      <c r="H244" s="266"/>
      <c r="I244" s="266"/>
      <c r="J244" s="266"/>
      <c r="K244" s="266"/>
      <c r="L244" s="266"/>
      <c r="M244" s="266"/>
      <c r="N244" s="266"/>
    </row>
    <row r="245" spans="3:14" s="237" customFormat="1" x14ac:dyDescent="0.2">
      <c r="C245" s="266"/>
      <c r="D245" s="266"/>
      <c r="E245" s="266"/>
      <c r="F245" s="266"/>
      <c r="G245" s="266"/>
      <c r="H245" s="266"/>
      <c r="I245" s="266"/>
      <c r="J245" s="266"/>
      <c r="K245" s="266"/>
      <c r="L245" s="266"/>
      <c r="M245" s="266"/>
      <c r="N245" s="266"/>
    </row>
    <row r="246" spans="3:14" s="237" customFormat="1" x14ac:dyDescent="0.2">
      <c r="C246" s="266"/>
      <c r="D246" s="266"/>
      <c r="E246" s="266"/>
      <c r="F246" s="266"/>
      <c r="G246" s="266"/>
      <c r="H246" s="266"/>
      <c r="I246" s="266"/>
      <c r="J246" s="266"/>
      <c r="K246" s="266"/>
      <c r="L246" s="266"/>
      <c r="M246" s="266"/>
      <c r="N246" s="266"/>
    </row>
    <row r="247" spans="3:14" s="237" customFormat="1" x14ac:dyDescent="0.2">
      <c r="C247" s="266"/>
      <c r="D247" s="266"/>
      <c r="E247" s="266"/>
      <c r="F247" s="266"/>
      <c r="G247" s="266"/>
      <c r="H247" s="266"/>
      <c r="I247" s="266"/>
      <c r="J247" s="266"/>
      <c r="K247" s="266"/>
      <c r="L247" s="266"/>
      <c r="M247" s="266"/>
      <c r="N247" s="266"/>
    </row>
    <row r="248" spans="3:14" s="237" customFormat="1" x14ac:dyDescent="0.2">
      <c r="C248" s="266"/>
      <c r="D248" s="266"/>
      <c r="E248" s="266"/>
      <c r="F248" s="266"/>
      <c r="G248" s="266"/>
      <c r="H248" s="266"/>
      <c r="I248" s="266"/>
      <c r="J248" s="266"/>
      <c r="K248" s="266"/>
      <c r="L248" s="266"/>
      <c r="M248" s="266"/>
      <c r="N248" s="266"/>
    </row>
  </sheetData>
  <protectedRanges>
    <protectedRange sqref="B14" name="Rango1"/>
  </protectedRanges>
  <mergeCells count="22">
    <mergeCell ref="A24:N24"/>
    <mergeCell ref="L6:L7"/>
    <mergeCell ref="M6:M7"/>
    <mergeCell ref="N6:N7"/>
    <mergeCell ref="A8:B8"/>
    <mergeCell ref="A13:B13"/>
    <mergeCell ref="A23:B23"/>
    <mergeCell ref="F6:F7"/>
    <mergeCell ref="G6:G7"/>
    <mergeCell ref="H6:H7"/>
    <mergeCell ref="I6:I7"/>
    <mergeCell ref="J6:J7"/>
    <mergeCell ref="K6:K7"/>
    <mergeCell ref="A2:N2"/>
    <mergeCell ref="A3:N3"/>
    <mergeCell ref="A4:N4"/>
    <mergeCell ref="A5:N5"/>
    <mergeCell ref="A6:A7"/>
    <mergeCell ref="B6:B7"/>
    <mergeCell ref="C6:C7"/>
    <mergeCell ref="D6:D7"/>
    <mergeCell ref="E6:E7"/>
  </mergeCells>
  <pageMargins left="0.16" right="0.16" top="0.75" bottom="0.75" header="0.3" footer="0.3"/>
  <pageSetup scale="9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BASE!$F$3:$F$4</xm:f>
          </x14:formula1>
          <xm:sqref>A14:A22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T244"/>
  <sheetViews>
    <sheetView zoomScale="90" zoomScaleNormal="90" workbookViewId="0">
      <selection activeCell="E19" sqref="E19"/>
    </sheetView>
  </sheetViews>
  <sheetFormatPr baseColWidth="10" defaultRowHeight="12.75" x14ac:dyDescent="0.2"/>
  <cols>
    <col min="1" max="1" width="12.7109375" customWidth="1"/>
    <col min="2" max="2" width="27" customWidth="1"/>
    <col min="3" max="30" width="10.7109375" style="277" customWidth="1"/>
    <col min="31" max="31" width="12.85546875" style="277" customWidth="1"/>
    <col min="32" max="98" width="11.42578125" style="237"/>
  </cols>
  <sheetData>
    <row r="1" spans="1:31" x14ac:dyDescent="0.2">
      <c r="A1" s="237"/>
      <c r="B1" s="237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</row>
    <row r="2" spans="1:31" ht="20.25" customHeight="1" x14ac:dyDescent="0.25">
      <c r="A2" s="1255" t="s">
        <v>524</v>
      </c>
      <c r="B2" s="1255"/>
      <c r="C2" s="1255"/>
      <c r="D2" s="1255"/>
      <c r="E2" s="1255"/>
      <c r="F2" s="1255"/>
      <c r="G2" s="1255"/>
      <c r="H2" s="1255"/>
      <c r="I2" s="1255"/>
      <c r="J2" s="1255"/>
      <c r="K2" s="1255"/>
      <c r="L2" s="1255"/>
      <c r="M2" s="1255"/>
      <c r="N2" s="1255"/>
      <c r="O2" s="1255"/>
      <c r="P2" s="1255"/>
      <c r="Q2" s="1255"/>
      <c r="R2" s="1255"/>
      <c r="S2" s="1255"/>
      <c r="T2" s="1255"/>
      <c r="U2" s="1255"/>
      <c r="V2" s="1255"/>
      <c r="W2" s="1255"/>
      <c r="X2" s="1255"/>
      <c r="Y2" s="1255"/>
      <c r="Z2" s="1255"/>
      <c r="AA2" s="1255"/>
      <c r="AB2" s="1255"/>
      <c r="AC2" s="1255"/>
      <c r="AD2" s="1255"/>
      <c r="AE2" s="1255"/>
    </row>
    <row r="3" spans="1:31" ht="20.25" customHeight="1" x14ac:dyDescent="0.25">
      <c r="A3" s="1254" t="str">
        <f>+PRESUPUESTO!B2</f>
        <v>MEDICINA PREGRADO</v>
      </c>
      <c r="B3" s="1254"/>
      <c r="C3" s="1254"/>
      <c r="D3" s="1254"/>
      <c r="E3" s="1254"/>
      <c r="F3" s="1254"/>
      <c r="G3" s="1254"/>
      <c r="H3" s="1254"/>
      <c r="I3" s="1254"/>
      <c r="J3" s="1254"/>
      <c r="K3" s="1254"/>
      <c r="L3" s="1254"/>
      <c r="M3" s="1254"/>
      <c r="N3" s="1254"/>
      <c r="O3" s="1254"/>
      <c r="P3" s="1254"/>
      <c r="Q3" s="1254"/>
      <c r="R3" s="1254"/>
      <c r="S3" s="1254"/>
      <c r="T3" s="1254"/>
      <c r="U3" s="1254"/>
      <c r="V3" s="1254"/>
      <c r="W3" s="1254"/>
      <c r="X3" s="1254"/>
      <c r="Y3" s="1254"/>
      <c r="Z3" s="1254"/>
      <c r="AA3" s="1254"/>
      <c r="AB3" s="1254"/>
      <c r="AC3" s="1254"/>
      <c r="AD3" s="1254"/>
      <c r="AE3" s="1254"/>
    </row>
    <row r="4" spans="1:31" ht="20.25" customHeight="1" thickBot="1" x14ac:dyDescent="0.3">
      <c r="A4" s="1256">
        <v>2018</v>
      </c>
      <c r="B4" s="1256"/>
      <c r="C4" s="1256"/>
      <c r="D4" s="1256"/>
      <c r="E4" s="1256"/>
      <c r="F4" s="1256"/>
      <c r="G4" s="1256"/>
      <c r="H4" s="1256"/>
      <c r="I4" s="1256"/>
      <c r="J4" s="1256"/>
      <c r="K4" s="1256"/>
      <c r="L4" s="1256"/>
      <c r="M4" s="1256"/>
      <c r="N4" s="1256"/>
      <c r="O4" s="1256"/>
      <c r="P4" s="1256"/>
      <c r="Q4" s="1256"/>
      <c r="R4" s="1256"/>
      <c r="S4" s="1256"/>
      <c r="T4" s="1256"/>
      <c r="U4" s="1256"/>
      <c r="V4" s="1256"/>
      <c r="W4" s="1256"/>
      <c r="X4" s="1256"/>
      <c r="Y4" s="1256"/>
      <c r="Z4" s="1256"/>
      <c r="AA4" s="1256"/>
      <c r="AB4" s="1256"/>
      <c r="AC4" s="1256"/>
      <c r="AD4" s="1256"/>
      <c r="AE4" s="1256"/>
    </row>
    <row r="5" spans="1:31" ht="12.75" customHeight="1" thickBot="1" x14ac:dyDescent="0.25">
      <c r="A5" s="1268" t="s">
        <v>668</v>
      </c>
      <c r="B5" s="1269"/>
      <c r="C5" s="1269"/>
      <c r="D5" s="1269"/>
      <c r="E5" s="1269"/>
      <c r="F5" s="1269"/>
      <c r="G5" s="1269"/>
      <c r="H5" s="1269"/>
      <c r="I5" s="1269"/>
      <c r="J5" s="1269"/>
      <c r="K5" s="1269"/>
      <c r="L5" s="1269"/>
      <c r="M5" s="1269"/>
      <c r="N5" s="1269"/>
      <c r="O5" s="1269"/>
      <c r="P5" s="1269"/>
      <c r="Q5" s="1269"/>
      <c r="R5" s="1269"/>
      <c r="S5" s="1269"/>
      <c r="T5" s="1269"/>
      <c r="U5" s="1269"/>
      <c r="V5" s="1269"/>
      <c r="W5" s="1269"/>
      <c r="X5" s="1269"/>
      <c r="Y5" s="1269"/>
      <c r="Z5" s="1269"/>
      <c r="AA5" s="1269"/>
      <c r="AB5" s="1269"/>
      <c r="AC5" s="1269"/>
      <c r="AD5" s="1269"/>
      <c r="AE5" s="1270"/>
    </row>
    <row r="6" spans="1:31" ht="12.75" customHeight="1" x14ac:dyDescent="0.2">
      <c r="A6" s="1257" t="s">
        <v>440</v>
      </c>
      <c r="B6" s="1259" t="s">
        <v>441</v>
      </c>
      <c r="C6" s="1249" t="s">
        <v>525</v>
      </c>
      <c r="D6" s="1249" t="s">
        <v>525</v>
      </c>
      <c r="E6" s="1249" t="s">
        <v>525</v>
      </c>
      <c r="F6" s="1249" t="s">
        <v>525</v>
      </c>
      <c r="G6" s="1249" t="s">
        <v>525</v>
      </c>
      <c r="H6" s="1249" t="s">
        <v>525</v>
      </c>
      <c r="I6" s="1249" t="s">
        <v>525</v>
      </c>
      <c r="J6" s="1249" t="s">
        <v>525</v>
      </c>
      <c r="K6" s="1249" t="s">
        <v>525</v>
      </c>
      <c r="L6" s="1249" t="s">
        <v>525</v>
      </c>
      <c r="M6" s="1249" t="s">
        <v>525</v>
      </c>
      <c r="N6" s="1249" t="s">
        <v>525</v>
      </c>
      <c r="O6" s="1249" t="s">
        <v>525</v>
      </c>
      <c r="P6" s="1249" t="s">
        <v>525</v>
      </c>
      <c r="Q6" s="1249" t="s">
        <v>525</v>
      </c>
      <c r="R6" s="1249" t="s">
        <v>525</v>
      </c>
      <c r="S6" s="1249" t="s">
        <v>525</v>
      </c>
      <c r="T6" s="1249" t="s">
        <v>525</v>
      </c>
      <c r="U6" s="1249" t="s">
        <v>525</v>
      </c>
      <c r="V6" s="1249" t="s">
        <v>525</v>
      </c>
      <c r="W6" s="1249" t="s">
        <v>525</v>
      </c>
      <c r="X6" s="1249" t="s">
        <v>525</v>
      </c>
      <c r="Y6" s="1249" t="s">
        <v>525</v>
      </c>
      <c r="Z6" s="1249" t="s">
        <v>525</v>
      </c>
      <c r="AA6" s="1249" t="s">
        <v>525</v>
      </c>
      <c r="AB6" s="1249" t="s">
        <v>525</v>
      </c>
      <c r="AC6" s="1249" t="s">
        <v>525</v>
      </c>
      <c r="AD6" s="1249" t="s">
        <v>525</v>
      </c>
      <c r="AE6" s="1249" t="s">
        <v>874</v>
      </c>
    </row>
    <row r="7" spans="1:31" ht="30.75" customHeight="1" thickBot="1" x14ac:dyDescent="0.25">
      <c r="A7" s="1258"/>
      <c r="B7" s="1260"/>
      <c r="C7" s="1250"/>
      <c r="D7" s="1250"/>
      <c r="E7" s="1250"/>
      <c r="F7" s="1250"/>
      <c r="G7" s="1250"/>
      <c r="H7" s="1250"/>
      <c r="I7" s="1250"/>
      <c r="J7" s="1250"/>
      <c r="K7" s="1250"/>
      <c r="L7" s="1250"/>
      <c r="M7" s="1250"/>
      <c r="N7" s="1250"/>
      <c r="O7" s="1250"/>
      <c r="P7" s="1250"/>
      <c r="Q7" s="1250"/>
      <c r="R7" s="1250"/>
      <c r="S7" s="1250"/>
      <c r="T7" s="1250"/>
      <c r="U7" s="1250"/>
      <c r="V7" s="1250"/>
      <c r="W7" s="1250"/>
      <c r="X7" s="1250"/>
      <c r="Y7" s="1250"/>
      <c r="Z7" s="1250"/>
      <c r="AA7" s="1250"/>
      <c r="AB7" s="1250"/>
      <c r="AC7" s="1250"/>
      <c r="AD7" s="1250"/>
      <c r="AE7" s="1250"/>
    </row>
    <row r="8" spans="1:31" ht="49.5" customHeight="1" thickBot="1" x14ac:dyDescent="0.25">
      <c r="A8" s="1263" t="s">
        <v>526</v>
      </c>
      <c r="B8" s="1264"/>
      <c r="C8" s="290"/>
      <c r="D8" s="290"/>
      <c r="E8" s="290"/>
      <c r="F8" s="290"/>
      <c r="G8" s="290"/>
      <c r="H8" s="290"/>
      <c r="I8" s="290"/>
      <c r="J8" s="290"/>
      <c r="K8" s="290"/>
      <c r="L8" s="290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67"/>
      <c r="AA8" s="267"/>
      <c r="AB8" s="267"/>
      <c r="AC8" s="267"/>
      <c r="AD8" s="267"/>
      <c r="AE8" s="268"/>
    </row>
    <row r="9" spans="1:31" ht="18" customHeight="1" x14ac:dyDescent="0.2">
      <c r="A9" s="249"/>
      <c r="B9" s="245" t="s">
        <v>469</v>
      </c>
      <c r="C9" s="1035" t="s">
        <v>1281</v>
      </c>
      <c r="D9" s="1035" t="s">
        <v>1290</v>
      </c>
      <c r="E9" s="1055" t="s">
        <v>1411</v>
      </c>
      <c r="F9" s="291"/>
      <c r="G9" s="291"/>
      <c r="H9" s="291"/>
      <c r="I9" s="291"/>
      <c r="J9" s="291"/>
      <c r="K9" s="291"/>
      <c r="L9" s="291"/>
      <c r="M9" s="291"/>
      <c r="N9" s="291"/>
      <c r="O9" s="291"/>
      <c r="P9" s="291"/>
      <c r="Q9" s="291"/>
      <c r="R9" s="291"/>
      <c r="S9" s="291"/>
      <c r="T9" s="291"/>
      <c r="U9" s="291"/>
      <c r="V9" s="291"/>
      <c r="W9" s="291"/>
      <c r="X9" s="291"/>
      <c r="Y9" s="291"/>
      <c r="Z9" s="269"/>
      <c r="AA9" s="269"/>
      <c r="AB9" s="269"/>
      <c r="AC9" s="269"/>
      <c r="AD9" s="269"/>
      <c r="AE9" s="279" t="s">
        <v>169</v>
      </c>
    </row>
    <row r="10" spans="1:31" x14ac:dyDescent="0.2">
      <c r="A10" s="239"/>
      <c r="B10" s="245" t="s">
        <v>527</v>
      </c>
      <c r="C10" s="993">
        <v>10</v>
      </c>
      <c r="D10" s="993">
        <v>10</v>
      </c>
      <c r="E10" s="291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1"/>
      <c r="T10" s="291"/>
      <c r="U10" s="291"/>
      <c r="V10" s="291"/>
      <c r="W10" s="291"/>
      <c r="X10" s="291"/>
      <c r="Y10" s="291"/>
      <c r="Z10" s="269"/>
      <c r="AA10" s="269"/>
      <c r="AB10" s="269"/>
      <c r="AC10" s="269"/>
      <c r="AD10" s="269"/>
      <c r="AE10" s="279" t="s">
        <v>169</v>
      </c>
    </row>
    <row r="11" spans="1:31" ht="13.5" thickBot="1" x14ac:dyDescent="0.25">
      <c r="A11" s="250"/>
      <c r="B11" s="245" t="s">
        <v>470</v>
      </c>
      <c r="C11" s="1035" t="s">
        <v>1282</v>
      </c>
      <c r="D11" s="1035" t="s">
        <v>1284</v>
      </c>
      <c r="E11" s="986" t="s">
        <v>1412</v>
      </c>
      <c r="F11" s="986"/>
      <c r="G11" s="986"/>
      <c r="H11" s="986"/>
      <c r="I11" s="291"/>
      <c r="J11" s="291"/>
      <c r="K11" s="289"/>
      <c r="L11" s="289"/>
      <c r="M11" s="289"/>
      <c r="N11" s="289"/>
      <c r="O11" s="289"/>
      <c r="P11" s="289"/>
      <c r="Q11" s="289"/>
      <c r="R11" s="289"/>
      <c r="S11" s="289"/>
      <c r="T11" s="289"/>
      <c r="U11" s="289"/>
      <c r="V11" s="289"/>
      <c r="W11" s="289"/>
      <c r="X11" s="289"/>
      <c r="Y11" s="289"/>
      <c r="Z11" s="269"/>
      <c r="AA11" s="269"/>
      <c r="AB11" s="269"/>
      <c r="AC11" s="269"/>
      <c r="AD11" s="269"/>
      <c r="AE11" s="270"/>
    </row>
    <row r="12" spans="1:31" ht="13.5" thickBot="1" x14ac:dyDescent="0.25">
      <c r="A12" s="247"/>
      <c r="B12" s="245" t="s">
        <v>472</v>
      </c>
      <c r="C12" s="984"/>
      <c r="D12" s="984"/>
      <c r="E12" s="994"/>
      <c r="F12" s="994"/>
      <c r="G12" s="994"/>
      <c r="H12" s="994"/>
      <c r="I12" s="986"/>
      <c r="J12" s="986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304"/>
      <c r="Z12" s="280"/>
      <c r="AA12" s="280"/>
      <c r="AB12" s="280"/>
      <c r="AC12" s="280"/>
      <c r="AD12" s="280"/>
      <c r="AE12" s="270"/>
    </row>
    <row r="13" spans="1:31" ht="13.5" thickBot="1" x14ac:dyDescent="0.25">
      <c r="A13" s="1253" t="s">
        <v>445</v>
      </c>
      <c r="B13" s="1272"/>
      <c r="C13" s="899"/>
      <c r="D13" s="899"/>
      <c r="E13" s="899"/>
      <c r="F13" s="899"/>
      <c r="G13" s="899"/>
      <c r="H13" s="899"/>
      <c r="I13" s="899"/>
      <c r="J13" s="899"/>
      <c r="K13" s="899"/>
      <c r="L13" s="899"/>
      <c r="M13" s="899"/>
      <c r="N13" s="899"/>
      <c r="O13" s="899"/>
      <c r="P13" s="899"/>
      <c r="Q13" s="899"/>
      <c r="R13" s="899"/>
      <c r="S13" s="899"/>
      <c r="T13" s="899"/>
      <c r="U13" s="899"/>
      <c r="V13" s="899"/>
      <c r="W13" s="899"/>
      <c r="X13" s="899"/>
      <c r="Y13" s="899"/>
      <c r="Z13" s="899"/>
      <c r="AA13" s="899"/>
      <c r="AB13" s="899"/>
      <c r="AC13" s="899"/>
      <c r="AD13" s="899"/>
      <c r="AE13" s="268"/>
    </row>
    <row r="14" spans="1:31" x14ac:dyDescent="0.2">
      <c r="A14" s="901">
        <v>5155050000</v>
      </c>
      <c r="B14" s="902" t="s">
        <v>420</v>
      </c>
      <c r="C14" s="305"/>
      <c r="D14" s="305"/>
      <c r="E14" s="305"/>
      <c r="F14" s="305"/>
      <c r="G14" s="305"/>
      <c r="H14" s="305"/>
      <c r="I14" s="305"/>
      <c r="J14" s="305"/>
      <c r="K14" s="903"/>
      <c r="L14" s="903"/>
      <c r="M14" s="903"/>
      <c r="N14" s="903"/>
      <c r="O14" s="903"/>
      <c r="P14" s="903"/>
      <c r="Q14" s="903"/>
      <c r="R14" s="903"/>
      <c r="S14" s="903"/>
      <c r="T14" s="903"/>
      <c r="U14" s="903"/>
      <c r="V14" s="903"/>
      <c r="W14" s="903"/>
      <c r="X14" s="903"/>
      <c r="Y14" s="903"/>
      <c r="Z14" s="904" t="s">
        <v>169</v>
      </c>
      <c r="AA14" s="904"/>
      <c r="AB14" s="904"/>
      <c r="AC14" s="904"/>
      <c r="AD14" s="904"/>
      <c r="AE14" s="915">
        <f t="shared" ref="AE14:AE19" si="0">SUM(C14:AD14)</f>
        <v>0</v>
      </c>
    </row>
    <row r="15" spans="1:31" x14ac:dyDescent="0.2">
      <c r="A15" s="906">
        <v>5155150000</v>
      </c>
      <c r="B15" s="245" t="s">
        <v>473</v>
      </c>
      <c r="C15" s="305"/>
      <c r="D15" s="305"/>
      <c r="E15" s="305"/>
      <c r="F15" s="305"/>
      <c r="G15" s="305"/>
      <c r="H15" s="305"/>
      <c r="I15" s="305"/>
      <c r="J15" s="305"/>
      <c r="K15" s="305"/>
      <c r="L15" s="305"/>
      <c r="M15" s="305"/>
      <c r="N15" s="305"/>
      <c r="O15" s="305"/>
      <c r="P15" s="305"/>
      <c r="Q15" s="305"/>
      <c r="R15" s="305"/>
      <c r="S15" s="305"/>
      <c r="T15" s="305"/>
      <c r="U15" s="305"/>
      <c r="V15" s="305"/>
      <c r="W15" s="305"/>
      <c r="X15" s="305"/>
      <c r="Y15" s="305"/>
      <c r="Z15" s="269"/>
      <c r="AA15" s="269"/>
      <c r="AB15" s="269" t="s">
        <v>169</v>
      </c>
      <c r="AC15" s="269"/>
      <c r="AD15" s="269"/>
      <c r="AE15" s="270">
        <f t="shared" si="0"/>
        <v>0</v>
      </c>
    </row>
    <row r="16" spans="1:31" x14ac:dyDescent="0.2">
      <c r="A16" s="906">
        <v>5195450000</v>
      </c>
      <c r="B16" s="245" t="s">
        <v>454</v>
      </c>
      <c r="C16" s="305">
        <v>3000000</v>
      </c>
      <c r="D16" s="305">
        <v>1500000</v>
      </c>
      <c r="E16" s="305">
        <v>2000000</v>
      </c>
      <c r="F16" s="305"/>
      <c r="G16" s="305"/>
      <c r="H16" s="305"/>
      <c r="I16" s="305"/>
      <c r="J16" s="305"/>
      <c r="K16" s="305"/>
      <c r="L16" s="305"/>
      <c r="M16" s="305"/>
      <c r="N16" s="305"/>
      <c r="O16" s="305"/>
      <c r="P16" s="305"/>
      <c r="Q16" s="305"/>
      <c r="R16" s="305"/>
      <c r="S16" s="305"/>
      <c r="T16" s="305"/>
      <c r="U16" s="305"/>
      <c r="V16" s="305"/>
      <c r="W16" s="305"/>
      <c r="X16" s="305"/>
      <c r="Y16" s="305"/>
      <c r="Z16" s="269"/>
      <c r="AA16" s="269"/>
      <c r="AB16" s="269"/>
      <c r="AC16" s="269"/>
      <c r="AD16" s="269" t="s">
        <v>169</v>
      </c>
      <c r="AE16" s="270">
        <f t="shared" si="0"/>
        <v>6500000</v>
      </c>
    </row>
    <row r="17" spans="1:31" x14ac:dyDescent="0.2">
      <c r="A17" s="906">
        <v>5155950100</v>
      </c>
      <c r="B17" s="245" t="s">
        <v>685</v>
      </c>
      <c r="C17" s="305"/>
      <c r="D17" s="305"/>
      <c r="E17" s="991"/>
      <c r="F17" s="991"/>
      <c r="G17" s="991"/>
      <c r="H17" s="991"/>
      <c r="I17" s="305"/>
      <c r="J17" s="305"/>
      <c r="K17" s="305"/>
      <c r="L17" s="305"/>
      <c r="M17" s="305"/>
      <c r="N17" s="305"/>
      <c r="O17" s="305"/>
      <c r="P17" s="305"/>
      <c r="Q17" s="305"/>
      <c r="R17" s="305"/>
      <c r="S17" s="305"/>
      <c r="T17" s="305"/>
      <c r="U17" s="305"/>
      <c r="V17" s="305"/>
      <c r="W17" s="305"/>
      <c r="X17" s="305"/>
      <c r="Y17" s="305"/>
      <c r="Z17" s="269"/>
      <c r="AA17" s="269"/>
      <c r="AB17" s="269"/>
      <c r="AC17" s="269"/>
      <c r="AD17" s="269"/>
      <c r="AE17" s="270">
        <f t="shared" si="0"/>
        <v>0</v>
      </c>
    </row>
    <row r="18" spans="1:31" ht="13.5" thickBot="1" x14ac:dyDescent="0.25">
      <c r="A18" s="907">
        <v>5395950000</v>
      </c>
      <c r="B18" s="916" t="s">
        <v>457</v>
      </c>
      <c r="C18" s="991"/>
      <c r="D18" s="991">
        <v>500000</v>
      </c>
      <c r="E18" s="1027"/>
      <c r="F18" s="1027"/>
      <c r="G18" s="1027"/>
      <c r="H18" s="1027"/>
      <c r="I18" s="991"/>
      <c r="J18" s="991"/>
      <c r="K18" s="917"/>
      <c r="L18" s="917"/>
      <c r="M18" s="917"/>
      <c r="N18" s="917"/>
      <c r="O18" s="917"/>
      <c r="P18" s="917"/>
      <c r="Q18" s="917"/>
      <c r="R18" s="917"/>
      <c r="S18" s="917"/>
      <c r="T18" s="917"/>
      <c r="U18" s="917"/>
      <c r="V18" s="917"/>
      <c r="W18" s="917"/>
      <c r="X18" s="917"/>
      <c r="Y18" s="917"/>
      <c r="Z18" s="918"/>
      <c r="AA18" s="918" t="s">
        <v>169</v>
      </c>
      <c r="AB18" s="918"/>
      <c r="AC18" s="918"/>
      <c r="AD18" s="918"/>
      <c r="AE18" s="919">
        <f t="shared" si="0"/>
        <v>500000</v>
      </c>
    </row>
    <row r="19" spans="1:31" ht="13.5" thickBot="1" x14ac:dyDescent="0.25">
      <c r="A19" s="1265" t="s">
        <v>458</v>
      </c>
      <c r="B19" s="1267"/>
      <c r="C19" s="275">
        <f t="shared" ref="C19:AD19" si="1">SUM(C14:C18)</f>
        <v>3000000</v>
      </c>
      <c r="D19" s="275">
        <f t="shared" si="1"/>
        <v>2000000</v>
      </c>
      <c r="E19" s="275">
        <f t="shared" si="1"/>
        <v>2000000</v>
      </c>
      <c r="F19" s="275">
        <f t="shared" si="1"/>
        <v>0</v>
      </c>
      <c r="G19" s="275">
        <f t="shared" si="1"/>
        <v>0</v>
      </c>
      <c r="H19" s="275">
        <f t="shared" si="1"/>
        <v>0</v>
      </c>
      <c r="I19" s="275">
        <f t="shared" si="1"/>
        <v>0</v>
      </c>
      <c r="J19" s="275">
        <f t="shared" si="1"/>
        <v>0</v>
      </c>
      <c r="K19" s="275">
        <f t="shared" si="1"/>
        <v>0</v>
      </c>
      <c r="L19" s="275">
        <f t="shared" si="1"/>
        <v>0</v>
      </c>
      <c r="M19" s="275">
        <f t="shared" si="1"/>
        <v>0</v>
      </c>
      <c r="N19" s="275">
        <f t="shared" si="1"/>
        <v>0</v>
      </c>
      <c r="O19" s="275">
        <f t="shared" si="1"/>
        <v>0</v>
      </c>
      <c r="P19" s="275">
        <f t="shared" si="1"/>
        <v>0</v>
      </c>
      <c r="Q19" s="275">
        <f t="shared" si="1"/>
        <v>0</v>
      </c>
      <c r="R19" s="275">
        <f t="shared" si="1"/>
        <v>0</v>
      </c>
      <c r="S19" s="275">
        <f t="shared" si="1"/>
        <v>0</v>
      </c>
      <c r="T19" s="275">
        <f t="shared" si="1"/>
        <v>0</v>
      </c>
      <c r="U19" s="275">
        <f t="shared" si="1"/>
        <v>0</v>
      </c>
      <c r="V19" s="275">
        <f t="shared" si="1"/>
        <v>0</v>
      </c>
      <c r="W19" s="275">
        <f t="shared" si="1"/>
        <v>0</v>
      </c>
      <c r="X19" s="275">
        <f t="shared" si="1"/>
        <v>0</v>
      </c>
      <c r="Y19" s="275">
        <f t="shared" si="1"/>
        <v>0</v>
      </c>
      <c r="Z19" s="275">
        <f t="shared" si="1"/>
        <v>0</v>
      </c>
      <c r="AA19" s="275">
        <f t="shared" si="1"/>
        <v>0</v>
      </c>
      <c r="AB19" s="275">
        <f t="shared" si="1"/>
        <v>0</v>
      </c>
      <c r="AC19" s="275">
        <f t="shared" si="1"/>
        <v>0</v>
      </c>
      <c r="AD19" s="275">
        <f t="shared" si="1"/>
        <v>0</v>
      </c>
      <c r="AE19" s="275">
        <f t="shared" si="0"/>
        <v>7000000</v>
      </c>
    </row>
    <row r="20" spans="1:31" x14ac:dyDescent="0.2">
      <c r="A20" s="1271"/>
      <c r="B20" s="1271"/>
      <c r="C20" s="1271"/>
      <c r="D20" s="1271"/>
      <c r="E20" s="1271"/>
      <c r="F20" s="1271"/>
      <c r="G20" s="1271"/>
      <c r="H20" s="1271"/>
      <c r="I20" s="1271"/>
      <c r="J20" s="1271"/>
      <c r="K20" s="1271"/>
      <c r="L20" s="1271"/>
      <c r="M20" s="1271"/>
      <c r="N20" s="1271"/>
      <c r="O20" s="1271"/>
      <c r="P20" s="1271"/>
      <c r="Q20" s="1271"/>
      <c r="R20" s="1271"/>
      <c r="S20" s="1271"/>
      <c r="T20" s="1271"/>
      <c r="U20" s="1271"/>
      <c r="V20" s="1271"/>
      <c r="W20" s="1271"/>
      <c r="X20" s="1271"/>
      <c r="Y20" s="1271"/>
      <c r="Z20" s="1271"/>
      <c r="AA20" s="1271"/>
      <c r="AB20" s="1271"/>
      <c r="AC20" s="1271"/>
      <c r="AD20" s="1271"/>
      <c r="AE20" s="1271"/>
    </row>
    <row r="21" spans="1:31" x14ac:dyDescent="0.2">
      <c r="A21" s="251" t="s">
        <v>528</v>
      </c>
      <c r="B21" s="252"/>
      <c r="C21" s="276"/>
      <c r="D21" s="276"/>
      <c r="E21" s="276"/>
      <c r="F21" s="276"/>
      <c r="G21" s="276"/>
      <c r="H21" s="276"/>
      <c r="I21" s="276"/>
      <c r="J21" s="276"/>
      <c r="K21" s="276"/>
      <c r="L21" s="276"/>
      <c r="M21" s="276"/>
      <c r="N21" s="276"/>
      <c r="O21" s="276"/>
      <c r="P21" s="276"/>
      <c r="Q21" s="276"/>
      <c r="R21" s="276"/>
      <c r="S21" s="276"/>
      <c r="T21" s="276"/>
      <c r="U21" s="276"/>
      <c r="V21" s="276"/>
      <c r="W21" s="276"/>
      <c r="X21" s="276"/>
      <c r="Y21" s="276"/>
      <c r="Z21" s="276"/>
      <c r="AA21" s="276"/>
      <c r="AB21" s="276"/>
      <c r="AC21" s="276"/>
      <c r="AD21" s="276"/>
      <c r="AE21" s="266"/>
    </row>
    <row r="22" spans="1:31" x14ac:dyDescent="0.2">
      <c r="A22" s="237"/>
      <c r="B22" s="237"/>
      <c r="C22" s="266"/>
      <c r="D22" s="266"/>
      <c r="E22" s="266"/>
      <c r="F22" s="266"/>
      <c r="G22" s="266"/>
      <c r="H22" s="266"/>
      <c r="I22" s="266"/>
      <c r="J22" s="266"/>
      <c r="K22" s="266"/>
      <c r="L22" s="266"/>
      <c r="M22" s="266"/>
      <c r="N22" s="266"/>
      <c r="O22" s="266"/>
      <c r="P22" s="266"/>
      <c r="Q22" s="266"/>
      <c r="R22" s="266"/>
      <c r="S22" s="266"/>
      <c r="T22" s="266"/>
      <c r="U22" s="266"/>
      <c r="V22" s="266"/>
      <c r="W22" s="266"/>
      <c r="X22" s="266"/>
      <c r="Y22" s="266"/>
      <c r="Z22" s="266"/>
      <c r="AA22" s="266"/>
      <c r="AB22" s="266"/>
      <c r="AC22" s="266"/>
      <c r="AD22" s="266"/>
      <c r="AE22" s="266"/>
    </row>
    <row r="23" spans="1:31" x14ac:dyDescent="0.2">
      <c r="A23" s="237"/>
      <c r="B23" s="237"/>
      <c r="C23" s="266"/>
      <c r="D23" s="266"/>
      <c r="E23" s="266"/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66"/>
      <c r="Q23" s="266"/>
      <c r="R23" s="266"/>
      <c r="S23" s="266"/>
      <c r="T23" s="266"/>
      <c r="U23" s="266"/>
      <c r="V23" s="266"/>
      <c r="W23" s="266"/>
      <c r="X23" s="266"/>
      <c r="Y23" s="266"/>
      <c r="Z23" s="266"/>
      <c r="AA23" s="266"/>
      <c r="AB23" s="266"/>
      <c r="AC23" s="266"/>
      <c r="AD23" s="266"/>
      <c r="AE23" s="266"/>
    </row>
    <row r="24" spans="1:31" x14ac:dyDescent="0.2">
      <c r="A24" s="237"/>
      <c r="B24" s="237"/>
      <c r="C24" s="266"/>
      <c r="D24" s="266"/>
      <c r="E24" s="266"/>
      <c r="F24" s="266"/>
      <c r="G24" s="266"/>
      <c r="H24" s="266"/>
      <c r="I24" s="266"/>
      <c r="J24" s="266"/>
      <c r="K24" s="266"/>
      <c r="L24" s="266"/>
      <c r="M24" s="266"/>
      <c r="N24" s="266"/>
      <c r="O24" s="266"/>
      <c r="P24" s="266"/>
      <c r="Q24" s="266"/>
      <c r="R24" s="266"/>
      <c r="S24" s="266"/>
      <c r="T24" s="266"/>
      <c r="U24" s="266"/>
      <c r="V24" s="266"/>
      <c r="W24" s="266"/>
      <c r="X24" s="266"/>
      <c r="Y24" s="266"/>
      <c r="Z24" s="266"/>
      <c r="AA24" s="266"/>
      <c r="AB24" s="266"/>
      <c r="AC24" s="266"/>
      <c r="AD24" s="266"/>
      <c r="AE24" s="266"/>
    </row>
    <row r="25" spans="1:31" x14ac:dyDescent="0.2">
      <c r="A25" s="237"/>
      <c r="B25" s="237"/>
      <c r="C25" s="266"/>
      <c r="D25" s="266"/>
      <c r="E25" s="266"/>
      <c r="F25" s="266"/>
      <c r="G25" s="266"/>
      <c r="H25" s="266"/>
      <c r="I25" s="266"/>
      <c r="J25" s="266"/>
      <c r="K25" s="266"/>
      <c r="L25" s="266"/>
      <c r="M25" s="266"/>
      <c r="N25" s="266"/>
      <c r="O25" s="266"/>
      <c r="P25" s="266"/>
      <c r="Q25" s="266"/>
      <c r="R25" s="266"/>
      <c r="S25" s="266"/>
      <c r="T25" s="266"/>
      <c r="U25" s="266"/>
      <c r="V25" s="266"/>
      <c r="W25" s="266"/>
      <c r="X25" s="266"/>
      <c r="Y25" s="266"/>
      <c r="Z25" s="266"/>
      <c r="AA25" s="266"/>
      <c r="AB25" s="266"/>
      <c r="AC25" s="266"/>
      <c r="AD25" s="266"/>
      <c r="AE25" s="266"/>
    </row>
    <row r="26" spans="1:31" x14ac:dyDescent="0.2">
      <c r="A26" s="237"/>
      <c r="B26" s="237"/>
      <c r="C26" s="266"/>
      <c r="D26" s="266"/>
      <c r="E26" s="266"/>
      <c r="F26" s="266"/>
      <c r="G26" s="266"/>
      <c r="H26" s="266"/>
      <c r="I26" s="266"/>
      <c r="J26" s="266"/>
      <c r="K26" s="266"/>
      <c r="L26" s="266"/>
      <c r="M26" s="266"/>
      <c r="N26" s="266"/>
      <c r="O26" s="266"/>
      <c r="P26" s="266"/>
      <c r="Q26" s="266"/>
      <c r="R26" s="266"/>
      <c r="S26" s="266"/>
      <c r="T26" s="266"/>
      <c r="U26" s="266"/>
      <c r="V26" s="266"/>
      <c r="W26" s="266"/>
      <c r="X26" s="266"/>
      <c r="Y26" s="266"/>
      <c r="Z26" s="266"/>
      <c r="AA26" s="266"/>
      <c r="AB26" s="266"/>
      <c r="AC26" s="266"/>
      <c r="AD26" s="266"/>
      <c r="AE26" s="266"/>
    </row>
    <row r="27" spans="1:31" x14ac:dyDescent="0.2">
      <c r="A27" s="237"/>
      <c r="B27" s="237"/>
      <c r="C27" s="266"/>
      <c r="D27" s="266"/>
      <c r="E27" s="266"/>
      <c r="F27" s="266"/>
      <c r="G27" s="266"/>
      <c r="H27" s="266"/>
      <c r="I27" s="266"/>
      <c r="J27" s="266"/>
      <c r="K27" s="266"/>
      <c r="L27" s="266"/>
      <c r="M27" s="266"/>
      <c r="N27" s="266"/>
      <c r="O27" s="266"/>
      <c r="P27" s="266"/>
      <c r="Q27" s="266"/>
      <c r="R27" s="266"/>
      <c r="S27" s="266"/>
      <c r="T27" s="266"/>
      <c r="U27" s="266"/>
      <c r="V27" s="266"/>
      <c r="W27" s="266"/>
      <c r="X27" s="266"/>
      <c r="Y27" s="266"/>
      <c r="Z27" s="266"/>
      <c r="AA27" s="266"/>
      <c r="AB27" s="266"/>
      <c r="AC27" s="266"/>
      <c r="AD27" s="266"/>
      <c r="AE27" s="266"/>
    </row>
    <row r="28" spans="1:31" x14ac:dyDescent="0.2">
      <c r="A28" s="237"/>
      <c r="B28" s="237"/>
      <c r="C28" s="266"/>
      <c r="D28" s="266"/>
      <c r="E28" s="266"/>
      <c r="F28" s="266"/>
      <c r="G28" s="266"/>
      <c r="H28" s="266"/>
      <c r="I28" s="266"/>
      <c r="J28" s="266"/>
      <c r="K28" s="266"/>
      <c r="L28" s="266"/>
      <c r="M28" s="266"/>
      <c r="N28" s="266"/>
      <c r="O28" s="266"/>
      <c r="P28" s="266"/>
      <c r="Q28" s="266"/>
      <c r="R28" s="266"/>
      <c r="S28" s="266"/>
      <c r="T28" s="266"/>
      <c r="U28" s="266"/>
      <c r="V28" s="266"/>
      <c r="W28" s="266"/>
      <c r="X28" s="266"/>
      <c r="Y28" s="266"/>
      <c r="Z28" s="266"/>
      <c r="AA28" s="266"/>
      <c r="AB28" s="266"/>
      <c r="AC28" s="266"/>
      <c r="AD28" s="266"/>
      <c r="AE28" s="266"/>
    </row>
    <row r="29" spans="1:31" x14ac:dyDescent="0.2">
      <c r="A29" s="237"/>
      <c r="B29" s="237"/>
      <c r="C29" s="266"/>
      <c r="D29" s="266"/>
      <c r="E29" s="266"/>
      <c r="F29" s="266"/>
      <c r="G29" s="266"/>
      <c r="H29" s="266"/>
      <c r="I29" s="266"/>
      <c r="J29" s="266"/>
      <c r="K29" s="266"/>
      <c r="L29" s="266"/>
      <c r="M29" s="266"/>
      <c r="N29" s="266"/>
      <c r="O29" s="266"/>
      <c r="P29" s="266"/>
      <c r="Q29" s="266"/>
      <c r="R29" s="266"/>
      <c r="S29" s="266"/>
      <c r="T29" s="266"/>
      <c r="U29" s="266"/>
      <c r="V29" s="266"/>
      <c r="W29" s="266"/>
      <c r="X29" s="266"/>
      <c r="Y29" s="266"/>
      <c r="Z29" s="266"/>
      <c r="AA29" s="266"/>
      <c r="AB29" s="266"/>
      <c r="AC29" s="266"/>
      <c r="AD29" s="266"/>
      <c r="AE29" s="266"/>
    </row>
    <row r="30" spans="1:31" x14ac:dyDescent="0.2">
      <c r="A30" s="237"/>
      <c r="B30" s="237"/>
      <c r="C30" s="266"/>
      <c r="D30" s="266"/>
      <c r="E30" s="266"/>
      <c r="F30" s="266"/>
      <c r="G30" s="266"/>
      <c r="H30" s="266"/>
      <c r="I30" s="266"/>
      <c r="J30" s="266"/>
      <c r="K30" s="266"/>
      <c r="L30" s="266"/>
      <c r="M30" s="266"/>
      <c r="N30" s="266"/>
      <c r="O30" s="266"/>
      <c r="P30" s="266"/>
      <c r="Q30" s="266"/>
      <c r="R30" s="266"/>
      <c r="S30" s="266"/>
      <c r="T30" s="266"/>
      <c r="U30" s="266"/>
      <c r="V30" s="266"/>
      <c r="W30" s="266"/>
      <c r="X30" s="266"/>
      <c r="Y30" s="266"/>
      <c r="Z30" s="266"/>
      <c r="AA30" s="266"/>
      <c r="AB30" s="266"/>
      <c r="AC30" s="266"/>
      <c r="AD30" s="266"/>
      <c r="AE30" s="266"/>
    </row>
    <row r="31" spans="1:31" x14ac:dyDescent="0.2">
      <c r="A31" s="237"/>
      <c r="B31" s="237"/>
      <c r="C31" s="266"/>
      <c r="D31" s="266"/>
      <c r="E31" s="266"/>
      <c r="F31" s="266"/>
      <c r="G31" s="266"/>
      <c r="H31" s="266"/>
      <c r="I31" s="266"/>
      <c r="J31" s="266"/>
      <c r="K31" s="266"/>
      <c r="L31" s="266"/>
      <c r="M31" s="266"/>
      <c r="N31" s="266"/>
      <c r="O31" s="266"/>
      <c r="P31" s="266"/>
      <c r="Q31" s="266"/>
      <c r="R31" s="266"/>
      <c r="S31" s="266"/>
      <c r="T31" s="266"/>
      <c r="U31" s="266"/>
      <c r="V31" s="266"/>
      <c r="W31" s="266"/>
      <c r="X31" s="266"/>
      <c r="Y31" s="266"/>
      <c r="Z31" s="266"/>
      <c r="AA31" s="266"/>
      <c r="AB31" s="266"/>
      <c r="AC31" s="266"/>
      <c r="AD31" s="266"/>
      <c r="AE31" s="266"/>
    </row>
    <row r="32" spans="1:31" s="237" customFormat="1" x14ac:dyDescent="0.2">
      <c r="C32" s="266"/>
      <c r="D32" s="266"/>
      <c r="E32" s="266"/>
      <c r="F32" s="266"/>
      <c r="G32" s="266"/>
      <c r="H32" s="266"/>
      <c r="I32" s="266"/>
      <c r="J32" s="266"/>
      <c r="K32" s="266"/>
      <c r="L32" s="266"/>
      <c r="M32" s="266"/>
      <c r="N32" s="266"/>
      <c r="O32" s="266"/>
      <c r="P32" s="266"/>
      <c r="Q32" s="266"/>
      <c r="R32" s="266"/>
      <c r="S32" s="266"/>
      <c r="T32" s="266"/>
      <c r="U32" s="266"/>
      <c r="V32" s="266"/>
      <c r="W32" s="266"/>
      <c r="X32" s="266"/>
      <c r="Y32" s="266"/>
      <c r="Z32" s="266"/>
      <c r="AA32" s="266"/>
      <c r="AB32" s="266"/>
      <c r="AC32" s="266"/>
      <c r="AD32" s="266"/>
      <c r="AE32" s="266"/>
    </row>
    <row r="33" spans="3:31" s="237" customFormat="1" x14ac:dyDescent="0.2">
      <c r="C33" s="266"/>
      <c r="D33" s="266"/>
      <c r="E33" s="266"/>
      <c r="F33" s="266"/>
      <c r="G33" s="266"/>
      <c r="H33" s="266"/>
      <c r="I33" s="266"/>
      <c r="J33" s="266"/>
      <c r="K33" s="266"/>
      <c r="L33" s="266"/>
      <c r="M33" s="266"/>
      <c r="N33" s="266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</row>
    <row r="34" spans="3:31" s="237" customFormat="1" x14ac:dyDescent="0.2">
      <c r="C34" s="266"/>
      <c r="D34" s="266"/>
      <c r="E34" s="266"/>
      <c r="F34" s="266"/>
      <c r="G34" s="266"/>
      <c r="H34" s="266"/>
      <c r="I34" s="266"/>
      <c r="J34" s="266"/>
      <c r="K34" s="266"/>
      <c r="L34" s="266"/>
      <c r="M34" s="266"/>
      <c r="N34" s="266"/>
      <c r="O34" s="266"/>
      <c r="P34" s="266"/>
      <c r="Q34" s="266"/>
      <c r="R34" s="266"/>
      <c r="S34" s="266"/>
      <c r="T34" s="266"/>
      <c r="U34" s="266"/>
      <c r="V34" s="266"/>
      <c r="W34" s="266"/>
      <c r="X34" s="266"/>
      <c r="Y34" s="266"/>
      <c r="Z34" s="266"/>
      <c r="AA34" s="266"/>
      <c r="AB34" s="266"/>
      <c r="AC34" s="266"/>
      <c r="AD34" s="266"/>
      <c r="AE34" s="266"/>
    </row>
    <row r="35" spans="3:31" s="237" customFormat="1" x14ac:dyDescent="0.2">
      <c r="C35" s="266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6"/>
      <c r="Q35" s="266"/>
      <c r="R35" s="266"/>
      <c r="S35" s="266"/>
      <c r="T35" s="266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</row>
    <row r="36" spans="3:31" s="237" customFormat="1" x14ac:dyDescent="0.2"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66"/>
      <c r="W36" s="266"/>
      <c r="X36" s="266"/>
      <c r="Y36" s="266"/>
      <c r="Z36" s="266"/>
      <c r="AA36" s="266"/>
      <c r="AB36" s="266"/>
      <c r="AC36" s="266"/>
      <c r="AD36" s="266"/>
      <c r="AE36" s="266"/>
    </row>
    <row r="37" spans="3:31" s="237" customFormat="1" x14ac:dyDescent="0.2">
      <c r="C37" s="266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266"/>
      <c r="Q37" s="266"/>
      <c r="R37" s="266"/>
      <c r="S37" s="266"/>
      <c r="T37" s="266"/>
      <c r="U37" s="266"/>
      <c r="V37" s="266"/>
      <c r="W37" s="266"/>
      <c r="X37" s="266"/>
      <c r="Y37" s="266"/>
      <c r="Z37" s="266"/>
      <c r="AA37" s="266"/>
      <c r="AB37" s="266"/>
      <c r="AC37" s="266"/>
      <c r="AD37" s="266"/>
      <c r="AE37" s="266"/>
    </row>
    <row r="38" spans="3:31" s="237" customFormat="1" x14ac:dyDescent="0.2">
      <c r="C38" s="266"/>
      <c r="D38" s="266"/>
      <c r="E38" s="266"/>
      <c r="F38" s="266"/>
      <c r="G38" s="266"/>
      <c r="H38" s="266"/>
      <c r="I38" s="266"/>
      <c r="J38" s="266"/>
      <c r="K38" s="266"/>
      <c r="L38" s="266"/>
      <c r="M38" s="266"/>
      <c r="N38" s="266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266"/>
      <c r="Z38" s="266"/>
      <c r="AA38" s="266"/>
      <c r="AB38" s="266"/>
      <c r="AC38" s="266"/>
      <c r="AD38" s="266"/>
      <c r="AE38" s="266"/>
    </row>
    <row r="39" spans="3:31" s="237" customFormat="1" x14ac:dyDescent="0.2"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266"/>
      <c r="Q39" s="266"/>
      <c r="R39" s="266"/>
      <c r="S39" s="266"/>
      <c r="T39" s="266"/>
      <c r="U39" s="266"/>
      <c r="V39" s="266"/>
      <c r="W39" s="266"/>
      <c r="X39" s="266"/>
      <c r="Y39" s="266"/>
      <c r="Z39" s="266"/>
      <c r="AA39" s="266"/>
      <c r="AB39" s="266"/>
      <c r="AC39" s="266"/>
      <c r="AD39" s="266"/>
      <c r="AE39" s="266"/>
    </row>
    <row r="40" spans="3:31" s="237" customFormat="1" x14ac:dyDescent="0.2">
      <c r="C40" s="266"/>
      <c r="D40" s="266"/>
      <c r="E40" s="266"/>
      <c r="F40" s="266"/>
      <c r="G40" s="266"/>
      <c r="H40" s="266"/>
      <c r="I40" s="266"/>
      <c r="J40" s="266"/>
      <c r="K40" s="266"/>
      <c r="L40" s="266"/>
      <c r="M40" s="266"/>
      <c r="N40" s="266"/>
      <c r="O40" s="266"/>
      <c r="P40" s="266"/>
      <c r="Q40" s="266"/>
      <c r="R40" s="266"/>
      <c r="S40" s="266"/>
      <c r="T40" s="266"/>
      <c r="U40" s="266"/>
      <c r="V40" s="266"/>
      <c r="W40" s="266"/>
      <c r="X40" s="266"/>
      <c r="Y40" s="266"/>
      <c r="Z40" s="266"/>
      <c r="AA40" s="266"/>
      <c r="AB40" s="266"/>
      <c r="AC40" s="266"/>
      <c r="AD40" s="266"/>
      <c r="AE40" s="266"/>
    </row>
    <row r="41" spans="3:31" s="237" customFormat="1" x14ac:dyDescent="0.2">
      <c r="C41" s="266"/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266"/>
      <c r="Q41" s="266"/>
      <c r="R41" s="266"/>
      <c r="S41" s="266"/>
      <c r="T41" s="266"/>
      <c r="U41" s="266"/>
      <c r="V41" s="266"/>
      <c r="W41" s="266"/>
      <c r="X41" s="266"/>
      <c r="Y41" s="266"/>
      <c r="Z41" s="266"/>
      <c r="AA41" s="266"/>
      <c r="AB41" s="266"/>
      <c r="AC41" s="266"/>
      <c r="AD41" s="266"/>
      <c r="AE41" s="266"/>
    </row>
    <row r="42" spans="3:31" s="237" customFormat="1" x14ac:dyDescent="0.2">
      <c r="C42" s="266"/>
      <c r="D42" s="266"/>
      <c r="E42" s="266"/>
      <c r="F42" s="266"/>
      <c r="G42" s="266"/>
      <c r="H42" s="266"/>
      <c r="I42" s="266"/>
      <c r="J42" s="266"/>
      <c r="K42" s="266"/>
      <c r="L42" s="266"/>
      <c r="M42" s="266"/>
      <c r="N42" s="266"/>
      <c r="O42" s="266"/>
      <c r="P42" s="266"/>
      <c r="Q42" s="266"/>
      <c r="R42" s="266"/>
      <c r="S42" s="266"/>
      <c r="T42" s="266"/>
      <c r="U42" s="266"/>
      <c r="V42" s="266"/>
      <c r="W42" s="266"/>
      <c r="X42" s="266"/>
      <c r="Y42" s="266"/>
      <c r="Z42" s="266"/>
      <c r="AA42" s="266"/>
      <c r="AB42" s="266"/>
      <c r="AC42" s="266"/>
      <c r="AD42" s="266"/>
      <c r="AE42" s="266"/>
    </row>
    <row r="43" spans="3:31" s="237" customFormat="1" x14ac:dyDescent="0.2"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6"/>
      <c r="N43" s="266"/>
      <c r="O43" s="266"/>
      <c r="P43" s="266"/>
      <c r="Q43" s="266"/>
      <c r="R43" s="266"/>
      <c r="S43" s="266"/>
      <c r="T43" s="266"/>
      <c r="U43" s="266"/>
      <c r="V43" s="266"/>
      <c r="W43" s="266"/>
      <c r="X43" s="266"/>
      <c r="Y43" s="266"/>
      <c r="Z43" s="266"/>
      <c r="AA43" s="266"/>
      <c r="AB43" s="266"/>
      <c r="AC43" s="266"/>
      <c r="AD43" s="266"/>
      <c r="AE43" s="266"/>
    </row>
    <row r="44" spans="3:31" s="237" customFormat="1" x14ac:dyDescent="0.2">
      <c r="C44" s="266"/>
      <c r="D44" s="266"/>
      <c r="E44" s="266"/>
      <c r="F44" s="266"/>
      <c r="G44" s="266"/>
      <c r="H44" s="266"/>
      <c r="I44" s="266"/>
      <c r="J44" s="266"/>
      <c r="K44" s="266"/>
      <c r="L44" s="266"/>
      <c r="M44" s="266"/>
      <c r="N44" s="266"/>
      <c r="O44" s="266"/>
      <c r="P44" s="266"/>
      <c r="Q44" s="266"/>
      <c r="R44" s="266"/>
      <c r="S44" s="266"/>
      <c r="T44" s="266"/>
      <c r="U44" s="266"/>
      <c r="V44" s="266"/>
      <c r="W44" s="266"/>
      <c r="X44" s="266"/>
      <c r="Y44" s="266"/>
      <c r="Z44" s="266"/>
      <c r="AA44" s="266"/>
      <c r="AB44" s="266"/>
      <c r="AC44" s="266"/>
      <c r="AD44" s="266"/>
      <c r="AE44" s="266"/>
    </row>
    <row r="45" spans="3:31" s="237" customFormat="1" x14ac:dyDescent="0.2">
      <c r="C45" s="266"/>
      <c r="D45" s="266"/>
      <c r="E45" s="266"/>
      <c r="F45" s="266"/>
      <c r="G45" s="266"/>
      <c r="H45" s="266"/>
      <c r="I45" s="266"/>
      <c r="J45" s="266"/>
      <c r="K45" s="266"/>
      <c r="L45" s="266"/>
      <c r="M45" s="266"/>
      <c r="N45" s="266"/>
      <c r="O45" s="266"/>
      <c r="P45" s="266"/>
      <c r="Q45" s="266"/>
      <c r="R45" s="266"/>
      <c r="S45" s="266"/>
      <c r="T45" s="266"/>
      <c r="U45" s="266"/>
      <c r="V45" s="266"/>
      <c r="W45" s="266"/>
      <c r="X45" s="266"/>
      <c r="Y45" s="266"/>
      <c r="Z45" s="266"/>
      <c r="AA45" s="266"/>
      <c r="AB45" s="266"/>
      <c r="AC45" s="266"/>
      <c r="AD45" s="266"/>
      <c r="AE45" s="266"/>
    </row>
    <row r="46" spans="3:31" s="237" customFormat="1" x14ac:dyDescent="0.2">
      <c r="C46" s="266"/>
      <c r="D46" s="266"/>
      <c r="E46" s="266"/>
      <c r="F46" s="266"/>
      <c r="G46" s="266"/>
      <c r="H46" s="266"/>
      <c r="I46" s="266"/>
      <c r="J46" s="266"/>
      <c r="K46" s="266"/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266"/>
      <c r="Z46" s="266"/>
      <c r="AA46" s="266"/>
      <c r="AB46" s="266"/>
      <c r="AC46" s="266"/>
      <c r="AD46" s="266"/>
      <c r="AE46" s="266"/>
    </row>
    <row r="47" spans="3:31" s="237" customFormat="1" x14ac:dyDescent="0.2">
      <c r="C47" s="266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6"/>
      <c r="W47" s="266"/>
      <c r="X47" s="266"/>
      <c r="Y47" s="266"/>
      <c r="Z47" s="266"/>
      <c r="AA47" s="266"/>
      <c r="AB47" s="266"/>
      <c r="AC47" s="266"/>
      <c r="AD47" s="266"/>
      <c r="AE47" s="266"/>
    </row>
    <row r="48" spans="3:31" s="237" customFormat="1" x14ac:dyDescent="0.2">
      <c r="C48" s="266"/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  <c r="O48" s="266"/>
      <c r="P48" s="266"/>
      <c r="Q48" s="266"/>
      <c r="R48" s="266"/>
      <c r="S48" s="266"/>
      <c r="T48" s="266"/>
      <c r="U48" s="266"/>
      <c r="V48" s="266"/>
      <c r="W48" s="266"/>
      <c r="X48" s="266"/>
      <c r="Y48" s="266"/>
      <c r="Z48" s="266"/>
      <c r="AA48" s="266"/>
      <c r="AB48" s="266"/>
      <c r="AC48" s="266"/>
      <c r="AD48" s="266"/>
      <c r="AE48" s="266"/>
    </row>
    <row r="49" spans="3:31" s="237" customFormat="1" x14ac:dyDescent="0.2">
      <c r="C49" s="266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66"/>
      <c r="W49" s="266"/>
      <c r="X49" s="266"/>
      <c r="Y49" s="266"/>
      <c r="Z49" s="266"/>
      <c r="AA49" s="266"/>
      <c r="AB49" s="266"/>
      <c r="AC49" s="266"/>
      <c r="AD49" s="266"/>
      <c r="AE49" s="266"/>
    </row>
    <row r="50" spans="3:31" s="237" customFormat="1" x14ac:dyDescent="0.2"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  <c r="X50" s="266"/>
      <c r="Y50" s="266"/>
      <c r="Z50" s="266"/>
      <c r="AA50" s="266"/>
      <c r="AB50" s="266"/>
      <c r="AC50" s="266"/>
      <c r="AD50" s="266"/>
      <c r="AE50" s="266"/>
    </row>
    <row r="51" spans="3:31" s="237" customFormat="1" x14ac:dyDescent="0.2"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  <c r="O51" s="266"/>
      <c r="P51" s="266"/>
      <c r="Q51" s="266"/>
      <c r="R51" s="266"/>
      <c r="S51" s="266"/>
      <c r="T51" s="266"/>
      <c r="U51" s="266"/>
      <c r="V51" s="266"/>
      <c r="W51" s="266"/>
      <c r="X51" s="266"/>
      <c r="Y51" s="266"/>
      <c r="Z51" s="266"/>
      <c r="AA51" s="266"/>
      <c r="AB51" s="266"/>
      <c r="AC51" s="266"/>
      <c r="AD51" s="266"/>
      <c r="AE51" s="266"/>
    </row>
    <row r="52" spans="3:31" s="237" customFormat="1" x14ac:dyDescent="0.2"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  <c r="X52" s="266"/>
      <c r="Y52" s="266"/>
      <c r="Z52" s="266"/>
      <c r="AA52" s="266"/>
      <c r="AB52" s="266"/>
      <c r="AC52" s="266"/>
      <c r="AD52" s="266"/>
      <c r="AE52" s="266"/>
    </row>
    <row r="53" spans="3:31" s="237" customFormat="1" x14ac:dyDescent="0.2">
      <c r="C53" s="266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  <c r="O53" s="266"/>
      <c r="P53" s="266"/>
      <c r="Q53" s="266"/>
      <c r="R53" s="266"/>
      <c r="S53" s="266"/>
      <c r="T53" s="266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</row>
    <row r="54" spans="3:31" s="237" customFormat="1" x14ac:dyDescent="0.2">
      <c r="C54" s="266"/>
      <c r="D54" s="266"/>
      <c r="E54" s="266"/>
      <c r="F54" s="266"/>
      <c r="G54" s="266"/>
      <c r="H54" s="266"/>
      <c r="I54" s="266"/>
      <c r="J54" s="266"/>
      <c r="K54" s="266"/>
      <c r="L54" s="266"/>
      <c r="M54" s="266"/>
      <c r="N54" s="266"/>
      <c r="O54" s="266"/>
      <c r="P54" s="266"/>
      <c r="Q54" s="266"/>
      <c r="R54" s="266"/>
      <c r="S54" s="266"/>
      <c r="T54" s="266"/>
      <c r="U54" s="266"/>
      <c r="V54" s="266"/>
      <c r="W54" s="266"/>
      <c r="X54" s="266"/>
      <c r="Y54" s="266"/>
      <c r="Z54" s="266"/>
      <c r="AA54" s="266"/>
      <c r="AB54" s="266"/>
      <c r="AC54" s="266"/>
      <c r="AD54" s="266"/>
      <c r="AE54" s="266"/>
    </row>
    <row r="55" spans="3:31" s="237" customFormat="1" x14ac:dyDescent="0.2">
      <c r="C55" s="266"/>
      <c r="D55" s="266"/>
      <c r="E55" s="266"/>
      <c r="F55" s="266"/>
      <c r="G55" s="266"/>
      <c r="H55" s="266"/>
      <c r="I55" s="266"/>
      <c r="J55" s="266"/>
      <c r="K55" s="266"/>
      <c r="L55" s="266"/>
      <c r="M55" s="266"/>
      <c r="N55" s="266"/>
      <c r="O55" s="266"/>
      <c r="P55" s="266"/>
      <c r="Q55" s="266"/>
      <c r="R55" s="266"/>
      <c r="S55" s="266"/>
      <c r="T55" s="266"/>
      <c r="U55" s="266"/>
      <c r="V55" s="266"/>
      <c r="W55" s="266"/>
      <c r="X55" s="266"/>
      <c r="Y55" s="266"/>
      <c r="Z55" s="266"/>
      <c r="AA55" s="266"/>
      <c r="AB55" s="266"/>
      <c r="AC55" s="266"/>
      <c r="AD55" s="266"/>
      <c r="AE55" s="266"/>
    </row>
    <row r="56" spans="3:31" s="237" customFormat="1" x14ac:dyDescent="0.2">
      <c r="C56" s="266"/>
      <c r="D56" s="266"/>
      <c r="E56" s="266"/>
      <c r="F56" s="266"/>
      <c r="G56" s="266"/>
      <c r="H56" s="266"/>
      <c r="I56" s="266"/>
      <c r="J56" s="266"/>
      <c r="K56" s="266"/>
      <c r="L56" s="266"/>
      <c r="M56" s="266"/>
      <c r="N56" s="266"/>
      <c r="O56" s="266"/>
      <c r="P56" s="266"/>
      <c r="Q56" s="266"/>
      <c r="R56" s="266"/>
      <c r="S56" s="266"/>
      <c r="T56" s="266"/>
      <c r="U56" s="266"/>
      <c r="V56" s="266"/>
      <c r="W56" s="266"/>
      <c r="X56" s="266"/>
      <c r="Y56" s="266"/>
      <c r="Z56" s="266"/>
      <c r="AA56" s="266"/>
      <c r="AB56" s="266"/>
      <c r="AC56" s="266"/>
      <c r="AD56" s="266"/>
      <c r="AE56" s="266"/>
    </row>
    <row r="57" spans="3:31" s="237" customFormat="1" x14ac:dyDescent="0.2"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266"/>
      <c r="Z57" s="266"/>
      <c r="AA57" s="266"/>
      <c r="AB57" s="266"/>
      <c r="AC57" s="266"/>
      <c r="AD57" s="266"/>
      <c r="AE57" s="266"/>
    </row>
    <row r="58" spans="3:31" s="237" customFormat="1" x14ac:dyDescent="0.2">
      <c r="C58" s="266"/>
      <c r="D58" s="266"/>
      <c r="E58" s="266"/>
      <c r="F58" s="266"/>
      <c r="G58" s="266"/>
      <c r="H58" s="266"/>
      <c r="I58" s="266"/>
      <c r="J58" s="266"/>
      <c r="K58" s="266"/>
      <c r="L58" s="266"/>
      <c r="M58" s="266"/>
      <c r="N58" s="266"/>
      <c r="O58" s="266"/>
      <c r="P58" s="266"/>
      <c r="Q58" s="266"/>
      <c r="R58" s="266"/>
      <c r="S58" s="266"/>
      <c r="T58" s="266"/>
      <c r="U58" s="266"/>
      <c r="V58" s="266"/>
      <c r="W58" s="266"/>
      <c r="X58" s="266"/>
      <c r="Y58" s="266"/>
      <c r="Z58" s="266"/>
      <c r="AA58" s="266"/>
      <c r="AB58" s="266"/>
      <c r="AC58" s="266"/>
      <c r="AD58" s="266"/>
      <c r="AE58" s="266"/>
    </row>
    <row r="59" spans="3:31" s="237" customFormat="1" x14ac:dyDescent="0.2">
      <c r="C59" s="266"/>
      <c r="D59" s="266"/>
      <c r="E59" s="266"/>
      <c r="F59" s="266"/>
      <c r="G59" s="266"/>
      <c r="H59" s="266"/>
      <c r="I59" s="266"/>
      <c r="J59" s="266"/>
      <c r="K59" s="266"/>
      <c r="L59" s="266"/>
      <c r="M59" s="266"/>
      <c r="N59" s="266"/>
      <c r="O59" s="266"/>
      <c r="P59" s="266"/>
      <c r="Q59" s="266"/>
      <c r="R59" s="266"/>
      <c r="S59" s="266"/>
      <c r="T59" s="266"/>
      <c r="U59" s="266"/>
      <c r="V59" s="266"/>
      <c r="W59" s="266"/>
      <c r="X59" s="266"/>
      <c r="Y59" s="266"/>
      <c r="Z59" s="266"/>
      <c r="AA59" s="266"/>
      <c r="AB59" s="266"/>
      <c r="AC59" s="266"/>
      <c r="AD59" s="266"/>
      <c r="AE59" s="266"/>
    </row>
    <row r="60" spans="3:31" s="237" customFormat="1" x14ac:dyDescent="0.2">
      <c r="C60" s="266"/>
      <c r="D60" s="266"/>
      <c r="E60" s="266"/>
      <c r="F60" s="266"/>
      <c r="G60" s="266"/>
      <c r="H60" s="266"/>
      <c r="I60" s="266"/>
      <c r="J60" s="266"/>
      <c r="K60" s="266"/>
      <c r="L60" s="266"/>
      <c r="M60" s="266"/>
      <c r="N60" s="266"/>
      <c r="O60" s="266"/>
      <c r="P60" s="266"/>
      <c r="Q60" s="266"/>
      <c r="R60" s="266"/>
      <c r="S60" s="266"/>
      <c r="T60" s="266"/>
      <c r="U60" s="266"/>
      <c r="V60" s="266"/>
      <c r="W60" s="266"/>
      <c r="X60" s="266"/>
      <c r="Y60" s="266"/>
      <c r="Z60" s="266"/>
      <c r="AA60" s="266"/>
      <c r="AB60" s="266"/>
      <c r="AC60" s="266"/>
      <c r="AD60" s="266"/>
      <c r="AE60" s="266"/>
    </row>
    <row r="61" spans="3:31" s="237" customFormat="1" x14ac:dyDescent="0.2">
      <c r="C61" s="266"/>
      <c r="D61" s="266"/>
      <c r="E61" s="266"/>
      <c r="F61" s="266"/>
      <c r="G61" s="266"/>
      <c r="H61" s="266"/>
      <c r="I61" s="266"/>
      <c r="J61" s="266"/>
      <c r="K61" s="266"/>
      <c r="L61" s="266"/>
      <c r="M61" s="266"/>
      <c r="N61" s="266"/>
      <c r="O61" s="266"/>
      <c r="P61" s="266"/>
      <c r="Q61" s="266"/>
      <c r="R61" s="266"/>
      <c r="S61" s="266"/>
      <c r="T61" s="266"/>
      <c r="U61" s="266"/>
      <c r="V61" s="266"/>
      <c r="W61" s="266"/>
      <c r="X61" s="266"/>
      <c r="Y61" s="266"/>
      <c r="Z61" s="266"/>
      <c r="AA61" s="266"/>
      <c r="AB61" s="266"/>
      <c r="AC61" s="266"/>
      <c r="AD61" s="266"/>
      <c r="AE61" s="266"/>
    </row>
    <row r="62" spans="3:31" s="237" customFormat="1" x14ac:dyDescent="0.2"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6"/>
      <c r="N62" s="266"/>
      <c r="O62" s="266"/>
      <c r="P62" s="266"/>
      <c r="Q62" s="266"/>
      <c r="R62" s="266"/>
      <c r="S62" s="266"/>
      <c r="T62" s="266"/>
      <c r="U62" s="266"/>
      <c r="V62" s="266"/>
      <c r="W62" s="266"/>
      <c r="X62" s="266"/>
      <c r="Y62" s="266"/>
      <c r="Z62" s="266"/>
      <c r="AA62" s="266"/>
      <c r="AB62" s="266"/>
      <c r="AC62" s="266"/>
      <c r="AD62" s="266"/>
      <c r="AE62" s="266"/>
    </row>
    <row r="63" spans="3:31" s="237" customFormat="1" x14ac:dyDescent="0.2">
      <c r="C63" s="266"/>
      <c r="D63" s="266"/>
      <c r="E63" s="266"/>
      <c r="F63" s="266"/>
      <c r="G63" s="266"/>
      <c r="H63" s="266"/>
      <c r="I63" s="266"/>
      <c r="J63" s="266"/>
      <c r="K63" s="266"/>
      <c r="L63" s="266"/>
      <c r="M63" s="266"/>
      <c r="N63" s="266"/>
      <c r="O63" s="266"/>
      <c r="P63" s="266"/>
      <c r="Q63" s="266"/>
      <c r="R63" s="266"/>
      <c r="S63" s="266"/>
      <c r="T63" s="266"/>
      <c r="U63" s="266"/>
      <c r="V63" s="266"/>
      <c r="W63" s="266"/>
      <c r="X63" s="266"/>
      <c r="Y63" s="266"/>
      <c r="Z63" s="266"/>
      <c r="AA63" s="266"/>
      <c r="AB63" s="266"/>
      <c r="AC63" s="266"/>
      <c r="AD63" s="266"/>
      <c r="AE63" s="266"/>
    </row>
    <row r="64" spans="3:31" s="237" customFormat="1" x14ac:dyDescent="0.2">
      <c r="C64" s="266"/>
      <c r="D64" s="266"/>
      <c r="E64" s="266"/>
      <c r="F64" s="266"/>
      <c r="G64" s="266"/>
      <c r="H64" s="266"/>
      <c r="I64" s="266"/>
      <c r="J64" s="266"/>
      <c r="K64" s="266"/>
      <c r="L64" s="266"/>
      <c r="M64" s="266"/>
      <c r="N64" s="266"/>
      <c r="O64" s="266"/>
      <c r="P64" s="266"/>
      <c r="Q64" s="266"/>
      <c r="R64" s="266"/>
      <c r="S64" s="266"/>
      <c r="T64" s="266"/>
      <c r="U64" s="266"/>
      <c r="V64" s="266"/>
      <c r="W64" s="266"/>
      <c r="X64" s="266"/>
      <c r="Y64" s="266"/>
      <c r="Z64" s="266"/>
      <c r="AA64" s="266"/>
      <c r="AB64" s="266"/>
      <c r="AC64" s="266"/>
      <c r="AD64" s="266"/>
      <c r="AE64" s="266"/>
    </row>
    <row r="65" spans="3:31" s="237" customFormat="1" x14ac:dyDescent="0.2">
      <c r="C65" s="266"/>
      <c r="D65" s="266"/>
      <c r="E65" s="266"/>
      <c r="F65" s="266"/>
      <c r="G65" s="266"/>
      <c r="H65" s="266"/>
      <c r="I65" s="266"/>
      <c r="J65" s="266"/>
      <c r="K65" s="266"/>
      <c r="L65" s="266"/>
      <c r="M65" s="266"/>
      <c r="N65" s="266"/>
      <c r="O65" s="266"/>
      <c r="P65" s="266"/>
      <c r="Q65" s="266"/>
      <c r="R65" s="266"/>
      <c r="S65" s="266"/>
      <c r="T65" s="266"/>
      <c r="U65" s="266"/>
      <c r="V65" s="266"/>
      <c r="W65" s="266"/>
      <c r="X65" s="266"/>
      <c r="Y65" s="266"/>
      <c r="Z65" s="266"/>
      <c r="AA65" s="266"/>
      <c r="AB65" s="266"/>
      <c r="AC65" s="266"/>
      <c r="AD65" s="266"/>
      <c r="AE65" s="266"/>
    </row>
    <row r="66" spans="3:31" s="237" customFormat="1" x14ac:dyDescent="0.2"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6"/>
      <c r="N66" s="266"/>
      <c r="O66" s="266"/>
      <c r="P66" s="266"/>
      <c r="Q66" s="266"/>
      <c r="R66" s="266"/>
      <c r="S66" s="266"/>
      <c r="T66" s="266"/>
      <c r="U66" s="266"/>
      <c r="V66" s="266"/>
      <c r="W66" s="266"/>
      <c r="X66" s="266"/>
      <c r="Y66" s="266"/>
      <c r="Z66" s="266"/>
      <c r="AA66" s="266"/>
      <c r="AB66" s="266"/>
      <c r="AC66" s="266"/>
      <c r="AD66" s="266"/>
      <c r="AE66" s="266"/>
    </row>
    <row r="67" spans="3:31" s="237" customFormat="1" x14ac:dyDescent="0.2">
      <c r="C67" s="266"/>
      <c r="D67" s="266"/>
      <c r="E67" s="266"/>
      <c r="F67" s="266"/>
      <c r="G67" s="266"/>
      <c r="H67" s="266"/>
      <c r="I67" s="266"/>
      <c r="J67" s="266"/>
      <c r="K67" s="266"/>
      <c r="L67" s="266"/>
      <c r="M67" s="266"/>
      <c r="N67" s="266"/>
      <c r="O67" s="266"/>
      <c r="P67" s="266"/>
      <c r="Q67" s="266"/>
      <c r="R67" s="266"/>
      <c r="S67" s="266"/>
      <c r="T67" s="266"/>
      <c r="U67" s="266"/>
      <c r="V67" s="266"/>
      <c r="W67" s="266"/>
      <c r="X67" s="266"/>
      <c r="Y67" s="266"/>
      <c r="Z67" s="266"/>
      <c r="AA67" s="266"/>
      <c r="AB67" s="266"/>
      <c r="AC67" s="266"/>
      <c r="AD67" s="266"/>
      <c r="AE67" s="266"/>
    </row>
    <row r="68" spans="3:31" s="237" customFormat="1" x14ac:dyDescent="0.2">
      <c r="C68" s="266"/>
      <c r="D68" s="266"/>
      <c r="E68" s="266"/>
      <c r="F68" s="266"/>
      <c r="G68" s="266"/>
      <c r="H68" s="266"/>
      <c r="I68" s="266"/>
      <c r="J68" s="266"/>
      <c r="K68" s="266"/>
      <c r="L68" s="266"/>
      <c r="M68" s="266"/>
      <c r="N68" s="266"/>
      <c r="O68" s="266"/>
      <c r="P68" s="266"/>
      <c r="Q68" s="266"/>
      <c r="R68" s="266"/>
      <c r="S68" s="266"/>
      <c r="T68" s="266"/>
      <c r="U68" s="266"/>
      <c r="V68" s="266"/>
      <c r="W68" s="266"/>
      <c r="X68" s="266"/>
      <c r="Y68" s="266"/>
      <c r="Z68" s="266"/>
      <c r="AA68" s="266"/>
      <c r="AB68" s="266"/>
      <c r="AC68" s="266"/>
      <c r="AD68" s="266"/>
      <c r="AE68" s="266"/>
    </row>
    <row r="69" spans="3:31" s="237" customFormat="1" x14ac:dyDescent="0.2">
      <c r="C69" s="266"/>
      <c r="D69" s="266"/>
      <c r="E69" s="266"/>
      <c r="F69" s="266"/>
      <c r="G69" s="266"/>
      <c r="H69" s="266"/>
      <c r="I69" s="266"/>
      <c r="J69" s="266"/>
      <c r="K69" s="266"/>
      <c r="L69" s="266"/>
      <c r="M69" s="266"/>
      <c r="N69" s="266"/>
      <c r="O69" s="266"/>
      <c r="P69" s="266"/>
      <c r="Q69" s="266"/>
      <c r="R69" s="266"/>
      <c r="S69" s="266"/>
      <c r="T69" s="266"/>
      <c r="U69" s="266"/>
      <c r="V69" s="266"/>
      <c r="W69" s="266"/>
      <c r="X69" s="266"/>
      <c r="Y69" s="266"/>
      <c r="Z69" s="266"/>
      <c r="AA69" s="266"/>
      <c r="AB69" s="266"/>
      <c r="AC69" s="266"/>
      <c r="AD69" s="266"/>
      <c r="AE69" s="266"/>
    </row>
    <row r="70" spans="3:31" s="237" customFormat="1" x14ac:dyDescent="0.2">
      <c r="C70" s="266"/>
      <c r="D70" s="266"/>
      <c r="E70" s="266"/>
      <c r="F70" s="266"/>
      <c r="G70" s="266"/>
      <c r="H70" s="266"/>
      <c r="I70" s="266"/>
      <c r="J70" s="266"/>
      <c r="K70" s="266"/>
      <c r="L70" s="266"/>
      <c r="M70" s="266"/>
      <c r="N70" s="266"/>
      <c r="O70" s="266"/>
      <c r="P70" s="266"/>
      <c r="Q70" s="266"/>
      <c r="R70" s="266"/>
      <c r="S70" s="266"/>
      <c r="T70" s="266"/>
      <c r="U70" s="266"/>
      <c r="V70" s="266"/>
      <c r="W70" s="266"/>
      <c r="X70" s="266"/>
      <c r="Y70" s="266"/>
      <c r="Z70" s="266"/>
      <c r="AA70" s="266"/>
      <c r="AB70" s="266"/>
      <c r="AC70" s="266"/>
      <c r="AD70" s="266"/>
      <c r="AE70" s="266"/>
    </row>
    <row r="71" spans="3:31" s="237" customFormat="1" x14ac:dyDescent="0.2">
      <c r="C71" s="266"/>
      <c r="D71" s="266"/>
      <c r="E71" s="266"/>
      <c r="F71" s="266"/>
      <c r="G71" s="266"/>
      <c r="H71" s="266"/>
      <c r="I71" s="266"/>
      <c r="J71" s="266"/>
      <c r="K71" s="266"/>
      <c r="L71" s="266"/>
      <c r="M71" s="266"/>
      <c r="N71" s="266"/>
      <c r="O71" s="266"/>
      <c r="P71" s="266"/>
      <c r="Q71" s="266"/>
      <c r="R71" s="266"/>
      <c r="S71" s="266"/>
      <c r="T71" s="266"/>
      <c r="U71" s="266"/>
      <c r="V71" s="266"/>
      <c r="W71" s="266"/>
      <c r="X71" s="266"/>
      <c r="Y71" s="266"/>
      <c r="Z71" s="266"/>
      <c r="AA71" s="266"/>
      <c r="AB71" s="266"/>
      <c r="AC71" s="266"/>
      <c r="AD71" s="266"/>
      <c r="AE71" s="266"/>
    </row>
    <row r="72" spans="3:31" s="237" customFormat="1" x14ac:dyDescent="0.2">
      <c r="C72" s="266"/>
      <c r="D72" s="266"/>
      <c r="E72" s="266"/>
      <c r="F72" s="266"/>
      <c r="G72" s="266"/>
      <c r="H72" s="266"/>
      <c r="I72" s="266"/>
      <c r="J72" s="266"/>
      <c r="K72" s="266"/>
      <c r="L72" s="266"/>
      <c r="M72" s="266"/>
      <c r="N72" s="266"/>
      <c r="O72" s="266"/>
      <c r="P72" s="266"/>
      <c r="Q72" s="266"/>
      <c r="R72" s="266"/>
      <c r="S72" s="266"/>
      <c r="T72" s="266"/>
      <c r="U72" s="266"/>
      <c r="V72" s="266"/>
      <c r="W72" s="266"/>
      <c r="X72" s="266"/>
      <c r="Y72" s="266"/>
      <c r="Z72" s="266"/>
      <c r="AA72" s="266"/>
      <c r="AB72" s="266"/>
      <c r="AC72" s="266"/>
      <c r="AD72" s="266"/>
      <c r="AE72" s="266"/>
    </row>
    <row r="73" spans="3:31" s="237" customFormat="1" x14ac:dyDescent="0.2">
      <c r="C73" s="266"/>
      <c r="D73" s="266"/>
      <c r="E73" s="266"/>
      <c r="F73" s="266"/>
      <c r="G73" s="266"/>
      <c r="H73" s="266"/>
      <c r="I73" s="266"/>
      <c r="J73" s="266"/>
      <c r="K73" s="266"/>
      <c r="L73" s="266"/>
      <c r="M73" s="266"/>
      <c r="N73" s="266"/>
      <c r="O73" s="266"/>
      <c r="P73" s="266"/>
      <c r="Q73" s="266"/>
      <c r="R73" s="266"/>
      <c r="S73" s="266"/>
      <c r="T73" s="266"/>
      <c r="U73" s="266"/>
      <c r="V73" s="266"/>
      <c r="W73" s="266"/>
      <c r="X73" s="266"/>
      <c r="Y73" s="266"/>
      <c r="Z73" s="266"/>
      <c r="AA73" s="266"/>
      <c r="AB73" s="266"/>
      <c r="AC73" s="266"/>
      <c r="AD73" s="266"/>
      <c r="AE73" s="266"/>
    </row>
    <row r="74" spans="3:31" s="237" customFormat="1" x14ac:dyDescent="0.2">
      <c r="C74" s="266"/>
      <c r="D74" s="266"/>
      <c r="E74" s="266"/>
      <c r="F74" s="266"/>
      <c r="G74" s="266"/>
      <c r="H74" s="266"/>
      <c r="I74" s="266"/>
      <c r="J74" s="266"/>
      <c r="K74" s="266"/>
      <c r="L74" s="266"/>
      <c r="M74" s="266"/>
      <c r="N74" s="266"/>
      <c r="O74" s="266"/>
      <c r="P74" s="266"/>
      <c r="Q74" s="266"/>
      <c r="R74" s="266"/>
      <c r="S74" s="266"/>
      <c r="T74" s="266"/>
      <c r="U74" s="266"/>
      <c r="V74" s="266"/>
      <c r="W74" s="266"/>
      <c r="X74" s="266"/>
      <c r="Y74" s="266"/>
      <c r="Z74" s="266"/>
      <c r="AA74" s="266"/>
      <c r="AB74" s="266"/>
      <c r="AC74" s="266"/>
      <c r="AD74" s="266"/>
      <c r="AE74" s="266"/>
    </row>
    <row r="75" spans="3:31" s="237" customFormat="1" x14ac:dyDescent="0.2">
      <c r="C75" s="266"/>
      <c r="D75" s="266"/>
      <c r="E75" s="266"/>
      <c r="F75" s="266"/>
      <c r="G75" s="266"/>
      <c r="H75" s="266"/>
      <c r="I75" s="266"/>
      <c r="J75" s="266"/>
      <c r="K75" s="266"/>
      <c r="L75" s="266"/>
      <c r="M75" s="266"/>
      <c r="N75" s="266"/>
      <c r="O75" s="266"/>
      <c r="P75" s="266"/>
      <c r="Q75" s="266"/>
      <c r="R75" s="266"/>
      <c r="S75" s="266"/>
      <c r="T75" s="266"/>
      <c r="U75" s="266"/>
      <c r="V75" s="266"/>
      <c r="W75" s="266"/>
      <c r="X75" s="266"/>
      <c r="Y75" s="266"/>
      <c r="Z75" s="266"/>
      <c r="AA75" s="266"/>
      <c r="AB75" s="266"/>
      <c r="AC75" s="266"/>
      <c r="AD75" s="266"/>
      <c r="AE75" s="266"/>
    </row>
    <row r="76" spans="3:31" s="237" customFormat="1" x14ac:dyDescent="0.2">
      <c r="C76" s="266"/>
      <c r="D76" s="266"/>
      <c r="E76" s="266"/>
      <c r="F76" s="266"/>
      <c r="G76" s="266"/>
      <c r="H76" s="266"/>
      <c r="I76" s="266"/>
      <c r="J76" s="266"/>
      <c r="K76" s="266"/>
      <c r="L76" s="266"/>
      <c r="M76" s="266"/>
      <c r="N76" s="266"/>
      <c r="O76" s="266"/>
      <c r="P76" s="266"/>
      <c r="Q76" s="266"/>
      <c r="R76" s="266"/>
      <c r="S76" s="266"/>
      <c r="T76" s="266"/>
      <c r="U76" s="266"/>
      <c r="V76" s="266"/>
      <c r="W76" s="266"/>
      <c r="X76" s="266"/>
      <c r="Y76" s="266"/>
      <c r="Z76" s="266"/>
      <c r="AA76" s="266"/>
      <c r="AB76" s="266"/>
      <c r="AC76" s="266"/>
      <c r="AD76" s="266"/>
      <c r="AE76" s="266"/>
    </row>
    <row r="77" spans="3:31" s="237" customFormat="1" x14ac:dyDescent="0.2">
      <c r="C77" s="266"/>
      <c r="D77" s="266"/>
      <c r="E77" s="266"/>
      <c r="F77" s="266"/>
      <c r="G77" s="266"/>
      <c r="H77" s="266"/>
      <c r="I77" s="266"/>
      <c r="J77" s="266"/>
      <c r="K77" s="266"/>
      <c r="L77" s="266"/>
      <c r="M77" s="266"/>
      <c r="N77" s="266"/>
      <c r="O77" s="266"/>
      <c r="P77" s="266"/>
      <c r="Q77" s="266"/>
      <c r="R77" s="266"/>
      <c r="S77" s="266"/>
      <c r="T77" s="266"/>
      <c r="U77" s="266"/>
      <c r="V77" s="266"/>
      <c r="W77" s="266"/>
      <c r="X77" s="266"/>
      <c r="Y77" s="266"/>
      <c r="Z77" s="266"/>
      <c r="AA77" s="266"/>
      <c r="AB77" s="266"/>
      <c r="AC77" s="266"/>
      <c r="AD77" s="266"/>
      <c r="AE77" s="266"/>
    </row>
    <row r="78" spans="3:31" s="237" customFormat="1" x14ac:dyDescent="0.2">
      <c r="C78" s="266"/>
      <c r="D78" s="266"/>
      <c r="E78" s="266"/>
      <c r="F78" s="266"/>
      <c r="G78" s="266"/>
      <c r="H78" s="266"/>
      <c r="I78" s="266"/>
      <c r="J78" s="266"/>
      <c r="K78" s="266"/>
      <c r="L78" s="266"/>
      <c r="M78" s="266"/>
      <c r="N78" s="266"/>
      <c r="O78" s="266"/>
      <c r="P78" s="266"/>
      <c r="Q78" s="266"/>
      <c r="R78" s="266"/>
      <c r="S78" s="266"/>
      <c r="T78" s="266"/>
      <c r="U78" s="266"/>
      <c r="V78" s="266"/>
      <c r="W78" s="266"/>
      <c r="X78" s="266"/>
      <c r="Y78" s="266"/>
      <c r="Z78" s="266"/>
      <c r="AA78" s="266"/>
      <c r="AB78" s="266"/>
      <c r="AC78" s="266"/>
      <c r="AD78" s="266"/>
      <c r="AE78" s="266"/>
    </row>
    <row r="79" spans="3:31" s="237" customFormat="1" x14ac:dyDescent="0.2">
      <c r="C79" s="266"/>
      <c r="D79" s="266"/>
      <c r="E79" s="266"/>
      <c r="F79" s="266"/>
      <c r="G79" s="266"/>
      <c r="H79" s="266"/>
      <c r="I79" s="266"/>
      <c r="J79" s="266"/>
      <c r="K79" s="266"/>
      <c r="L79" s="266"/>
      <c r="M79" s="266"/>
      <c r="N79" s="266"/>
      <c r="O79" s="266"/>
      <c r="P79" s="266"/>
      <c r="Q79" s="266"/>
      <c r="R79" s="266"/>
      <c r="S79" s="266"/>
      <c r="T79" s="266"/>
      <c r="U79" s="266"/>
      <c r="V79" s="266"/>
      <c r="W79" s="266"/>
      <c r="X79" s="266"/>
      <c r="Y79" s="266"/>
      <c r="Z79" s="266"/>
      <c r="AA79" s="266"/>
      <c r="AB79" s="266"/>
      <c r="AC79" s="266"/>
      <c r="AD79" s="266"/>
      <c r="AE79" s="266"/>
    </row>
    <row r="80" spans="3:31" s="237" customFormat="1" x14ac:dyDescent="0.2">
      <c r="C80" s="266"/>
      <c r="D80" s="266"/>
      <c r="E80" s="266"/>
      <c r="F80" s="266"/>
      <c r="G80" s="266"/>
      <c r="H80" s="266"/>
      <c r="I80" s="266"/>
      <c r="J80" s="266"/>
      <c r="K80" s="266"/>
      <c r="L80" s="266"/>
      <c r="M80" s="266"/>
      <c r="N80" s="266"/>
      <c r="O80" s="266"/>
      <c r="P80" s="266"/>
      <c r="Q80" s="266"/>
      <c r="R80" s="266"/>
      <c r="S80" s="266"/>
      <c r="T80" s="266"/>
      <c r="U80" s="266"/>
      <c r="V80" s="266"/>
      <c r="W80" s="266"/>
      <c r="X80" s="266"/>
      <c r="Y80" s="266"/>
      <c r="Z80" s="266"/>
      <c r="AA80" s="266"/>
      <c r="AB80" s="266"/>
      <c r="AC80" s="266"/>
      <c r="AD80" s="266"/>
      <c r="AE80" s="266"/>
    </row>
    <row r="81" spans="3:31" s="237" customFormat="1" x14ac:dyDescent="0.2">
      <c r="C81" s="266"/>
      <c r="D81" s="266"/>
      <c r="E81" s="266"/>
      <c r="F81" s="266"/>
      <c r="G81" s="266"/>
      <c r="H81" s="266"/>
      <c r="I81" s="266"/>
      <c r="J81" s="266"/>
      <c r="K81" s="266"/>
      <c r="L81" s="266"/>
      <c r="M81" s="266"/>
      <c r="N81" s="266"/>
      <c r="O81" s="266"/>
      <c r="P81" s="266"/>
      <c r="Q81" s="266"/>
      <c r="R81" s="266"/>
      <c r="S81" s="266"/>
      <c r="T81" s="266"/>
      <c r="U81" s="266"/>
      <c r="V81" s="266"/>
      <c r="W81" s="266"/>
      <c r="X81" s="266"/>
      <c r="Y81" s="266"/>
      <c r="Z81" s="266"/>
      <c r="AA81" s="266"/>
      <c r="AB81" s="266"/>
      <c r="AC81" s="266"/>
      <c r="AD81" s="266"/>
      <c r="AE81" s="266"/>
    </row>
    <row r="82" spans="3:31" s="237" customFormat="1" x14ac:dyDescent="0.2">
      <c r="C82" s="266"/>
      <c r="D82" s="266"/>
      <c r="E82" s="266"/>
      <c r="F82" s="266"/>
      <c r="G82" s="266"/>
      <c r="H82" s="266"/>
      <c r="I82" s="266"/>
      <c r="J82" s="266"/>
      <c r="K82" s="266"/>
      <c r="L82" s="266"/>
      <c r="M82" s="266"/>
      <c r="N82" s="266"/>
      <c r="O82" s="266"/>
      <c r="P82" s="266"/>
      <c r="Q82" s="266"/>
      <c r="R82" s="266"/>
      <c r="S82" s="266"/>
      <c r="T82" s="266"/>
      <c r="U82" s="266"/>
      <c r="V82" s="266"/>
      <c r="W82" s="266"/>
      <c r="X82" s="266"/>
      <c r="Y82" s="266"/>
      <c r="Z82" s="266"/>
      <c r="AA82" s="266"/>
      <c r="AB82" s="266"/>
      <c r="AC82" s="266"/>
      <c r="AD82" s="266"/>
      <c r="AE82" s="266"/>
    </row>
    <row r="83" spans="3:31" s="237" customFormat="1" x14ac:dyDescent="0.2">
      <c r="C83" s="266"/>
      <c r="D83" s="266"/>
      <c r="E83" s="266"/>
      <c r="F83" s="266"/>
      <c r="G83" s="266"/>
      <c r="H83" s="266"/>
      <c r="I83" s="266"/>
      <c r="J83" s="266"/>
      <c r="K83" s="266"/>
      <c r="L83" s="266"/>
      <c r="M83" s="266"/>
      <c r="N83" s="266"/>
      <c r="O83" s="266"/>
      <c r="P83" s="266"/>
      <c r="Q83" s="266"/>
      <c r="R83" s="266"/>
      <c r="S83" s="266"/>
      <c r="T83" s="266"/>
      <c r="U83" s="266"/>
      <c r="V83" s="266"/>
      <c r="W83" s="266"/>
      <c r="X83" s="266"/>
      <c r="Y83" s="266"/>
      <c r="Z83" s="266"/>
      <c r="AA83" s="266"/>
      <c r="AB83" s="266"/>
      <c r="AC83" s="266"/>
      <c r="AD83" s="266"/>
      <c r="AE83" s="266"/>
    </row>
    <row r="84" spans="3:31" s="237" customFormat="1" x14ac:dyDescent="0.2">
      <c r="C84" s="266"/>
      <c r="D84" s="266"/>
      <c r="E84" s="266"/>
      <c r="F84" s="266"/>
      <c r="G84" s="266"/>
      <c r="H84" s="266"/>
      <c r="I84" s="266"/>
      <c r="J84" s="266"/>
      <c r="K84" s="266"/>
      <c r="L84" s="266"/>
      <c r="M84" s="266"/>
      <c r="N84" s="266"/>
      <c r="O84" s="266"/>
      <c r="P84" s="266"/>
      <c r="Q84" s="266"/>
      <c r="R84" s="266"/>
      <c r="S84" s="266"/>
      <c r="T84" s="266"/>
      <c r="U84" s="266"/>
      <c r="V84" s="266"/>
      <c r="W84" s="266"/>
      <c r="X84" s="266"/>
      <c r="Y84" s="266"/>
      <c r="Z84" s="266"/>
      <c r="AA84" s="266"/>
      <c r="AB84" s="266"/>
      <c r="AC84" s="266"/>
      <c r="AD84" s="266"/>
      <c r="AE84" s="266"/>
    </row>
    <row r="85" spans="3:31" s="237" customFormat="1" x14ac:dyDescent="0.2">
      <c r="C85" s="266"/>
      <c r="D85" s="266"/>
      <c r="E85" s="266"/>
      <c r="F85" s="266"/>
      <c r="G85" s="266"/>
      <c r="H85" s="266"/>
      <c r="I85" s="266"/>
      <c r="J85" s="266"/>
      <c r="K85" s="266"/>
      <c r="L85" s="266"/>
      <c r="M85" s="266"/>
      <c r="N85" s="266"/>
      <c r="O85" s="266"/>
      <c r="P85" s="266"/>
      <c r="Q85" s="266"/>
      <c r="R85" s="266"/>
      <c r="S85" s="266"/>
      <c r="T85" s="266"/>
      <c r="U85" s="266"/>
      <c r="V85" s="266"/>
      <c r="W85" s="266"/>
      <c r="X85" s="266"/>
      <c r="Y85" s="266"/>
      <c r="Z85" s="266"/>
      <c r="AA85" s="266"/>
      <c r="AB85" s="266"/>
      <c r="AC85" s="266"/>
      <c r="AD85" s="266"/>
      <c r="AE85" s="266"/>
    </row>
    <row r="86" spans="3:31" s="237" customFormat="1" x14ac:dyDescent="0.2">
      <c r="C86" s="266"/>
      <c r="D86" s="266"/>
      <c r="E86" s="266"/>
      <c r="F86" s="266"/>
      <c r="G86" s="266"/>
      <c r="H86" s="266"/>
      <c r="I86" s="266"/>
      <c r="J86" s="266"/>
      <c r="K86" s="266"/>
      <c r="L86" s="266"/>
      <c r="M86" s="266"/>
      <c r="N86" s="266"/>
      <c r="O86" s="266"/>
      <c r="P86" s="266"/>
      <c r="Q86" s="266"/>
      <c r="R86" s="266"/>
      <c r="S86" s="266"/>
      <c r="T86" s="266"/>
      <c r="U86" s="266"/>
      <c r="V86" s="266"/>
      <c r="W86" s="266"/>
      <c r="X86" s="266"/>
      <c r="Y86" s="266"/>
      <c r="Z86" s="266"/>
      <c r="AA86" s="266"/>
      <c r="AB86" s="266"/>
      <c r="AC86" s="266"/>
      <c r="AD86" s="266"/>
      <c r="AE86" s="266"/>
    </row>
    <row r="87" spans="3:31" s="237" customFormat="1" x14ac:dyDescent="0.2">
      <c r="C87" s="266"/>
      <c r="D87" s="266"/>
      <c r="E87" s="266"/>
      <c r="F87" s="266"/>
      <c r="G87" s="266"/>
      <c r="H87" s="266"/>
      <c r="I87" s="266"/>
      <c r="J87" s="266"/>
      <c r="K87" s="266"/>
      <c r="L87" s="266"/>
      <c r="M87" s="266"/>
      <c r="N87" s="266"/>
      <c r="O87" s="266"/>
      <c r="P87" s="266"/>
      <c r="Q87" s="266"/>
      <c r="R87" s="266"/>
      <c r="S87" s="266"/>
      <c r="T87" s="266"/>
      <c r="U87" s="266"/>
      <c r="V87" s="266"/>
      <c r="W87" s="266"/>
      <c r="X87" s="266"/>
      <c r="Y87" s="266"/>
      <c r="Z87" s="266"/>
      <c r="AA87" s="266"/>
      <c r="AB87" s="266"/>
      <c r="AC87" s="266"/>
      <c r="AD87" s="266"/>
      <c r="AE87" s="266"/>
    </row>
    <row r="88" spans="3:31" s="237" customFormat="1" x14ac:dyDescent="0.2">
      <c r="C88" s="266"/>
      <c r="D88" s="266"/>
      <c r="E88" s="266"/>
      <c r="F88" s="266"/>
      <c r="G88" s="266"/>
      <c r="H88" s="266"/>
      <c r="I88" s="266"/>
      <c r="J88" s="266"/>
      <c r="K88" s="266"/>
      <c r="L88" s="266"/>
      <c r="M88" s="266"/>
      <c r="N88" s="266"/>
      <c r="O88" s="266"/>
      <c r="P88" s="266"/>
      <c r="Q88" s="266"/>
      <c r="R88" s="266"/>
      <c r="S88" s="266"/>
      <c r="T88" s="266"/>
      <c r="U88" s="266"/>
      <c r="V88" s="266"/>
      <c r="W88" s="266"/>
      <c r="X88" s="266"/>
      <c r="Y88" s="266"/>
      <c r="Z88" s="266"/>
      <c r="AA88" s="266"/>
      <c r="AB88" s="266"/>
      <c r="AC88" s="266"/>
      <c r="AD88" s="266"/>
      <c r="AE88" s="266"/>
    </row>
    <row r="89" spans="3:31" s="237" customFormat="1" x14ac:dyDescent="0.2">
      <c r="C89" s="266"/>
      <c r="D89" s="266"/>
      <c r="E89" s="266"/>
      <c r="F89" s="266"/>
      <c r="G89" s="266"/>
      <c r="H89" s="266"/>
      <c r="I89" s="266"/>
      <c r="J89" s="266"/>
      <c r="K89" s="266"/>
      <c r="L89" s="266"/>
      <c r="M89" s="266"/>
      <c r="N89" s="266"/>
      <c r="O89" s="266"/>
      <c r="P89" s="266"/>
      <c r="Q89" s="266"/>
      <c r="R89" s="266"/>
      <c r="S89" s="266"/>
      <c r="T89" s="266"/>
      <c r="U89" s="266"/>
      <c r="V89" s="266"/>
      <c r="W89" s="266"/>
      <c r="X89" s="266"/>
      <c r="Y89" s="266"/>
      <c r="Z89" s="266"/>
      <c r="AA89" s="266"/>
      <c r="AB89" s="266"/>
      <c r="AC89" s="266"/>
      <c r="AD89" s="266"/>
      <c r="AE89" s="266"/>
    </row>
    <row r="90" spans="3:31" s="237" customFormat="1" x14ac:dyDescent="0.2">
      <c r="C90" s="266"/>
      <c r="D90" s="266"/>
      <c r="E90" s="266"/>
      <c r="F90" s="266"/>
      <c r="G90" s="266"/>
      <c r="H90" s="266"/>
      <c r="I90" s="266"/>
      <c r="J90" s="266"/>
      <c r="K90" s="266"/>
      <c r="L90" s="266"/>
      <c r="M90" s="266"/>
      <c r="N90" s="266"/>
      <c r="O90" s="266"/>
      <c r="P90" s="266"/>
      <c r="Q90" s="266"/>
      <c r="R90" s="266"/>
      <c r="S90" s="266"/>
      <c r="T90" s="266"/>
      <c r="U90" s="266"/>
      <c r="V90" s="266"/>
      <c r="W90" s="266"/>
      <c r="X90" s="266"/>
      <c r="Y90" s="266"/>
      <c r="Z90" s="266"/>
      <c r="AA90" s="266"/>
      <c r="AB90" s="266"/>
      <c r="AC90" s="266"/>
      <c r="AD90" s="266"/>
      <c r="AE90" s="266"/>
    </row>
    <row r="91" spans="3:31" s="237" customFormat="1" x14ac:dyDescent="0.2">
      <c r="C91" s="266"/>
      <c r="D91" s="266"/>
      <c r="E91" s="266"/>
      <c r="F91" s="266"/>
      <c r="G91" s="266"/>
      <c r="H91" s="266"/>
      <c r="I91" s="266"/>
      <c r="J91" s="266"/>
      <c r="K91" s="266"/>
      <c r="L91" s="266"/>
      <c r="M91" s="266"/>
      <c r="N91" s="266"/>
      <c r="O91" s="266"/>
      <c r="P91" s="266"/>
      <c r="Q91" s="266"/>
      <c r="R91" s="266"/>
      <c r="S91" s="266"/>
      <c r="T91" s="266"/>
      <c r="U91" s="266"/>
      <c r="V91" s="266"/>
      <c r="W91" s="266"/>
      <c r="X91" s="266"/>
      <c r="Y91" s="266"/>
      <c r="Z91" s="266"/>
      <c r="AA91" s="266"/>
      <c r="AB91" s="266"/>
      <c r="AC91" s="266"/>
      <c r="AD91" s="266"/>
      <c r="AE91" s="266"/>
    </row>
    <row r="92" spans="3:31" s="237" customFormat="1" x14ac:dyDescent="0.2">
      <c r="C92" s="266"/>
      <c r="D92" s="266"/>
      <c r="E92" s="266"/>
      <c r="F92" s="266"/>
      <c r="G92" s="266"/>
      <c r="H92" s="266"/>
      <c r="I92" s="266"/>
      <c r="J92" s="266"/>
      <c r="K92" s="266"/>
      <c r="L92" s="266"/>
      <c r="M92" s="266"/>
      <c r="N92" s="266"/>
      <c r="O92" s="266"/>
      <c r="P92" s="266"/>
      <c r="Q92" s="266"/>
      <c r="R92" s="266"/>
      <c r="S92" s="266"/>
      <c r="T92" s="266"/>
      <c r="U92" s="266"/>
      <c r="V92" s="266"/>
      <c r="W92" s="266"/>
      <c r="X92" s="266"/>
      <c r="Y92" s="266"/>
      <c r="Z92" s="266"/>
      <c r="AA92" s="266"/>
      <c r="AB92" s="266"/>
      <c r="AC92" s="266"/>
      <c r="AD92" s="266"/>
      <c r="AE92" s="266"/>
    </row>
    <row r="93" spans="3:31" s="237" customFormat="1" x14ac:dyDescent="0.2">
      <c r="C93" s="266"/>
      <c r="D93" s="266"/>
      <c r="E93" s="266"/>
      <c r="F93" s="266"/>
      <c r="G93" s="266"/>
      <c r="H93" s="266"/>
      <c r="I93" s="266"/>
      <c r="J93" s="266"/>
      <c r="K93" s="266"/>
      <c r="L93" s="266"/>
      <c r="M93" s="266"/>
      <c r="N93" s="266"/>
      <c r="O93" s="266"/>
      <c r="P93" s="266"/>
      <c r="Q93" s="266"/>
      <c r="R93" s="266"/>
      <c r="S93" s="266"/>
      <c r="T93" s="266"/>
      <c r="U93" s="266"/>
      <c r="V93" s="266"/>
      <c r="W93" s="266"/>
      <c r="X93" s="266"/>
      <c r="Y93" s="266"/>
      <c r="Z93" s="266"/>
      <c r="AA93" s="266"/>
      <c r="AB93" s="266"/>
      <c r="AC93" s="266"/>
      <c r="AD93" s="266"/>
      <c r="AE93" s="266"/>
    </row>
    <row r="94" spans="3:31" s="237" customFormat="1" x14ac:dyDescent="0.2">
      <c r="C94" s="266"/>
      <c r="D94" s="266"/>
      <c r="E94" s="266"/>
      <c r="F94" s="266"/>
      <c r="G94" s="266"/>
      <c r="H94" s="266"/>
      <c r="I94" s="266"/>
      <c r="J94" s="266"/>
      <c r="K94" s="266"/>
      <c r="L94" s="266"/>
      <c r="M94" s="266"/>
      <c r="N94" s="266"/>
      <c r="O94" s="266"/>
      <c r="P94" s="266"/>
      <c r="Q94" s="266"/>
      <c r="R94" s="266"/>
      <c r="S94" s="266"/>
      <c r="T94" s="266"/>
      <c r="U94" s="266"/>
      <c r="V94" s="266"/>
      <c r="W94" s="266"/>
      <c r="X94" s="266"/>
      <c r="Y94" s="266"/>
      <c r="Z94" s="266"/>
      <c r="AA94" s="266"/>
      <c r="AB94" s="266"/>
      <c r="AC94" s="266"/>
      <c r="AD94" s="266"/>
      <c r="AE94" s="266"/>
    </row>
    <row r="95" spans="3:31" s="237" customFormat="1" x14ac:dyDescent="0.2">
      <c r="C95" s="266"/>
      <c r="D95" s="266"/>
      <c r="E95" s="266"/>
      <c r="F95" s="266"/>
      <c r="G95" s="266"/>
      <c r="H95" s="266"/>
      <c r="I95" s="266"/>
      <c r="J95" s="266"/>
      <c r="K95" s="266"/>
      <c r="L95" s="266"/>
      <c r="M95" s="266"/>
      <c r="N95" s="266"/>
      <c r="O95" s="266"/>
      <c r="P95" s="266"/>
      <c r="Q95" s="266"/>
      <c r="R95" s="266"/>
      <c r="S95" s="266"/>
      <c r="T95" s="266"/>
      <c r="U95" s="266"/>
      <c r="V95" s="266"/>
      <c r="W95" s="266"/>
      <c r="X95" s="266"/>
      <c r="Y95" s="266"/>
      <c r="Z95" s="266"/>
      <c r="AA95" s="266"/>
      <c r="AB95" s="266"/>
      <c r="AC95" s="266"/>
      <c r="AD95" s="266"/>
      <c r="AE95" s="266"/>
    </row>
    <row r="96" spans="3:31" s="237" customFormat="1" x14ac:dyDescent="0.2">
      <c r="C96" s="266"/>
      <c r="D96" s="266"/>
      <c r="E96" s="266"/>
      <c r="F96" s="266"/>
      <c r="G96" s="266"/>
      <c r="H96" s="266"/>
      <c r="I96" s="266"/>
      <c r="J96" s="266"/>
      <c r="K96" s="266"/>
      <c r="L96" s="266"/>
      <c r="M96" s="266"/>
      <c r="N96" s="266"/>
      <c r="O96" s="266"/>
      <c r="P96" s="266"/>
      <c r="Q96" s="266"/>
      <c r="R96" s="266"/>
      <c r="S96" s="266"/>
      <c r="T96" s="266"/>
      <c r="U96" s="266"/>
      <c r="V96" s="266"/>
      <c r="W96" s="266"/>
      <c r="X96" s="266"/>
      <c r="Y96" s="266"/>
      <c r="Z96" s="266"/>
      <c r="AA96" s="266"/>
      <c r="AB96" s="266"/>
      <c r="AC96" s="266"/>
      <c r="AD96" s="266"/>
      <c r="AE96" s="266"/>
    </row>
    <row r="97" spans="3:31" s="237" customFormat="1" x14ac:dyDescent="0.2">
      <c r="C97" s="266"/>
      <c r="D97" s="266"/>
      <c r="E97" s="266"/>
      <c r="F97" s="266"/>
      <c r="G97" s="266"/>
      <c r="H97" s="266"/>
      <c r="I97" s="266"/>
      <c r="J97" s="266"/>
      <c r="K97" s="266"/>
      <c r="L97" s="266"/>
      <c r="M97" s="266"/>
      <c r="N97" s="266"/>
      <c r="O97" s="266"/>
      <c r="P97" s="266"/>
      <c r="Q97" s="266"/>
      <c r="R97" s="266"/>
      <c r="S97" s="266"/>
      <c r="T97" s="266"/>
      <c r="U97" s="266"/>
      <c r="V97" s="266"/>
      <c r="W97" s="266"/>
      <c r="X97" s="266"/>
      <c r="Y97" s="266"/>
      <c r="Z97" s="266"/>
      <c r="AA97" s="266"/>
      <c r="AB97" s="266"/>
      <c r="AC97" s="266"/>
      <c r="AD97" s="266"/>
      <c r="AE97" s="266"/>
    </row>
    <row r="98" spans="3:31" s="237" customFormat="1" x14ac:dyDescent="0.2">
      <c r="C98" s="266"/>
      <c r="D98" s="266"/>
      <c r="E98" s="266"/>
      <c r="F98" s="266"/>
      <c r="G98" s="266"/>
      <c r="H98" s="266"/>
      <c r="I98" s="266"/>
      <c r="J98" s="266"/>
      <c r="K98" s="266"/>
      <c r="L98" s="266"/>
      <c r="M98" s="266"/>
      <c r="N98" s="266"/>
      <c r="O98" s="266"/>
      <c r="P98" s="266"/>
      <c r="Q98" s="266"/>
      <c r="R98" s="266"/>
      <c r="S98" s="266"/>
      <c r="T98" s="266"/>
      <c r="U98" s="266"/>
      <c r="V98" s="266"/>
      <c r="W98" s="266"/>
      <c r="X98" s="266"/>
      <c r="Y98" s="266"/>
      <c r="Z98" s="266"/>
      <c r="AA98" s="266"/>
      <c r="AB98" s="266"/>
      <c r="AC98" s="266"/>
      <c r="AD98" s="266"/>
      <c r="AE98" s="266"/>
    </row>
    <row r="99" spans="3:31" s="237" customFormat="1" x14ac:dyDescent="0.2">
      <c r="C99" s="266"/>
      <c r="D99" s="266"/>
      <c r="E99" s="266"/>
      <c r="F99" s="266"/>
      <c r="G99" s="266"/>
      <c r="H99" s="266"/>
      <c r="I99" s="266"/>
      <c r="J99" s="266"/>
      <c r="K99" s="266"/>
      <c r="L99" s="266"/>
      <c r="M99" s="266"/>
      <c r="N99" s="266"/>
      <c r="O99" s="266"/>
      <c r="P99" s="266"/>
      <c r="Q99" s="266"/>
      <c r="R99" s="266"/>
      <c r="S99" s="266"/>
      <c r="T99" s="266"/>
      <c r="U99" s="266"/>
      <c r="V99" s="266"/>
      <c r="W99" s="266"/>
      <c r="X99" s="266"/>
      <c r="Y99" s="266"/>
      <c r="Z99" s="266"/>
      <c r="AA99" s="266"/>
      <c r="AB99" s="266"/>
      <c r="AC99" s="266"/>
      <c r="AD99" s="266"/>
      <c r="AE99" s="266"/>
    </row>
    <row r="100" spans="3:31" s="237" customFormat="1" x14ac:dyDescent="0.2">
      <c r="C100" s="266"/>
      <c r="D100" s="266"/>
      <c r="E100" s="266"/>
      <c r="F100" s="266"/>
      <c r="G100" s="266"/>
      <c r="H100" s="266"/>
      <c r="I100" s="266"/>
      <c r="J100" s="266"/>
      <c r="K100" s="266"/>
      <c r="L100" s="266"/>
      <c r="M100" s="266"/>
      <c r="N100" s="266"/>
      <c r="O100" s="266"/>
      <c r="P100" s="266"/>
      <c r="Q100" s="266"/>
      <c r="R100" s="266"/>
      <c r="S100" s="266"/>
      <c r="T100" s="266"/>
      <c r="U100" s="266"/>
      <c r="V100" s="266"/>
      <c r="W100" s="266"/>
      <c r="X100" s="266"/>
      <c r="Y100" s="266"/>
      <c r="Z100" s="266"/>
      <c r="AA100" s="266"/>
      <c r="AB100" s="266"/>
      <c r="AC100" s="266"/>
      <c r="AD100" s="266"/>
      <c r="AE100" s="266"/>
    </row>
    <row r="101" spans="3:31" s="237" customFormat="1" x14ac:dyDescent="0.2">
      <c r="C101" s="266"/>
      <c r="D101" s="266"/>
      <c r="E101" s="266"/>
      <c r="F101" s="266"/>
      <c r="G101" s="266"/>
      <c r="H101" s="266"/>
      <c r="I101" s="266"/>
      <c r="J101" s="266"/>
      <c r="K101" s="266"/>
      <c r="L101" s="266"/>
      <c r="M101" s="266"/>
      <c r="N101" s="266"/>
      <c r="O101" s="266"/>
      <c r="P101" s="266"/>
      <c r="Q101" s="266"/>
      <c r="R101" s="266"/>
      <c r="S101" s="266"/>
      <c r="T101" s="266"/>
      <c r="U101" s="266"/>
      <c r="V101" s="266"/>
      <c r="W101" s="266"/>
      <c r="X101" s="266"/>
      <c r="Y101" s="266"/>
      <c r="Z101" s="266"/>
      <c r="AA101" s="266"/>
      <c r="AB101" s="266"/>
      <c r="AC101" s="266"/>
      <c r="AD101" s="266"/>
      <c r="AE101" s="266"/>
    </row>
    <row r="102" spans="3:31" s="237" customFormat="1" x14ac:dyDescent="0.2">
      <c r="C102" s="266"/>
      <c r="D102" s="266"/>
      <c r="E102" s="266"/>
      <c r="F102" s="266"/>
      <c r="G102" s="266"/>
      <c r="H102" s="266"/>
      <c r="I102" s="266"/>
      <c r="J102" s="266"/>
      <c r="K102" s="266"/>
      <c r="L102" s="266"/>
      <c r="M102" s="266"/>
      <c r="N102" s="266"/>
      <c r="O102" s="266"/>
      <c r="P102" s="266"/>
      <c r="Q102" s="266"/>
      <c r="R102" s="266"/>
      <c r="S102" s="266"/>
      <c r="T102" s="266"/>
      <c r="U102" s="266"/>
      <c r="V102" s="266"/>
      <c r="W102" s="266"/>
      <c r="X102" s="266"/>
      <c r="Y102" s="266"/>
      <c r="Z102" s="266"/>
      <c r="AA102" s="266"/>
      <c r="AB102" s="266"/>
      <c r="AC102" s="266"/>
      <c r="AD102" s="266"/>
      <c r="AE102" s="266"/>
    </row>
    <row r="103" spans="3:31" s="237" customFormat="1" x14ac:dyDescent="0.2">
      <c r="C103" s="266"/>
      <c r="D103" s="266"/>
      <c r="E103" s="266"/>
      <c r="F103" s="266"/>
      <c r="G103" s="266"/>
      <c r="H103" s="266"/>
      <c r="I103" s="266"/>
      <c r="J103" s="266"/>
      <c r="K103" s="266"/>
      <c r="L103" s="266"/>
      <c r="M103" s="266"/>
      <c r="N103" s="266"/>
      <c r="O103" s="266"/>
      <c r="P103" s="266"/>
      <c r="Q103" s="266"/>
      <c r="R103" s="266"/>
      <c r="S103" s="266"/>
      <c r="T103" s="266"/>
      <c r="U103" s="266"/>
      <c r="V103" s="266"/>
      <c r="W103" s="266"/>
      <c r="X103" s="266"/>
      <c r="Y103" s="266"/>
      <c r="Z103" s="266"/>
      <c r="AA103" s="266"/>
      <c r="AB103" s="266"/>
      <c r="AC103" s="266"/>
      <c r="AD103" s="266"/>
      <c r="AE103" s="266"/>
    </row>
    <row r="104" spans="3:31" s="237" customFormat="1" x14ac:dyDescent="0.2">
      <c r="C104" s="266"/>
      <c r="D104" s="266"/>
      <c r="E104" s="266"/>
      <c r="F104" s="266"/>
      <c r="G104" s="266"/>
      <c r="H104" s="266"/>
      <c r="I104" s="266"/>
      <c r="J104" s="266"/>
      <c r="K104" s="266"/>
      <c r="L104" s="266"/>
      <c r="M104" s="266"/>
      <c r="N104" s="266"/>
      <c r="O104" s="266"/>
      <c r="P104" s="266"/>
      <c r="Q104" s="266"/>
      <c r="R104" s="266"/>
      <c r="S104" s="266"/>
      <c r="T104" s="266"/>
      <c r="U104" s="266"/>
      <c r="V104" s="266"/>
      <c r="W104" s="266"/>
      <c r="X104" s="266"/>
      <c r="Y104" s="266"/>
      <c r="Z104" s="266"/>
      <c r="AA104" s="266"/>
      <c r="AB104" s="266"/>
      <c r="AC104" s="266"/>
      <c r="AD104" s="266"/>
      <c r="AE104" s="266"/>
    </row>
    <row r="105" spans="3:31" s="237" customFormat="1" x14ac:dyDescent="0.2">
      <c r="C105" s="266"/>
      <c r="D105" s="266"/>
      <c r="E105" s="266"/>
      <c r="F105" s="266"/>
      <c r="G105" s="266"/>
      <c r="H105" s="266"/>
      <c r="I105" s="266"/>
      <c r="J105" s="266"/>
      <c r="K105" s="266"/>
      <c r="L105" s="266"/>
      <c r="M105" s="266"/>
      <c r="N105" s="266"/>
      <c r="O105" s="266"/>
      <c r="P105" s="266"/>
      <c r="Q105" s="266"/>
      <c r="R105" s="266"/>
      <c r="S105" s="266"/>
      <c r="T105" s="266"/>
      <c r="U105" s="266"/>
      <c r="V105" s="266"/>
      <c r="W105" s="266"/>
      <c r="X105" s="266"/>
      <c r="Y105" s="266"/>
      <c r="Z105" s="266"/>
      <c r="AA105" s="266"/>
      <c r="AB105" s="266"/>
      <c r="AC105" s="266"/>
      <c r="AD105" s="266"/>
      <c r="AE105" s="266"/>
    </row>
    <row r="106" spans="3:31" s="237" customFormat="1" x14ac:dyDescent="0.2">
      <c r="C106" s="266"/>
      <c r="D106" s="266"/>
      <c r="E106" s="266"/>
      <c r="F106" s="266"/>
      <c r="G106" s="266"/>
      <c r="H106" s="266"/>
      <c r="I106" s="266"/>
      <c r="J106" s="266"/>
      <c r="K106" s="266"/>
      <c r="L106" s="266"/>
      <c r="M106" s="266"/>
      <c r="N106" s="266"/>
      <c r="O106" s="266"/>
      <c r="P106" s="266"/>
      <c r="Q106" s="266"/>
      <c r="R106" s="266"/>
      <c r="S106" s="266"/>
      <c r="T106" s="266"/>
      <c r="U106" s="266"/>
      <c r="V106" s="266"/>
      <c r="W106" s="266"/>
      <c r="X106" s="266"/>
      <c r="Y106" s="266"/>
      <c r="Z106" s="266"/>
      <c r="AA106" s="266"/>
      <c r="AB106" s="266"/>
      <c r="AC106" s="266"/>
      <c r="AD106" s="266"/>
      <c r="AE106" s="266"/>
    </row>
    <row r="107" spans="3:31" s="237" customFormat="1" x14ac:dyDescent="0.2">
      <c r="C107" s="266"/>
      <c r="D107" s="266"/>
      <c r="E107" s="266"/>
      <c r="F107" s="266"/>
      <c r="G107" s="266"/>
      <c r="H107" s="266"/>
      <c r="I107" s="266"/>
      <c r="J107" s="266"/>
      <c r="K107" s="266"/>
      <c r="L107" s="266"/>
      <c r="M107" s="266"/>
      <c r="N107" s="266"/>
      <c r="O107" s="266"/>
      <c r="P107" s="266"/>
      <c r="Q107" s="266"/>
      <c r="R107" s="266"/>
      <c r="S107" s="266"/>
      <c r="T107" s="266"/>
      <c r="U107" s="266"/>
      <c r="V107" s="266"/>
      <c r="W107" s="266"/>
      <c r="X107" s="266"/>
      <c r="Y107" s="266"/>
      <c r="Z107" s="266"/>
      <c r="AA107" s="266"/>
      <c r="AB107" s="266"/>
      <c r="AC107" s="266"/>
      <c r="AD107" s="266"/>
      <c r="AE107" s="266"/>
    </row>
    <row r="108" spans="3:31" s="237" customFormat="1" x14ac:dyDescent="0.2">
      <c r="C108" s="266"/>
      <c r="D108" s="266"/>
      <c r="E108" s="266"/>
      <c r="F108" s="266"/>
      <c r="G108" s="266"/>
      <c r="H108" s="266"/>
      <c r="I108" s="266"/>
      <c r="J108" s="266"/>
      <c r="K108" s="266"/>
      <c r="L108" s="266"/>
      <c r="M108" s="266"/>
      <c r="N108" s="266"/>
      <c r="O108" s="266"/>
      <c r="P108" s="266"/>
      <c r="Q108" s="266"/>
      <c r="R108" s="266"/>
      <c r="S108" s="266"/>
      <c r="T108" s="266"/>
      <c r="U108" s="266"/>
      <c r="V108" s="266"/>
      <c r="W108" s="266"/>
      <c r="X108" s="266"/>
      <c r="Y108" s="266"/>
      <c r="Z108" s="266"/>
      <c r="AA108" s="266"/>
      <c r="AB108" s="266"/>
      <c r="AC108" s="266"/>
      <c r="AD108" s="266"/>
      <c r="AE108" s="266"/>
    </row>
    <row r="109" spans="3:31" s="237" customFormat="1" x14ac:dyDescent="0.2">
      <c r="C109" s="266"/>
      <c r="D109" s="266"/>
      <c r="E109" s="266"/>
      <c r="F109" s="266"/>
      <c r="G109" s="266"/>
      <c r="H109" s="266"/>
      <c r="I109" s="266"/>
      <c r="J109" s="266"/>
      <c r="K109" s="266"/>
      <c r="L109" s="266"/>
      <c r="M109" s="266"/>
      <c r="N109" s="266"/>
      <c r="O109" s="266"/>
      <c r="P109" s="266"/>
      <c r="Q109" s="266"/>
      <c r="R109" s="266"/>
      <c r="S109" s="266"/>
      <c r="T109" s="266"/>
      <c r="U109" s="266"/>
      <c r="V109" s="266"/>
      <c r="W109" s="266"/>
      <c r="X109" s="266"/>
      <c r="Y109" s="266"/>
      <c r="Z109" s="266"/>
      <c r="AA109" s="266"/>
      <c r="AB109" s="266"/>
      <c r="AC109" s="266"/>
      <c r="AD109" s="266"/>
      <c r="AE109" s="266"/>
    </row>
    <row r="110" spans="3:31" s="237" customFormat="1" x14ac:dyDescent="0.2">
      <c r="C110" s="266"/>
      <c r="D110" s="266"/>
      <c r="E110" s="266"/>
      <c r="F110" s="266"/>
      <c r="G110" s="266"/>
      <c r="H110" s="266"/>
      <c r="I110" s="266"/>
      <c r="J110" s="266"/>
      <c r="K110" s="266"/>
      <c r="L110" s="266"/>
      <c r="M110" s="266"/>
      <c r="N110" s="266"/>
      <c r="O110" s="266"/>
      <c r="P110" s="266"/>
      <c r="Q110" s="266"/>
      <c r="R110" s="266"/>
      <c r="S110" s="266"/>
      <c r="T110" s="266"/>
      <c r="U110" s="266"/>
      <c r="V110" s="266"/>
      <c r="W110" s="266"/>
      <c r="X110" s="266"/>
      <c r="Y110" s="266"/>
      <c r="Z110" s="266"/>
      <c r="AA110" s="266"/>
      <c r="AB110" s="266"/>
      <c r="AC110" s="266"/>
      <c r="AD110" s="266"/>
      <c r="AE110" s="266"/>
    </row>
    <row r="111" spans="3:31" s="237" customFormat="1" x14ac:dyDescent="0.2">
      <c r="C111" s="266"/>
      <c r="D111" s="266"/>
      <c r="E111" s="266"/>
      <c r="F111" s="266"/>
      <c r="G111" s="266"/>
      <c r="H111" s="266"/>
      <c r="I111" s="266"/>
      <c r="J111" s="266"/>
      <c r="K111" s="266"/>
      <c r="L111" s="266"/>
      <c r="M111" s="266"/>
      <c r="N111" s="266"/>
      <c r="O111" s="266"/>
      <c r="P111" s="266"/>
      <c r="Q111" s="266"/>
      <c r="R111" s="266"/>
      <c r="S111" s="266"/>
      <c r="T111" s="266"/>
      <c r="U111" s="266"/>
      <c r="V111" s="266"/>
      <c r="W111" s="266"/>
      <c r="X111" s="266"/>
      <c r="Y111" s="266"/>
      <c r="Z111" s="266"/>
      <c r="AA111" s="266"/>
      <c r="AB111" s="266"/>
      <c r="AC111" s="266"/>
      <c r="AD111" s="266"/>
      <c r="AE111" s="266"/>
    </row>
    <row r="112" spans="3:31" s="237" customFormat="1" x14ac:dyDescent="0.2">
      <c r="C112" s="266"/>
      <c r="D112" s="266"/>
      <c r="E112" s="266"/>
      <c r="F112" s="266"/>
      <c r="G112" s="266"/>
      <c r="H112" s="266"/>
      <c r="I112" s="266"/>
      <c r="J112" s="266"/>
      <c r="K112" s="266"/>
      <c r="L112" s="266"/>
      <c r="M112" s="266"/>
      <c r="N112" s="266"/>
      <c r="O112" s="266"/>
      <c r="P112" s="266"/>
      <c r="Q112" s="266"/>
      <c r="R112" s="266"/>
      <c r="S112" s="266"/>
      <c r="T112" s="266"/>
      <c r="U112" s="266"/>
      <c r="V112" s="266"/>
      <c r="W112" s="266"/>
      <c r="X112" s="266"/>
      <c r="Y112" s="266"/>
      <c r="Z112" s="266"/>
      <c r="AA112" s="266"/>
      <c r="AB112" s="266"/>
      <c r="AC112" s="266"/>
      <c r="AD112" s="266"/>
      <c r="AE112" s="266"/>
    </row>
    <row r="113" spans="3:31" s="237" customFormat="1" x14ac:dyDescent="0.2">
      <c r="C113" s="266"/>
      <c r="D113" s="266"/>
      <c r="E113" s="266"/>
      <c r="F113" s="266"/>
      <c r="G113" s="266"/>
      <c r="H113" s="266"/>
      <c r="I113" s="266"/>
      <c r="J113" s="266"/>
      <c r="K113" s="266"/>
      <c r="L113" s="266"/>
      <c r="M113" s="266"/>
      <c r="N113" s="266"/>
      <c r="O113" s="266"/>
      <c r="P113" s="266"/>
      <c r="Q113" s="266"/>
      <c r="R113" s="266"/>
      <c r="S113" s="266"/>
      <c r="T113" s="266"/>
      <c r="U113" s="266"/>
      <c r="V113" s="266"/>
      <c r="W113" s="266"/>
      <c r="X113" s="266"/>
      <c r="Y113" s="266"/>
      <c r="Z113" s="266"/>
      <c r="AA113" s="266"/>
      <c r="AB113" s="266"/>
      <c r="AC113" s="266"/>
      <c r="AD113" s="266"/>
      <c r="AE113" s="266"/>
    </row>
    <row r="114" spans="3:31" s="237" customFormat="1" x14ac:dyDescent="0.2">
      <c r="C114" s="266"/>
      <c r="D114" s="266"/>
      <c r="E114" s="266"/>
      <c r="F114" s="266"/>
      <c r="G114" s="266"/>
      <c r="H114" s="266"/>
      <c r="I114" s="266"/>
      <c r="J114" s="266"/>
      <c r="K114" s="266"/>
      <c r="L114" s="266"/>
      <c r="M114" s="266"/>
      <c r="N114" s="266"/>
      <c r="O114" s="266"/>
      <c r="P114" s="266"/>
      <c r="Q114" s="266"/>
      <c r="R114" s="266"/>
      <c r="S114" s="266"/>
      <c r="T114" s="266"/>
      <c r="U114" s="266"/>
      <c r="V114" s="266"/>
      <c r="W114" s="266"/>
      <c r="X114" s="266"/>
      <c r="Y114" s="266"/>
      <c r="Z114" s="266"/>
      <c r="AA114" s="266"/>
      <c r="AB114" s="266"/>
      <c r="AC114" s="266"/>
      <c r="AD114" s="266"/>
      <c r="AE114" s="266"/>
    </row>
    <row r="115" spans="3:31" s="237" customFormat="1" x14ac:dyDescent="0.2">
      <c r="C115" s="266"/>
      <c r="D115" s="266"/>
      <c r="E115" s="266"/>
      <c r="F115" s="266"/>
      <c r="G115" s="266"/>
      <c r="H115" s="266"/>
      <c r="I115" s="266"/>
      <c r="J115" s="266"/>
      <c r="K115" s="266"/>
      <c r="L115" s="266"/>
      <c r="M115" s="266"/>
      <c r="N115" s="266"/>
      <c r="O115" s="266"/>
      <c r="P115" s="266"/>
      <c r="Q115" s="266"/>
      <c r="R115" s="266"/>
      <c r="S115" s="266"/>
      <c r="T115" s="266"/>
      <c r="U115" s="266"/>
      <c r="V115" s="266"/>
      <c r="W115" s="266"/>
      <c r="X115" s="266"/>
      <c r="Y115" s="266"/>
      <c r="Z115" s="266"/>
      <c r="AA115" s="266"/>
      <c r="AB115" s="266"/>
      <c r="AC115" s="266"/>
      <c r="AD115" s="266"/>
      <c r="AE115" s="266"/>
    </row>
    <row r="116" spans="3:31" s="237" customFormat="1" x14ac:dyDescent="0.2">
      <c r="C116" s="266"/>
      <c r="D116" s="266"/>
      <c r="E116" s="266"/>
      <c r="F116" s="266"/>
      <c r="G116" s="266"/>
      <c r="H116" s="266"/>
      <c r="I116" s="266"/>
      <c r="J116" s="266"/>
      <c r="K116" s="266"/>
      <c r="L116" s="266"/>
      <c r="M116" s="266"/>
      <c r="N116" s="266"/>
      <c r="O116" s="266"/>
      <c r="P116" s="266"/>
      <c r="Q116" s="266"/>
      <c r="R116" s="266"/>
      <c r="S116" s="266"/>
      <c r="T116" s="266"/>
      <c r="U116" s="266"/>
      <c r="V116" s="266"/>
      <c r="W116" s="266"/>
      <c r="X116" s="266"/>
      <c r="Y116" s="266"/>
      <c r="Z116" s="266"/>
      <c r="AA116" s="266"/>
      <c r="AB116" s="266"/>
      <c r="AC116" s="266"/>
      <c r="AD116" s="266"/>
      <c r="AE116" s="266"/>
    </row>
    <row r="117" spans="3:31" s="237" customFormat="1" x14ac:dyDescent="0.2">
      <c r="C117" s="266"/>
      <c r="D117" s="266"/>
      <c r="E117" s="266"/>
      <c r="F117" s="266"/>
      <c r="G117" s="266"/>
      <c r="H117" s="266"/>
      <c r="I117" s="266"/>
      <c r="J117" s="266"/>
      <c r="K117" s="266"/>
      <c r="L117" s="266"/>
      <c r="M117" s="266"/>
      <c r="N117" s="266"/>
      <c r="O117" s="266"/>
      <c r="P117" s="266"/>
      <c r="Q117" s="266"/>
      <c r="R117" s="266"/>
      <c r="S117" s="266"/>
      <c r="T117" s="266"/>
      <c r="U117" s="266"/>
      <c r="V117" s="266"/>
      <c r="W117" s="266"/>
      <c r="X117" s="266"/>
      <c r="Y117" s="266"/>
      <c r="Z117" s="266"/>
      <c r="AA117" s="266"/>
      <c r="AB117" s="266"/>
      <c r="AC117" s="266"/>
      <c r="AD117" s="266"/>
      <c r="AE117" s="266"/>
    </row>
    <row r="118" spans="3:31" s="237" customFormat="1" x14ac:dyDescent="0.2">
      <c r="C118" s="266"/>
      <c r="D118" s="266"/>
      <c r="E118" s="266"/>
      <c r="F118" s="266"/>
      <c r="G118" s="266"/>
      <c r="H118" s="266"/>
      <c r="I118" s="266"/>
      <c r="J118" s="266"/>
      <c r="K118" s="266"/>
      <c r="L118" s="266"/>
      <c r="M118" s="266"/>
      <c r="N118" s="266"/>
      <c r="O118" s="266"/>
      <c r="P118" s="266"/>
      <c r="Q118" s="266"/>
      <c r="R118" s="266"/>
      <c r="S118" s="266"/>
      <c r="T118" s="266"/>
      <c r="U118" s="266"/>
      <c r="V118" s="266"/>
      <c r="W118" s="266"/>
      <c r="X118" s="266"/>
      <c r="Y118" s="266"/>
      <c r="Z118" s="266"/>
      <c r="AA118" s="266"/>
      <c r="AB118" s="266"/>
      <c r="AC118" s="266"/>
      <c r="AD118" s="266"/>
      <c r="AE118" s="266"/>
    </row>
    <row r="119" spans="3:31" s="237" customFormat="1" x14ac:dyDescent="0.2">
      <c r="C119" s="266"/>
      <c r="D119" s="266"/>
      <c r="E119" s="266"/>
      <c r="F119" s="266"/>
      <c r="G119" s="266"/>
      <c r="H119" s="266"/>
      <c r="I119" s="266"/>
      <c r="J119" s="266"/>
      <c r="K119" s="266"/>
      <c r="L119" s="266"/>
      <c r="M119" s="266"/>
      <c r="N119" s="266"/>
      <c r="O119" s="266"/>
      <c r="P119" s="266"/>
      <c r="Q119" s="266"/>
      <c r="R119" s="266"/>
      <c r="S119" s="266"/>
      <c r="T119" s="266"/>
      <c r="U119" s="266"/>
      <c r="V119" s="266"/>
      <c r="W119" s="266"/>
      <c r="X119" s="266"/>
      <c r="Y119" s="266"/>
      <c r="Z119" s="266"/>
      <c r="AA119" s="266"/>
      <c r="AB119" s="266"/>
      <c r="AC119" s="266"/>
      <c r="AD119" s="266"/>
      <c r="AE119" s="266"/>
    </row>
    <row r="120" spans="3:31" s="237" customFormat="1" x14ac:dyDescent="0.2">
      <c r="C120" s="266"/>
      <c r="D120" s="266"/>
      <c r="E120" s="266"/>
      <c r="F120" s="266"/>
      <c r="G120" s="266"/>
      <c r="H120" s="266"/>
      <c r="I120" s="266"/>
      <c r="J120" s="266"/>
      <c r="K120" s="266"/>
      <c r="L120" s="266"/>
      <c r="M120" s="266"/>
      <c r="N120" s="266"/>
      <c r="O120" s="266"/>
      <c r="P120" s="266"/>
      <c r="Q120" s="266"/>
      <c r="R120" s="266"/>
      <c r="S120" s="266"/>
      <c r="T120" s="266"/>
      <c r="U120" s="266"/>
      <c r="V120" s="266"/>
      <c r="W120" s="266"/>
      <c r="X120" s="266"/>
      <c r="Y120" s="266"/>
      <c r="Z120" s="266"/>
      <c r="AA120" s="266"/>
      <c r="AB120" s="266"/>
      <c r="AC120" s="266"/>
      <c r="AD120" s="266"/>
      <c r="AE120" s="266"/>
    </row>
    <row r="121" spans="3:31" s="237" customFormat="1" x14ac:dyDescent="0.2">
      <c r="C121" s="266"/>
      <c r="D121" s="266"/>
      <c r="E121" s="266"/>
      <c r="F121" s="266"/>
      <c r="G121" s="266"/>
      <c r="H121" s="266"/>
      <c r="I121" s="266"/>
      <c r="J121" s="266"/>
      <c r="K121" s="266"/>
      <c r="L121" s="266"/>
      <c r="M121" s="266"/>
      <c r="N121" s="266"/>
      <c r="O121" s="266"/>
      <c r="P121" s="266"/>
      <c r="Q121" s="266"/>
      <c r="R121" s="266"/>
      <c r="S121" s="266"/>
      <c r="T121" s="266"/>
      <c r="U121" s="266"/>
      <c r="V121" s="266"/>
      <c r="W121" s="266"/>
      <c r="X121" s="266"/>
      <c r="Y121" s="266"/>
      <c r="Z121" s="266"/>
      <c r="AA121" s="266"/>
      <c r="AB121" s="266"/>
      <c r="AC121" s="266"/>
      <c r="AD121" s="266"/>
      <c r="AE121" s="266"/>
    </row>
    <row r="122" spans="3:31" s="237" customFormat="1" x14ac:dyDescent="0.2">
      <c r="C122" s="266"/>
      <c r="D122" s="266"/>
      <c r="E122" s="266"/>
      <c r="F122" s="266"/>
      <c r="G122" s="266"/>
      <c r="H122" s="266"/>
      <c r="I122" s="266"/>
      <c r="J122" s="266"/>
      <c r="K122" s="266"/>
      <c r="L122" s="266"/>
      <c r="M122" s="266"/>
      <c r="N122" s="266"/>
      <c r="O122" s="266"/>
      <c r="P122" s="266"/>
      <c r="Q122" s="266"/>
      <c r="R122" s="266"/>
      <c r="S122" s="266"/>
      <c r="T122" s="266"/>
      <c r="U122" s="266"/>
      <c r="V122" s="266"/>
      <c r="W122" s="266"/>
      <c r="X122" s="266"/>
      <c r="Y122" s="266"/>
      <c r="Z122" s="266"/>
      <c r="AA122" s="266"/>
      <c r="AB122" s="266"/>
      <c r="AC122" s="266"/>
      <c r="AD122" s="266"/>
      <c r="AE122" s="266"/>
    </row>
    <row r="123" spans="3:31" s="237" customFormat="1" x14ac:dyDescent="0.2">
      <c r="C123" s="266"/>
      <c r="D123" s="266"/>
      <c r="E123" s="266"/>
      <c r="F123" s="266"/>
      <c r="G123" s="266"/>
      <c r="H123" s="266"/>
      <c r="I123" s="266"/>
      <c r="J123" s="266"/>
      <c r="K123" s="266"/>
      <c r="L123" s="266"/>
      <c r="M123" s="266"/>
      <c r="N123" s="266"/>
      <c r="O123" s="266"/>
      <c r="P123" s="266"/>
      <c r="Q123" s="266"/>
      <c r="R123" s="266"/>
      <c r="S123" s="266"/>
      <c r="T123" s="266"/>
      <c r="U123" s="266"/>
      <c r="V123" s="266"/>
      <c r="W123" s="266"/>
      <c r="X123" s="266"/>
      <c r="Y123" s="266"/>
      <c r="Z123" s="266"/>
      <c r="AA123" s="266"/>
      <c r="AB123" s="266"/>
      <c r="AC123" s="266"/>
      <c r="AD123" s="266"/>
      <c r="AE123" s="266"/>
    </row>
    <row r="124" spans="3:31" s="237" customFormat="1" x14ac:dyDescent="0.2">
      <c r="C124" s="266"/>
      <c r="D124" s="266"/>
      <c r="E124" s="266"/>
      <c r="F124" s="266"/>
      <c r="G124" s="266"/>
      <c r="H124" s="266"/>
      <c r="I124" s="266"/>
      <c r="J124" s="266"/>
      <c r="K124" s="266"/>
      <c r="L124" s="266"/>
      <c r="M124" s="266"/>
      <c r="N124" s="266"/>
      <c r="O124" s="266"/>
      <c r="P124" s="266"/>
      <c r="Q124" s="266"/>
      <c r="R124" s="266"/>
      <c r="S124" s="266"/>
      <c r="T124" s="266"/>
      <c r="U124" s="266"/>
      <c r="V124" s="266"/>
      <c r="W124" s="266"/>
      <c r="X124" s="266"/>
      <c r="Y124" s="266"/>
      <c r="Z124" s="266"/>
      <c r="AA124" s="266"/>
      <c r="AB124" s="266"/>
      <c r="AC124" s="266"/>
      <c r="AD124" s="266"/>
      <c r="AE124" s="266"/>
    </row>
    <row r="125" spans="3:31" s="237" customFormat="1" x14ac:dyDescent="0.2">
      <c r="C125" s="266"/>
      <c r="D125" s="266"/>
      <c r="E125" s="266"/>
      <c r="F125" s="266"/>
      <c r="G125" s="266"/>
      <c r="H125" s="266"/>
      <c r="I125" s="266"/>
      <c r="J125" s="266"/>
      <c r="K125" s="266"/>
      <c r="L125" s="266"/>
      <c r="M125" s="266"/>
      <c r="N125" s="266"/>
      <c r="O125" s="266"/>
      <c r="P125" s="266"/>
      <c r="Q125" s="266"/>
      <c r="R125" s="266"/>
      <c r="S125" s="266"/>
      <c r="T125" s="266"/>
      <c r="U125" s="266"/>
      <c r="V125" s="266"/>
      <c r="W125" s="266"/>
      <c r="X125" s="266"/>
      <c r="Y125" s="266"/>
      <c r="Z125" s="266"/>
      <c r="AA125" s="266"/>
      <c r="AB125" s="266"/>
      <c r="AC125" s="266"/>
      <c r="AD125" s="266"/>
      <c r="AE125" s="266"/>
    </row>
    <row r="126" spans="3:31" s="237" customFormat="1" x14ac:dyDescent="0.2">
      <c r="C126" s="266"/>
      <c r="D126" s="266"/>
      <c r="E126" s="266"/>
      <c r="F126" s="266"/>
      <c r="G126" s="266"/>
      <c r="H126" s="266"/>
      <c r="I126" s="266"/>
      <c r="J126" s="266"/>
      <c r="K126" s="266"/>
      <c r="L126" s="266"/>
      <c r="M126" s="266"/>
      <c r="N126" s="266"/>
      <c r="O126" s="266"/>
      <c r="P126" s="266"/>
      <c r="Q126" s="266"/>
      <c r="R126" s="266"/>
      <c r="S126" s="266"/>
      <c r="T126" s="266"/>
      <c r="U126" s="266"/>
      <c r="V126" s="266"/>
      <c r="W126" s="266"/>
      <c r="X126" s="266"/>
      <c r="Y126" s="266"/>
      <c r="Z126" s="266"/>
      <c r="AA126" s="266"/>
      <c r="AB126" s="266"/>
      <c r="AC126" s="266"/>
      <c r="AD126" s="266"/>
      <c r="AE126" s="266"/>
    </row>
    <row r="127" spans="3:31" s="237" customFormat="1" x14ac:dyDescent="0.2">
      <c r="C127" s="266"/>
      <c r="D127" s="266"/>
      <c r="E127" s="266"/>
      <c r="F127" s="266"/>
      <c r="G127" s="266"/>
      <c r="H127" s="266"/>
      <c r="I127" s="266"/>
      <c r="J127" s="266"/>
      <c r="K127" s="266"/>
      <c r="L127" s="266"/>
      <c r="M127" s="266"/>
      <c r="N127" s="266"/>
      <c r="O127" s="266"/>
      <c r="P127" s="266"/>
      <c r="Q127" s="266"/>
      <c r="R127" s="266"/>
      <c r="S127" s="266"/>
      <c r="T127" s="266"/>
      <c r="U127" s="266"/>
      <c r="V127" s="266"/>
      <c r="W127" s="266"/>
      <c r="X127" s="266"/>
      <c r="Y127" s="266"/>
      <c r="Z127" s="266"/>
      <c r="AA127" s="266"/>
      <c r="AB127" s="266"/>
      <c r="AC127" s="266"/>
      <c r="AD127" s="266"/>
      <c r="AE127" s="266"/>
    </row>
    <row r="128" spans="3:31" s="237" customFormat="1" x14ac:dyDescent="0.2">
      <c r="C128" s="266"/>
      <c r="D128" s="266"/>
      <c r="E128" s="266"/>
      <c r="F128" s="266"/>
      <c r="G128" s="266"/>
      <c r="H128" s="266"/>
      <c r="I128" s="266"/>
      <c r="J128" s="266"/>
      <c r="K128" s="266"/>
      <c r="L128" s="266"/>
      <c r="M128" s="266"/>
      <c r="N128" s="266"/>
      <c r="O128" s="266"/>
      <c r="P128" s="266"/>
      <c r="Q128" s="266"/>
      <c r="R128" s="266"/>
      <c r="S128" s="266"/>
      <c r="T128" s="266"/>
      <c r="U128" s="266"/>
      <c r="V128" s="266"/>
      <c r="W128" s="266"/>
      <c r="X128" s="266"/>
      <c r="Y128" s="266"/>
      <c r="Z128" s="266"/>
      <c r="AA128" s="266"/>
      <c r="AB128" s="266"/>
      <c r="AC128" s="266"/>
      <c r="AD128" s="266"/>
      <c r="AE128" s="266"/>
    </row>
    <row r="129" spans="3:31" s="237" customFormat="1" x14ac:dyDescent="0.2">
      <c r="C129" s="266"/>
      <c r="D129" s="266"/>
      <c r="E129" s="266"/>
      <c r="F129" s="266"/>
      <c r="G129" s="266"/>
      <c r="H129" s="266"/>
      <c r="I129" s="266"/>
      <c r="J129" s="266"/>
      <c r="K129" s="266"/>
      <c r="L129" s="266"/>
      <c r="M129" s="266"/>
      <c r="N129" s="266"/>
      <c r="O129" s="266"/>
      <c r="P129" s="266"/>
      <c r="Q129" s="266"/>
      <c r="R129" s="266"/>
      <c r="S129" s="266"/>
      <c r="T129" s="266"/>
      <c r="U129" s="266"/>
      <c r="V129" s="266"/>
      <c r="W129" s="266"/>
      <c r="X129" s="266"/>
      <c r="Y129" s="266"/>
      <c r="Z129" s="266"/>
      <c r="AA129" s="266"/>
      <c r="AB129" s="266"/>
      <c r="AC129" s="266"/>
      <c r="AD129" s="266"/>
      <c r="AE129" s="266"/>
    </row>
    <row r="130" spans="3:31" s="237" customFormat="1" x14ac:dyDescent="0.2">
      <c r="C130" s="266"/>
      <c r="D130" s="266"/>
      <c r="E130" s="266"/>
      <c r="F130" s="266"/>
      <c r="G130" s="266"/>
      <c r="H130" s="266"/>
      <c r="I130" s="266"/>
      <c r="J130" s="266"/>
      <c r="K130" s="266"/>
      <c r="L130" s="266"/>
      <c r="M130" s="266"/>
      <c r="N130" s="266"/>
      <c r="O130" s="266"/>
      <c r="P130" s="266"/>
      <c r="Q130" s="266"/>
      <c r="R130" s="266"/>
      <c r="S130" s="266"/>
      <c r="T130" s="266"/>
      <c r="U130" s="266"/>
      <c r="V130" s="266"/>
      <c r="W130" s="266"/>
      <c r="X130" s="266"/>
      <c r="Y130" s="266"/>
      <c r="Z130" s="266"/>
      <c r="AA130" s="266"/>
      <c r="AB130" s="266"/>
      <c r="AC130" s="266"/>
      <c r="AD130" s="266"/>
      <c r="AE130" s="266"/>
    </row>
    <row r="131" spans="3:31" s="237" customFormat="1" x14ac:dyDescent="0.2">
      <c r="C131" s="266"/>
      <c r="D131" s="266"/>
      <c r="E131" s="266"/>
      <c r="F131" s="266"/>
      <c r="G131" s="266"/>
      <c r="H131" s="266"/>
      <c r="I131" s="266"/>
      <c r="J131" s="266"/>
      <c r="K131" s="266"/>
      <c r="L131" s="266"/>
      <c r="M131" s="266"/>
      <c r="N131" s="266"/>
      <c r="O131" s="266"/>
      <c r="P131" s="266"/>
      <c r="Q131" s="266"/>
      <c r="R131" s="266"/>
      <c r="S131" s="266"/>
      <c r="T131" s="266"/>
      <c r="U131" s="266"/>
      <c r="V131" s="266"/>
      <c r="W131" s="266"/>
      <c r="X131" s="266"/>
      <c r="Y131" s="266"/>
      <c r="Z131" s="266"/>
      <c r="AA131" s="266"/>
      <c r="AB131" s="266"/>
      <c r="AC131" s="266"/>
      <c r="AD131" s="266"/>
      <c r="AE131" s="266"/>
    </row>
    <row r="132" spans="3:31" s="237" customFormat="1" x14ac:dyDescent="0.2">
      <c r="C132" s="266"/>
      <c r="D132" s="266"/>
      <c r="E132" s="266"/>
      <c r="F132" s="266"/>
      <c r="G132" s="266"/>
      <c r="H132" s="266"/>
      <c r="I132" s="266"/>
      <c r="J132" s="266"/>
      <c r="K132" s="266"/>
      <c r="L132" s="266"/>
      <c r="M132" s="266"/>
      <c r="N132" s="266"/>
      <c r="O132" s="266"/>
      <c r="P132" s="266"/>
      <c r="Q132" s="266"/>
      <c r="R132" s="266"/>
      <c r="S132" s="266"/>
      <c r="T132" s="266"/>
      <c r="U132" s="266"/>
      <c r="V132" s="266"/>
      <c r="W132" s="266"/>
      <c r="X132" s="266"/>
      <c r="Y132" s="266"/>
      <c r="Z132" s="266"/>
      <c r="AA132" s="266"/>
      <c r="AB132" s="266"/>
      <c r="AC132" s="266"/>
      <c r="AD132" s="266"/>
      <c r="AE132" s="266"/>
    </row>
    <row r="133" spans="3:31" s="237" customFormat="1" x14ac:dyDescent="0.2">
      <c r="C133" s="266"/>
      <c r="D133" s="266"/>
      <c r="E133" s="266"/>
      <c r="F133" s="266"/>
      <c r="G133" s="266"/>
      <c r="H133" s="266"/>
      <c r="I133" s="266"/>
      <c r="J133" s="266"/>
      <c r="K133" s="266"/>
      <c r="L133" s="266"/>
      <c r="M133" s="266"/>
      <c r="N133" s="266"/>
      <c r="O133" s="266"/>
      <c r="P133" s="266"/>
      <c r="Q133" s="266"/>
      <c r="R133" s="266"/>
      <c r="S133" s="266"/>
      <c r="T133" s="266"/>
      <c r="U133" s="266"/>
      <c r="V133" s="266"/>
      <c r="W133" s="266"/>
      <c r="X133" s="266"/>
      <c r="Y133" s="266"/>
      <c r="Z133" s="266"/>
      <c r="AA133" s="266"/>
      <c r="AB133" s="266"/>
      <c r="AC133" s="266"/>
      <c r="AD133" s="266"/>
      <c r="AE133" s="266"/>
    </row>
    <row r="134" spans="3:31" s="237" customFormat="1" x14ac:dyDescent="0.2">
      <c r="C134" s="266"/>
      <c r="D134" s="266"/>
      <c r="E134" s="266"/>
      <c r="F134" s="266"/>
      <c r="G134" s="266"/>
      <c r="H134" s="266"/>
      <c r="I134" s="266"/>
      <c r="J134" s="266"/>
      <c r="K134" s="266"/>
      <c r="L134" s="266"/>
      <c r="M134" s="266"/>
      <c r="N134" s="266"/>
      <c r="O134" s="266"/>
      <c r="P134" s="266"/>
      <c r="Q134" s="266"/>
      <c r="R134" s="266"/>
      <c r="S134" s="266"/>
      <c r="T134" s="266"/>
      <c r="U134" s="266"/>
      <c r="V134" s="266"/>
      <c r="W134" s="266"/>
      <c r="X134" s="266"/>
      <c r="Y134" s="266"/>
      <c r="Z134" s="266"/>
      <c r="AA134" s="266"/>
      <c r="AB134" s="266"/>
      <c r="AC134" s="266"/>
      <c r="AD134" s="266"/>
      <c r="AE134" s="266"/>
    </row>
    <row r="135" spans="3:31" s="237" customFormat="1" x14ac:dyDescent="0.2">
      <c r="C135" s="266"/>
      <c r="D135" s="266"/>
      <c r="E135" s="266"/>
      <c r="F135" s="266"/>
      <c r="G135" s="266"/>
      <c r="H135" s="266"/>
      <c r="I135" s="266"/>
      <c r="J135" s="266"/>
      <c r="K135" s="266"/>
      <c r="L135" s="266"/>
      <c r="M135" s="266"/>
      <c r="N135" s="266"/>
      <c r="O135" s="266"/>
      <c r="P135" s="266"/>
      <c r="Q135" s="266"/>
      <c r="R135" s="266"/>
      <c r="S135" s="266"/>
      <c r="T135" s="266"/>
      <c r="U135" s="266"/>
      <c r="V135" s="266"/>
      <c r="W135" s="266"/>
      <c r="X135" s="266"/>
      <c r="Y135" s="266"/>
      <c r="Z135" s="266"/>
      <c r="AA135" s="266"/>
      <c r="AB135" s="266"/>
      <c r="AC135" s="266"/>
      <c r="AD135" s="266"/>
      <c r="AE135" s="266"/>
    </row>
    <row r="136" spans="3:31" s="237" customFormat="1" x14ac:dyDescent="0.2">
      <c r="C136" s="266"/>
      <c r="D136" s="266"/>
      <c r="E136" s="266"/>
      <c r="F136" s="266"/>
      <c r="G136" s="266"/>
      <c r="H136" s="266"/>
      <c r="I136" s="266"/>
      <c r="J136" s="266"/>
      <c r="K136" s="266"/>
      <c r="L136" s="266"/>
      <c r="M136" s="266"/>
      <c r="N136" s="266"/>
      <c r="O136" s="266"/>
      <c r="P136" s="266"/>
      <c r="Q136" s="266"/>
      <c r="R136" s="266"/>
      <c r="S136" s="266"/>
      <c r="T136" s="266"/>
      <c r="U136" s="266"/>
      <c r="V136" s="266"/>
      <c r="W136" s="266"/>
      <c r="X136" s="266"/>
      <c r="Y136" s="266"/>
      <c r="Z136" s="266"/>
      <c r="AA136" s="266"/>
      <c r="AB136" s="266"/>
      <c r="AC136" s="266"/>
      <c r="AD136" s="266"/>
      <c r="AE136" s="266"/>
    </row>
    <row r="137" spans="3:31" s="237" customFormat="1" x14ac:dyDescent="0.2">
      <c r="C137" s="266"/>
      <c r="D137" s="266"/>
      <c r="E137" s="266"/>
      <c r="F137" s="266"/>
      <c r="G137" s="266"/>
      <c r="H137" s="266"/>
      <c r="I137" s="266"/>
      <c r="J137" s="266"/>
      <c r="K137" s="266"/>
      <c r="L137" s="266"/>
      <c r="M137" s="266"/>
      <c r="N137" s="266"/>
      <c r="O137" s="266"/>
      <c r="P137" s="266"/>
      <c r="Q137" s="266"/>
      <c r="R137" s="266"/>
      <c r="S137" s="266"/>
      <c r="T137" s="266"/>
      <c r="U137" s="266"/>
      <c r="V137" s="266"/>
      <c r="W137" s="266"/>
      <c r="X137" s="266"/>
      <c r="Y137" s="266"/>
      <c r="Z137" s="266"/>
      <c r="AA137" s="266"/>
      <c r="AB137" s="266"/>
      <c r="AC137" s="266"/>
      <c r="AD137" s="266"/>
      <c r="AE137" s="266"/>
    </row>
    <row r="138" spans="3:31" s="237" customFormat="1" x14ac:dyDescent="0.2">
      <c r="C138" s="266"/>
      <c r="D138" s="266"/>
      <c r="E138" s="266"/>
      <c r="F138" s="266"/>
      <c r="G138" s="266"/>
      <c r="H138" s="266"/>
      <c r="I138" s="266"/>
      <c r="J138" s="266"/>
      <c r="K138" s="266"/>
      <c r="L138" s="266"/>
      <c r="M138" s="266"/>
      <c r="N138" s="266"/>
      <c r="O138" s="266"/>
      <c r="P138" s="266"/>
      <c r="Q138" s="266"/>
      <c r="R138" s="266"/>
      <c r="S138" s="266"/>
      <c r="T138" s="266"/>
      <c r="U138" s="266"/>
      <c r="V138" s="266"/>
      <c r="W138" s="266"/>
      <c r="X138" s="266"/>
      <c r="Y138" s="266"/>
      <c r="Z138" s="266"/>
      <c r="AA138" s="266"/>
      <c r="AB138" s="266"/>
      <c r="AC138" s="266"/>
      <c r="AD138" s="266"/>
      <c r="AE138" s="266"/>
    </row>
    <row r="139" spans="3:31" s="237" customFormat="1" x14ac:dyDescent="0.2">
      <c r="C139" s="266"/>
      <c r="D139" s="266"/>
      <c r="E139" s="266"/>
      <c r="F139" s="266"/>
      <c r="G139" s="266"/>
      <c r="H139" s="266"/>
      <c r="I139" s="266"/>
      <c r="J139" s="266"/>
      <c r="K139" s="266"/>
      <c r="L139" s="266"/>
      <c r="M139" s="266"/>
      <c r="N139" s="266"/>
      <c r="O139" s="266"/>
      <c r="P139" s="266"/>
      <c r="Q139" s="266"/>
      <c r="R139" s="266"/>
      <c r="S139" s="266"/>
      <c r="T139" s="266"/>
      <c r="U139" s="266"/>
      <c r="V139" s="266"/>
      <c r="W139" s="266"/>
      <c r="X139" s="266"/>
      <c r="Y139" s="266"/>
      <c r="Z139" s="266"/>
      <c r="AA139" s="266"/>
      <c r="AB139" s="266"/>
      <c r="AC139" s="266"/>
      <c r="AD139" s="266"/>
      <c r="AE139" s="266"/>
    </row>
    <row r="140" spans="3:31" s="237" customFormat="1" x14ac:dyDescent="0.2">
      <c r="C140" s="266"/>
      <c r="D140" s="266"/>
      <c r="E140" s="266"/>
      <c r="F140" s="266"/>
      <c r="G140" s="266"/>
      <c r="H140" s="266"/>
      <c r="I140" s="266"/>
      <c r="J140" s="266"/>
      <c r="K140" s="266"/>
      <c r="L140" s="266"/>
      <c r="M140" s="266"/>
      <c r="N140" s="266"/>
      <c r="O140" s="266"/>
      <c r="P140" s="266"/>
      <c r="Q140" s="266"/>
      <c r="R140" s="266"/>
      <c r="S140" s="266"/>
      <c r="T140" s="266"/>
      <c r="U140" s="266"/>
      <c r="V140" s="266"/>
      <c r="W140" s="266"/>
      <c r="X140" s="266"/>
      <c r="Y140" s="266"/>
      <c r="Z140" s="266"/>
      <c r="AA140" s="266"/>
      <c r="AB140" s="266"/>
      <c r="AC140" s="266"/>
      <c r="AD140" s="266"/>
      <c r="AE140" s="266"/>
    </row>
    <row r="141" spans="3:31" s="237" customFormat="1" x14ac:dyDescent="0.2">
      <c r="C141" s="266"/>
      <c r="D141" s="266"/>
      <c r="E141" s="266"/>
      <c r="F141" s="266"/>
      <c r="G141" s="266"/>
      <c r="H141" s="266"/>
      <c r="I141" s="266"/>
      <c r="J141" s="266"/>
      <c r="K141" s="266"/>
      <c r="L141" s="266"/>
      <c r="M141" s="266"/>
      <c r="N141" s="266"/>
      <c r="O141" s="266"/>
      <c r="P141" s="266"/>
      <c r="Q141" s="266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6"/>
      <c r="AC141" s="266"/>
      <c r="AD141" s="266"/>
      <c r="AE141" s="266"/>
    </row>
    <row r="142" spans="3:31" s="237" customFormat="1" x14ac:dyDescent="0.2">
      <c r="C142" s="266"/>
      <c r="D142" s="266"/>
      <c r="E142" s="266"/>
      <c r="F142" s="266"/>
      <c r="G142" s="266"/>
      <c r="H142" s="266"/>
      <c r="I142" s="266"/>
      <c r="J142" s="266"/>
      <c r="K142" s="266"/>
      <c r="L142" s="266"/>
      <c r="M142" s="266"/>
      <c r="N142" s="266"/>
      <c r="O142" s="266"/>
      <c r="P142" s="266"/>
      <c r="Q142" s="266"/>
      <c r="R142" s="266"/>
      <c r="S142" s="266"/>
      <c r="T142" s="266"/>
      <c r="U142" s="266"/>
      <c r="V142" s="266"/>
      <c r="W142" s="266"/>
      <c r="X142" s="266"/>
      <c r="Y142" s="266"/>
      <c r="Z142" s="266"/>
      <c r="AA142" s="266"/>
      <c r="AB142" s="266"/>
      <c r="AC142" s="266"/>
      <c r="AD142" s="266"/>
      <c r="AE142" s="266"/>
    </row>
    <row r="143" spans="3:31" s="237" customFormat="1" x14ac:dyDescent="0.2">
      <c r="C143" s="266"/>
      <c r="D143" s="266"/>
      <c r="E143" s="266"/>
      <c r="F143" s="266"/>
      <c r="G143" s="266"/>
      <c r="H143" s="266"/>
      <c r="I143" s="266"/>
      <c r="J143" s="266"/>
      <c r="K143" s="266"/>
      <c r="L143" s="266"/>
      <c r="M143" s="266"/>
      <c r="N143" s="266"/>
      <c r="O143" s="266"/>
      <c r="P143" s="266"/>
      <c r="Q143" s="266"/>
      <c r="R143" s="266"/>
      <c r="S143" s="266"/>
      <c r="T143" s="266"/>
      <c r="U143" s="266"/>
      <c r="V143" s="266"/>
      <c r="W143" s="266"/>
      <c r="X143" s="266"/>
      <c r="Y143" s="266"/>
      <c r="Z143" s="266"/>
      <c r="AA143" s="266"/>
      <c r="AB143" s="266"/>
      <c r="AC143" s="266"/>
      <c r="AD143" s="266"/>
      <c r="AE143" s="266"/>
    </row>
    <row r="144" spans="3:31" s="237" customFormat="1" x14ac:dyDescent="0.2">
      <c r="C144" s="266"/>
      <c r="D144" s="266"/>
      <c r="E144" s="266"/>
      <c r="F144" s="266"/>
      <c r="G144" s="266"/>
      <c r="H144" s="266"/>
      <c r="I144" s="266"/>
      <c r="J144" s="266"/>
      <c r="K144" s="266"/>
      <c r="L144" s="266"/>
      <c r="M144" s="266"/>
      <c r="N144" s="266"/>
      <c r="O144" s="266"/>
      <c r="P144" s="266"/>
      <c r="Q144" s="266"/>
      <c r="R144" s="266"/>
      <c r="S144" s="266"/>
      <c r="T144" s="266"/>
      <c r="U144" s="266"/>
      <c r="V144" s="266"/>
      <c r="W144" s="266"/>
      <c r="X144" s="266"/>
      <c r="Y144" s="266"/>
      <c r="Z144" s="266"/>
      <c r="AA144" s="266"/>
      <c r="AB144" s="266"/>
      <c r="AC144" s="266"/>
      <c r="AD144" s="266"/>
      <c r="AE144" s="266"/>
    </row>
    <row r="145" spans="3:31" s="237" customFormat="1" x14ac:dyDescent="0.2">
      <c r="C145" s="266"/>
      <c r="D145" s="266"/>
      <c r="E145" s="266"/>
      <c r="F145" s="266"/>
      <c r="G145" s="266"/>
      <c r="H145" s="266"/>
      <c r="I145" s="266"/>
      <c r="J145" s="266"/>
      <c r="K145" s="266"/>
      <c r="L145" s="266"/>
      <c r="M145" s="266"/>
      <c r="N145" s="266"/>
      <c r="O145" s="266"/>
      <c r="P145" s="266"/>
      <c r="Q145" s="266"/>
      <c r="R145" s="266"/>
      <c r="S145" s="266"/>
      <c r="T145" s="266"/>
      <c r="U145" s="266"/>
      <c r="V145" s="266"/>
      <c r="W145" s="266"/>
      <c r="X145" s="266"/>
      <c r="Y145" s="266"/>
      <c r="Z145" s="266"/>
      <c r="AA145" s="266"/>
      <c r="AB145" s="266"/>
      <c r="AC145" s="266"/>
      <c r="AD145" s="266"/>
      <c r="AE145" s="266"/>
    </row>
    <row r="146" spans="3:31" s="237" customFormat="1" x14ac:dyDescent="0.2">
      <c r="C146" s="266"/>
      <c r="D146" s="266"/>
      <c r="E146" s="266"/>
      <c r="F146" s="266"/>
      <c r="G146" s="266"/>
      <c r="H146" s="266"/>
      <c r="I146" s="266"/>
      <c r="J146" s="266"/>
      <c r="K146" s="266"/>
      <c r="L146" s="266"/>
      <c r="M146" s="266"/>
      <c r="N146" s="266"/>
      <c r="O146" s="266"/>
      <c r="P146" s="266"/>
      <c r="Q146" s="266"/>
      <c r="R146" s="266"/>
      <c r="S146" s="266"/>
      <c r="T146" s="266"/>
      <c r="U146" s="266"/>
      <c r="V146" s="266"/>
      <c r="W146" s="266"/>
      <c r="X146" s="266"/>
      <c r="Y146" s="266"/>
      <c r="Z146" s="266"/>
      <c r="AA146" s="266"/>
      <c r="AB146" s="266"/>
      <c r="AC146" s="266"/>
      <c r="AD146" s="266"/>
      <c r="AE146" s="266"/>
    </row>
    <row r="147" spans="3:31" s="237" customFormat="1" x14ac:dyDescent="0.2">
      <c r="C147" s="266"/>
      <c r="D147" s="266"/>
      <c r="E147" s="266"/>
      <c r="F147" s="266"/>
      <c r="G147" s="266"/>
      <c r="H147" s="266"/>
      <c r="I147" s="266"/>
      <c r="J147" s="266"/>
      <c r="K147" s="266"/>
      <c r="L147" s="266"/>
      <c r="M147" s="266"/>
      <c r="N147" s="266"/>
      <c r="O147" s="266"/>
      <c r="P147" s="266"/>
      <c r="Q147" s="266"/>
      <c r="R147" s="266"/>
      <c r="S147" s="266"/>
      <c r="T147" s="266"/>
      <c r="U147" s="266"/>
      <c r="V147" s="266"/>
      <c r="W147" s="266"/>
      <c r="X147" s="266"/>
      <c r="Y147" s="266"/>
      <c r="Z147" s="266"/>
      <c r="AA147" s="266"/>
      <c r="AB147" s="266"/>
      <c r="AC147" s="266"/>
      <c r="AD147" s="266"/>
      <c r="AE147" s="266"/>
    </row>
    <row r="148" spans="3:31" s="237" customFormat="1" x14ac:dyDescent="0.2">
      <c r="C148" s="266"/>
      <c r="D148" s="266"/>
      <c r="E148" s="266"/>
      <c r="F148" s="266"/>
      <c r="G148" s="266"/>
      <c r="H148" s="266"/>
      <c r="I148" s="266"/>
      <c r="J148" s="266"/>
      <c r="K148" s="266"/>
      <c r="L148" s="266"/>
      <c r="M148" s="266"/>
      <c r="N148" s="266"/>
      <c r="O148" s="266"/>
      <c r="P148" s="266"/>
      <c r="Q148" s="266"/>
      <c r="R148" s="266"/>
      <c r="S148" s="266"/>
      <c r="T148" s="266"/>
      <c r="U148" s="266"/>
      <c r="V148" s="266"/>
      <c r="W148" s="266"/>
      <c r="X148" s="266"/>
      <c r="Y148" s="266"/>
      <c r="Z148" s="266"/>
      <c r="AA148" s="266"/>
      <c r="AB148" s="266"/>
      <c r="AC148" s="266"/>
      <c r="AD148" s="266"/>
      <c r="AE148" s="266"/>
    </row>
    <row r="149" spans="3:31" s="237" customFormat="1" x14ac:dyDescent="0.2">
      <c r="C149" s="266"/>
      <c r="D149" s="266"/>
      <c r="E149" s="266"/>
      <c r="F149" s="266"/>
      <c r="G149" s="266"/>
      <c r="H149" s="266"/>
      <c r="I149" s="266"/>
      <c r="J149" s="266"/>
      <c r="K149" s="266"/>
      <c r="L149" s="266"/>
      <c r="M149" s="266"/>
      <c r="N149" s="266"/>
      <c r="O149" s="266"/>
      <c r="P149" s="266"/>
      <c r="Q149" s="266"/>
      <c r="R149" s="266"/>
      <c r="S149" s="266"/>
      <c r="T149" s="266"/>
      <c r="U149" s="266"/>
      <c r="V149" s="266"/>
      <c r="W149" s="266"/>
      <c r="X149" s="266"/>
      <c r="Y149" s="266"/>
      <c r="Z149" s="266"/>
      <c r="AA149" s="266"/>
      <c r="AB149" s="266"/>
      <c r="AC149" s="266"/>
      <c r="AD149" s="266"/>
      <c r="AE149" s="266"/>
    </row>
    <row r="150" spans="3:31" s="237" customFormat="1" x14ac:dyDescent="0.2">
      <c r="C150" s="266"/>
      <c r="D150" s="266"/>
      <c r="E150" s="266"/>
      <c r="F150" s="266"/>
      <c r="G150" s="266"/>
      <c r="H150" s="266"/>
      <c r="I150" s="266"/>
      <c r="J150" s="266"/>
      <c r="K150" s="266"/>
      <c r="L150" s="266"/>
      <c r="M150" s="266"/>
      <c r="N150" s="266"/>
      <c r="O150" s="266"/>
      <c r="P150" s="266"/>
      <c r="Q150" s="266"/>
      <c r="R150" s="266"/>
      <c r="S150" s="266"/>
      <c r="T150" s="266"/>
      <c r="U150" s="266"/>
      <c r="V150" s="266"/>
      <c r="W150" s="266"/>
      <c r="X150" s="266"/>
      <c r="Y150" s="266"/>
      <c r="Z150" s="266"/>
      <c r="AA150" s="266"/>
      <c r="AB150" s="266"/>
      <c r="AC150" s="266"/>
      <c r="AD150" s="266"/>
      <c r="AE150" s="266"/>
    </row>
    <row r="151" spans="3:31" s="237" customFormat="1" x14ac:dyDescent="0.2">
      <c r="C151" s="266"/>
      <c r="D151" s="266"/>
      <c r="E151" s="266"/>
      <c r="F151" s="266"/>
      <c r="G151" s="266"/>
      <c r="H151" s="266"/>
      <c r="I151" s="266"/>
      <c r="J151" s="266"/>
      <c r="K151" s="266"/>
      <c r="L151" s="266"/>
      <c r="M151" s="266"/>
      <c r="N151" s="266"/>
      <c r="O151" s="266"/>
      <c r="P151" s="266"/>
      <c r="Q151" s="266"/>
      <c r="R151" s="266"/>
      <c r="S151" s="266"/>
      <c r="T151" s="266"/>
      <c r="U151" s="266"/>
      <c r="V151" s="266"/>
      <c r="W151" s="266"/>
      <c r="X151" s="266"/>
      <c r="Y151" s="266"/>
      <c r="Z151" s="266"/>
      <c r="AA151" s="266"/>
      <c r="AB151" s="266"/>
      <c r="AC151" s="266"/>
      <c r="AD151" s="266"/>
      <c r="AE151" s="266"/>
    </row>
    <row r="152" spans="3:31" s="237" customFormat="1" x14ac:dyDescent="0.2">
      <c r="C152" s="266"/>
      <c r="D152" s="266"/>
      <c r="E152" s="266"/>
      <c r="F152" s="266"/>
      <c r="G152" s="266"/>
      <c r="H152" s="266"/>
      <c r="I152" s="266"/>
      <c r="J152" s="266"/>
      <c r="K152" s="266"/>
      <c r="L152" s="266"/>
      <c r="M152" s="266"/>
      <c r="N152" s="266"/>
      <c r="O152" s="266"/>
      <c r="P152" s="266"/>
      <c r="Q152" s="266"/>
      <c r="R152" s="266"/>
      <c r="S152" s="266"/>
      <c r="T152" s="266"/>
      <c r="U152" s="266"/>
      <c r="V152" s="266"/>
      <c r="W152" s="266"/>
      <c r="X152" s="266"/>
      <c r="Y152" s="266"/>
      <c r="Z152" s="266"/>
      <c r="AA152" s="266"/>
      <c r="AB152" s="266"/>
      <c r="AC152" s="266"/>
      <c r="AD152" s="266"/>
      <c r="AE152" s="266"/>
    </row>
    <row r="153" spans="3:31" s="237" customFormat="1" x14ac:dyDescent="0.2">
      <c r="C153" s="266"/>
      <c r="D153" s="266"/>
      <c r="E153" s="266"/>
      <c r="F153" s="266"/>
      <c r="G153" s="266"/>
      <c r="H153" s="266"/>
      <c r="I153" s="266"/>
      <c r="J153" s="266"/>
      <c r="K153" s="266"/>
      <c r="L153" s="266"/>
      <c r="M153" s="266"/>
      <c r="N153" s="266"/>
      <c r="O153" s="266"/>
      <c r="P153" s="266"/>
      <c r="Q153" s="266"/>
      <c r="R153" s="266"/>
      <c r="S153" s="266"/>
      <c r="T153" s="266"/>
      <c r="U153" s="266"/>
      <c r="V153" s="266"/>
      <c r="W153" s="266"/>
      <c r="X153" s="266"/>
      <c r="Y153" s="266"/>
      <c r="Z153" s="266"/>
      <c r="AA153" s="266"/>
      <c r="AB153" s="266"/>
      <c r="AC153" s="266"/>
      <c r="AD153" s="266"/>
      <c r="AE153" s="266"/>
    </row>
    <row r="154" spans="3:31" s="237" customFormat="1" x14ac:dyDescent="0.2">
      <c r="C154" s="266"/>
      <c r="D154" s="266"/>
      <c r="E154" s="266"/>
      <c r="F154" s="266"/>
      <c r="G154" s="266"/>
      <c r="H154" s="266"/>
      <c r="I154" s="266"/>
      <c r="J154" s="266"/>
      <c r="K154" s="266"/>
      <c r="L154" s="266"/>
      <c r="M154" s="266"/>
      <c r="N154" s="266"/>
      <c r="O154" s="266"/>
      <c r="P154" s="266"/>
      <c r="Q154" s="266"/>
      <c r="R154" s="266"/>
      <c r="S154" s="266"/>
      <c r="T154" s="266"/>
      <c r="U154" s="266"/>
      <c r="V154" s="266"/>
      <c r="W154" s="266"/>
      <c r="X154" s="266"/>
      <c r="Y154" s="266"/>
      <c r="Z154" s="266"/>
      <c r="AA154" s="266"/>
      <c r="AB154" s="266"/>
      <c r="AC154" s="266"/>
      <c r="AD154" s="266"/>
      <c r="AE154" s="266"/>
    </row>
    <row r="155" spans="3:31" s="237" customFormat="1" x14ac:dyDescent="0.2">
      <c r="C155" s="266"/>
      <c r="D155" s="266"/>
      <c r="E155" s="266"/>
      <c r="F155" s="266"/>
      <c r="G155" s="266"/>
      <c r="H155" s="266"/>
      <c r="I155" s="266"/>
      <c r="J155" s="266"/>
      <c r="K155" s="266"/>
      <c r="L155" s="266"/>
      <c r="M155" s="266"/>
      <c r="N155" s="266"/>
      <c r="O155" s="266"/>
      <c r="P155" s="266"/>
      <c r="Q155" s="266"/>
      <c r="R155" s="266"/>
      <c r="S155" s="266"/>
      <c r="T155" s="266"/>
      <c r="U155" s="266"/>
      <c r="V155" s="266"/>
      <c r="W155" s="266"/>
      <c r="X155" s="266"/>
      <c r="Y155" s="266"/>
      <c r="Z155" s="266"/>
      <c r="AA155" s="266"/>
      <c r="AB155" s="266"/>
      <c r="AC155" s="266"/>
      <c r="AD155" s="266"/>
      <c r="AE155" s="266"/>
    </row>
    <row r="156" spans="3:31" s="237" customFormat="1" x14ac:dyDescent="0.2">
      <c r="C156" s="266"/>
      <c r="D156" s="266"/>
      <c r="E156" s="266"/>
      <c r="F156" s="266"/>
      <c r="G156" s="266"/>
      <c r="H156" s="266"/>
      <c r="I156" s="266"/>
      <c r="J156" s="266"/>
      <c r="K156" s="266"/>
      <c r="L156" s="266"/>
      <c r="M156" s="266"/>
      <c r="N156" s="266"/>
      <c r="O156" s="266"/>
      <c r="P156" s="266"/>
      <c r="Q156" s="266"/>
      <c r="R156" s="266"/>
      <c r="S156" s="266"/>
      <c r="T156" s="266"/>
      <c r="U156" s="266"/>
      <c r="V156" s="266"/>
      <c r="W156" s="266"/>
      <c r="X156" s="266"/>
      <c r="Y156" s="266"/>
      <c r="Z156" s="266"/>
      <c r="AA156" s="266"/>
      <c r="AB156" s="266"/>
      <c r="AC156" s="266"/>
      <c r="AD156" s="266"/>
      <c r="AE156" s="266"/>
    </row>
    <row r="157" spans="3:31" s="237" customFormat="1" x14ac:dyDescent="0.2">
      <c r="C157" s="266"/>
      <c r="D157" s="266"/>
      <c r="E157" s="266"/>
      <c r="F157" s="266"/>
      <c r="G157" s="266"/>
      <c r="H157" s="266"/>
      <c r="I157" s="266"/>
      <c r="J157" s="266"/>
      <c r="K157" s="266"/>
      <c r="L157" s="266"/>
      <c r="M157" s="266"/>
      <c r="N157" s="266"/>
      <c r="O157" s="266"/>
      <c r="P157" s="266"/>
      <c r="Q157" s="266"/>
      <c r="R157" s="266"/>
      <c r="S157" s="266"/>
      <c r="T157" s="266"/>
      <c r="U157" s="266"/>
      <c r="V157" s="266"/>
      <c r="W157" s="266"/>
      <c r="X157" s="266"/>
      <c r="Y157" s="266"/>
      <c r="Z157" s="266"/>
      <c r="AA157" s="266"/>
      <c r="AB157" s="266"/>
      <c r="AC157" s="266"/>
      <c r="AD157" s="266"/>
      <c r="AE157" s="266"/>
    </row>
    <row r="158" spans="3:31" s="237" customFormat="1" x14ac:dyDescent="0.2">
      <c r="C158" s="266"/>
      <c r="D158" s="266"/>
      <c r="E158" s="266"/>
      <c r="F158" s="266"/>
      <c r="G158" s="266"/>
      <c r="H158" s="266"/>
      <c r="I158" s="266"/>
      <c r="J158" s="266"/>
      <c r="K158" s="266"/>
      <c r="L158" s="266"/>
      <c r="M158" s="266"/>
      <c r="N158" s="266"/>
      <c r="O158" s="266"/>
      <c r="P158" s="266"/>
      <c r="Q158" s="266"/>
      <c r="R158" s="266"/>
      <c r="S158" s="266"/>
      <c r="T158" s="266"/>
      <c r="U158" s="266"/>
      <c r="V158" s="266"/>
      <c r="W158" s="266"/>
      <c r="X158" s="266"/>
      <c r="Y158" s="266"/>
      <c r="Z158" s="266"/>
      <c r="AA158" s="266"/>
      <c r="AB158" s="266"/>
      <c r="AC158" s="266"/>
      <c r="AD158" s="266"/>
      <c r="AE158" s="266"/>
    </row>
    <row r="159" spans="3:31" s="237" customFormat="1" x14ac:dyDescent="0.2">
      <c r="C159" s="266"/>
      <c r="D159" s="266"/>
      <c r="E159" s="266"/>
      <c r="F159" s="266"/>
      <c r="G159" s="266"/>
      <c r="H159" s="266"/>
      <c r="I159" s="266"/>
      <c r="J159" s="266"/>
      <c r="K159" s="266"/>
      <c r="L159" s="266"/>
      <c r="M159" s="266"/>
      <c r="N159" s="266"/>
      <c r="O159" s="266"/>
      <c r="P159" s="266"/>
      <c r="Q159" s="266"/>
      <c r="R159" s="266"/>
      <c r="S159" s="266"/>
      <c r="T159" s="266"/>
      <c r="U159" s="266"/>
      <c r="V159" s="266"/>
      <c r="W159" s="266"/>
      <c r="X159" s="266"/>
      <c r="Y159" s="266"/>
      <c r="Z159" s="266"/>
      <c r="AA159" s="266"/>
      <c r="AB159" s="266"/>
      <c r="AC159" s="266"/>
      <c r="AD159" s="266"/>
      <c r="AE159" s="266"/>
    </row>
    <row r="160" spans="3:31" s="237" customFormat="1" x14ac:dyDescent="0.2">
      <c r="C160" s="266"/>
      <c r="D160" s="266"/>
      <c r="E160" s="266"/>
      <c r="F160" s="266"/>
      <c r="G160" s="266"/>
      <c r="H160" s="266"/>
      <c r="I160" s="266"/>
      <c r="J160" s="266"/>
      <c r="K160" s="266"/>
      <c r="L160" s="266"/>
      <c r="M160" s="266"/>
      <c r="N160" s="266"/>
      <c r="O160" s="266"/>
      <c r="P160" s="266"/>
      <c r="Q160" s="266"/>
      <c r="R160" s="266"/>
      <c r="S160" s="266"/>
      <c r="T160" s="266"/>
      <c r="U160" s="266"/>
      <c r="V160" s="266"/>
      <c r="W160" s="266"/>
      <c r="X160" s="266"/>
      <c r="Y160" s="266"/>
      <c r="Z160" s="266"/>
      <c r="AA160" s="266"/>
      <c r="AB160" s="266"/>
      <c r="AC160" s="266"/>
      <c r="AD160" s="266"/>
      <c r="AE160" s="266"/>
    </row>
    <row r="161" spans="3:31" s="237" customFormat="1" x14ac:dyDescent="0.2">
      <c r="C161" s="266"/>
      <c r="D161" s="266"/>
      <c r="E161" s="266"/>
      <c r="F161" s="266"/>
      <c r="G161" s="266"/>
      <c r="H161" s="266"/>
      <c r="I161" s="266"/>
      <c r="J161" s="266"/>
      <c r="K161" s="266"/>
      <c r="L161" s="266"/>
      <c r="M161" s="266"/>
      <c r="N161" s="266"/>
      <c r="O161" s="266"/>
      <c r="P161" s="266"/>
      <c r="Q161" s="266"/>
      <c r="R161" s="266"/>
      <c r="S161" s="266"/>
      <c r="T161" s="266"/>
      <c r="U161" s="266"/>
      <c r="V161" s="266"/>
      <c r="W161" s="266"/>
      <c r="X161" s="266"/>
      <c r="Y161" s="266"/>
      <c r="Z161" s="266"/>
      <c r="AA161" s="266"/>
      <c r="AB161" s="266"/>
      <c r="AC161" s="266"/>
      <c r="AD161" s="266"/>
      <c r="AE161" s="266"/>
    </row>
    <row r="162" spans="3:31" s="237" customFormat="1" x14ac:dyDescent="0.2">
      <c r="C162" s="266"/>
      <c r="D162" s="266"/>
      <c r="E162" s="266"/>
      <c r="F162" s="266"/>
      <c r="G162" s="266"/>
      <c r="H162" s="266"/>
      <c r="I162" s="266"/>
      <c r="J162" s="266"/>
      <c r="K162" s="266"/>
      <c r="L162" s="266"/>
      <c r="M162" s="266"/>
      <c r="N162" s="266"/>
      <c r="O162" s="266"/>
      <c r="P162" s="266"/>
      <c r="Q162" s="266"/>
      <c r="R162" s="266"/>
      <c r="S162" s="266"/>
      <c r="T162" s="266"/>
      <c r="U162" s="266"/>
      <c r="V162" s="266"/>
      <c r="W162" s="266"/>
      <c r="X162" s="266"/>
      <c r="Y162" s="266"/>
      <c r="Z162" s="266"/>
      <c r="AA162" s="266"/>
      <c r="AB162" s="266"/>
      <c r="AC162" s="266"/>
      <c r="AD162" s="266"/>
      <c r="AE162" s="266"/>
    </row>
    <row r="163" spans="3:31" s="237" customFormat="1" x14ac:dyDescent="0.2">
      <c r="C163" s="266"/>
      <c r="D163" s="266"/>
      <c r="E163" s="266"/>
      <c r="F163" s="266"/>
      <c r="G163" s="266"/>
      <c r="H163" s="266"/>
      <c r="I163" s="266"/>
      <c r="J163" s="266"/>
      <c r="K163" s="266"/>
      <c r="L163" s="266"/>
      <c r="M163" s="266"/>
      <c r="N163" s="266"/>
      <c r="O163" s="266"/>
      <c r="P163" s="266"/>
      <c r="Q163" s="266"/>
      <c r="R163" s="266"/>
      <c r="S163" s="266"/>
      <c r="T163" s="266"/>
      <c r="U163" s="266"/>
      <c r="V163" s="266"/>
      <c r="W163" s="266"/>
      <c r="X163" s="266"/>
      <c r="Y163" s="266"/>
      <c r="Z163" s="266"/>
      <c r="AA163" s="266"/>
      <c r="AB163" s="266"/>
      <c r="AC163" s="266"/>
      <c r="AD163" s="266"/>
      <c r="AE163" s="266"/>
    </row>
    <row r="164" spans="3:31" s="237" customFormat="1" x14ac:dyDescent="0.2">
      <c r="C164" s="266"/>
      <c r="D164" s="266"/>
      <c r="E164" s="266"/>
      <c r="F164" s="266"/>
      <c r="G164" s="266"/>
      <c r="H164" s="266"/>
      <c r="I164" s="266"/>
      <c r="J164" s="266"/>
      <c r="K164" s="266"/>
      <c r="L164" s="266"/>
      <c r="M164" s="266"/>
      <c r="N164" s="266"/>
      <c r="O164" s="266"/>
      <c r="P164" s="266"/>
      <c r="Q164" s="266"/>
      <c r="R164" s="266"/>
      <c r="S164" s="266"/>
      <c r="T164" s="266"/>
      <c r="U164" s="266"/>
      <c r="V164" s="266"/>
      <c r="W164" s="266"/>
      <c r="X164" s="266"/>
      <c r="Y164" s="266"/>
      <c r="Z164" s="266"/>
      <c r="AA164" s="266"/>
      <c r="AB164" s="266"/>
      <c r="AC164" s="266"/>
      <c r="AD164" s="266"/>
      <c r="AE164" s="266"/>
    </row>
    <row r="165" spans="3:31" s="237" customFormat="1" x14ac:dyDescent="0.2">
      <c r="C165" s="266"/>
      <c r="D165" s="266"/>
      <c r="E165" s="266"/>
      <c r="F165" s="266"/>
      <c r="G165" s="266"/>
      <c r="H165" s="266"/>
      <c r="I165" s="266"/>
      <c r="J165" s="266"/>
      <c r="K165" s="266"/>
      <c r="L165" s="266"/>
      <c r="M165" s="266"/>
      <c r="N165" s="266"/>
      <c r="O165" s="266"/>
      <c r="P165" s="266"/>
      <c r="Q165" s="266"/>
      <c r="R165" s="266"/>
      <c r="S165" s="266"/>
      <c r="T165" s="266"/>
      <c r="U165" s="266"/>
      <c r="V165" s="266"/>
      <c r="W165" s="266"/>
      <c r="X165" s="266"/>
      <c r="Y165" s="266"/>
      <c r="Z165" s="266"/>
      <c r="AA165" s="266"/>
      <c r="AB165" s="266"/>
      <c r="AC165" s="266"/>
      <c r="AD165" s="266"/>
      <c r="AE165" s="266"/>
    </row>
    <row r="166" spans="3:31" s="237" customFormat="1" x14ac:dyDescent="0.2">
      <c r="C166" s="266"/>
      <c r="D166" s="266"/>
      <c r="E166" s="266"/>
      <c r="F166" s="266"/>
      <c r="G166" s="266"/>
      <c r="H166" s="266"/>
      <c r="I166" s="266"/>
      <c r="J166" s="266"/>
      <c r="K166" s="266"/>
      <c r="L166" s="266"/>
      <c r="M166" s="266"/>
      <c r="N166" s="266"/>
      <c r="O166" s="266"/>
      <c r="P166" s="266"/>
      <c r="Q166" s="266"/>
      <c r="R166" s="266"/>
      <c r="S166" s="266"/>
      <c r="T166" s="266"/>
      <c r="U166" s="266"/>
      <c r="V166" s="266"/>
      <c r="W166" s="266"/>
      <c r="X166" s="266"/>
      <c r="Y166" s="266"/>
      <c r="Z166" s="266"/>
      <c r="AA166" s="266"/>
      <c r="AB166" s="266"/>
      <c r="AC166" s="266"/>
      <c r="AD166" s="266"/>
      <c r="AE166" s="266"/>
    </row>
    <row r="167" spans="3:31" s="237" customFormat="1" x14ac:dyDescent="0.2">
      <c r="C167" s="266"/>
      <c r="D167" s="266"/>
      <c r="E167" s="266"/>
      <c r="F167" s="266"/>
      <c r="G167" s="266"/>
      <c r="H167" s="266"/>
      <c r="I167" s="266"/>
      <c r="J167" s="266"/>
      <c r="K167" s="266"/>
      <c r="L167" s="266"/>
      <c r="M167" s="266"/>
      <c r="N167" s="266"/>
      <c r="O167" s="266"/>
      <c r="P167" s="266"/>
      <c r="Q167" s="266"/>
      <c r="R167" s="266"/>
      <c r="S167" s="266"/>
      <c r="T167" s="266"/>
      <c r="U167" s="266"/>
      <c r="V167" s="266"/>
      <c r="W167" s="266"/>
      <c r="X167" s="266"/>
      <c r="Y167" s="266"/>
      <c r="Z167" s="266"/>
      <c r="AA167" s="266"/>
      <c r="AB167" s="266"/>
      <c r="AC167" s="266"/>
      <c r="AD167" s="266"/>
      <c r="AE167" s="266"/>
    </row>
    <row r="168" spans="3:31" s="237" customFormat="1" x14ac:dyDescent="0.2">
      <c r="C168" s="266"/>
      <c r="D168" s="266"/>
      <c r="E168" s="266"/>
      <c r="F168" s="266"/>
      <c r="G168" s="266"/>
      <c r="H168" s="266"/>
      <c r="I168" s="266"/>
      <c r="J168" s="266"/>
      <c r="K168" s="266"/>
      <c r="L168" s="266"/>
      <c r="M168" s="266"/>
      <c r="N168" s="266"/>
      <c r="O168" s="266"/>
      <c r="P168" s="266"/>
      <c r="Q168" s="266"/>
      <c r="R168" s="266"/>
      <c r="S168" s="266"/>
      <c r="T168" s="266"/>
      <c r="U168" s="266"/>
      <c r="V168" s="266"/>
      <c r="W168" s="266"/>
      <c r="X168" s="266"/>
      <c r="Y168" s="266"/>
      <c r="Z168" s="266"/>
      <c r="AA168" s="266"/>
      <c r="AB168" s="266"/>
      <c r="AC168" s="266"/>
      <c r="AD168" s="266"/>
      <c r="AE168" s="266"/>
    </row>
    <row r="169" spans="3:31" s="237" customFormat="1" x14ac:dyDescent="0.2">
      <c r="C169" s="266"/>
      <c r="D169" s="266"/>
      <c r="E169" s="266"/>
      <c r="F169" s="266"/>
      <c r="G169" s="266"/>
      <c r="H169" s="266"/>
      <c r="I169" s="266"/>
      <c r="J169" s="266"/>
      <c r="K169" s="266"/>
      <c r="L169" s="266"/>
      <c r="M169" s="266"/>
      <c r="N169" s="266"/>
      <c r="O169" s="266"/>
      <c r="P169" s="266"/>
      <c r="Q169" s="266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</row>
    <row r="170" spans="3:31" s="237" customFormat="1" x14ac:dyDescent="0.2">
      <c r="C170" s="266"/>
      <c r="D170" s="266"/>
      <c r="E170" s="266"/>
      <c r="F170" s="266"/>
      <c r="G170" s="266"/>
      <c r="H170" s="266"/>
      <c r="I170" s="266"/>
      <c r="J170" s="266"/>
      <c r="K170" s="266"/>
      <c r="L170" s="266"/>
      <c r="M170" s="266"/>
      <c r="N170" s="266"/>
      <c r="O170" s="266"/>
      <c r="P170" s="266"/>
      <c r="Q170" s="266"/>
      <c r="R170" s="266"/>
      <c r="S170" s="266"/>
      <c r="T170" s="266"/>
      <c r="U170" s="266"/>
      <c r="V170" s="266"/>
      <c r="W170" s="266"/>
      <c r="X170" s="266"/>
      <c r="Y170" s="266"/>
      <c r="Z170" s="266"/>
      <c r="AA170" s="266"/>
      <c r="AB170" s="266"/>
      <c r="AC170" s="266"/>
      <c r="AD170" s="266"/>
      <c r="AE170" s="266"/>
    </row>
    <row r="171" spans="3:31" s="237" customFormat="1" x14ac:dyDescent="0.2">
      <c r="C171" s="266"/>
      <c r="D171" s="266"/>
      <c r="E171" s="266"/>
      <c r="F171" s="266"/>
      <c r="G171" s="266"/>
      <c r="H171" s="266"/>
      <c r="I171" s="266"/>
      <c r="J171" s="266"/>
      <c r="K171" s="266"/>
      <c r="L171" s="266"/>
      <c r="M171" s="266"/>
      <c r="N171" s="266"/>
      <c r="O171" s="266"/>
      <c r="P171" s="266"/>
      <c r="Q171" s="266"/>
      <c r="R171" s="266"/>
      <c r="S171" s="266"/>
      <c r="T171" s="266"/>
      <c r="U171" s="266"/>
      <c r="V171" s="266"/>
      <c r="W171" s="266"/>
      <c r="X171" s="266"/>
      <c r="Y171" s="266"/>
      <c r="Z171" s="266"/>
      <c r="AA171" s="266"/>
      <c r="AB171" s="266"/>
      <c r="AC171" s="266"/>
      <c r="AD171" s="266"/>
      <c r="AE171" s="266"/>
    </row>
    <row r="172" spans="3:31" s="237" customFormat="1" x14ac:dyDescent="0.2">
      <c r="C172" s="266"/>
      <c r="D172" s="266"/>
      <c r="E172" s="266"/>
      <c r="F172" s="266"/>
      <c r="G172" s="266"/>
      <c r="H172" s="266"/>
      <c r="I172" s="266"/>
      <c r="J172" s="266"/>
      <c r="K172" s="266"/>
      <c r="L172" s="266"/>
      <c r="M172" s="266"/>
      <c r="N172" s="266"/>
      <c r="O172" s="266"/>
      <c r="P172" s="266"/>
      <c r="Q172" s="266"/>
      <c r="R172" s="266"/>
      <c r="S172" s="266"/>
      <c r="T172" s="266"/>
      <c r="U172" s="266"/>
      <c r="V172" s="266"/>
      <c r="W172" s="266"/>
      <c r="X172" s="266"/>
      <c r="Y172" s="266"/>
      <c r="Z172" s="266"/>
      <c r="AA172" s="266"/>
      <c r="AB172" s="266"/>
      <c r="AC172" s="266"/>
      <c r="AD172" s="266"/>
      <c r="AE172" s="266"/>
    </row>
    <row r="173" spans="3:31" s="237" customFormat="1" x14ac:dyDescent="0.2">
      <c r="C173" s="266"/>
      <c r="D173" s="266"/>
      <c r="E173" s="266"/>
      <c r="F173" s="266"/>
      <c r="G173" s="266"/>
      <c r="H173" s="266"/>
      <c r="I173" s="266"/>
      <c r="J173" s="266"/>
      <c r="K173" s="266"/>
      <c r="L173" s="266"/>
      <c r="M173" s="266"/>
      <c r="N173" s="266"/>
      <c r="O173" s="266"/>
      <c r="P173" s="266"/>
      <c r="Q173" s="266"/>
      <c r="R173" s="266"/>
      <c r="S173" s="266"/>
      <c r="T173" s="266"/>
      <c r="U173" s="266"/>
      <c r="V173" s="266"/>
      <c r="W173" s="266"/>
      <c r="X173" s="266"/>
      <c r="Y173" s="266"/>
      <c r="Z173" s="266"/>
      <c r="AA173" s="266"/>
      <c r="AB173" s="266"/>
      <c r="AC173" s="266"/>
      <c r="AD173" s="266"/>
      <c r="AE173" s="266"/>
    </row>
    <row r="174" spans="3:31" s="237" customFormat="1" x14ac:dyDescent="0.2">
      <c r="C174" s="266"/>
      <c r="D174" s="266"/>
      <c r="E174" s="266"/>
      <c r="F174" s="266"/>
      <c r="G174" s="266"/>
      <c r="H174" s="266"/>
      <c r="I174" s="266"/>
      <c r="J174" s="266"/>
      <c r="K174" s="266"/>
      <c r="L174" s="266"/>
      <c r="M174" s="266"/>
      <c r="N174" s="266"/>
      <c r="O174" s="266"/>
      <c r="P174" s="266"/>
      <c r="Q174" s="266"/>
      <c r="R174" s="266"/>
      <c r="S174" s="266"/>
      <c r="T174" s="266"/>
      <c r="U174" s="266"/>
      <c r="V174" s="266"/>
      <c r="W174" s="266"/>
      <c r="X174" s="266"/>
      <c r="Y174" s="266"/>
      <c r="Z174" s="266"/>
      <c r="AA174" s="266"/>
      <c r="AB174" s="266"/>
      <c r="AC174" s="266"/>
      <c r="AD174" s="266"/>
      <c r="AE174" s="266"/>
    </row>
    <row r="175" spans="3:31" s="237" customFormat="1" x14ac:dyDescent="0.2">
      <c r="C175" s="266"/>
      <c r="D175" s="266"/>
      <c r="E175" s="266"/>
      <c r="F175" s="266"/>
      <c r="G175" s="266"/>
      <c r="H175" s="266"/>
      <c r="I175" s="266"/>
      <c r="J175" s="266"/>
      <c r="K175" s="266"/>
      <c r="L175" s="266"/>
      <c r="M175" s="266"/>
      <c r="N175" s="266"/>
      <c r="O175" s="266"/>
      <c r="P175" s="266"/>
      <c r="Q175" s="266"/>
      <c r="R175" s="266"/>
      <c r="S175" s="266"/>
      <c r="T175" s="266"/>
      <c r="U175" s="266"/>
      <c r="V175" s="266"/>
      <c r="W175" s="266"/>
      <c r="X175" s="266"/>
      <c r="Y175" s="266"/>
      <c r="Z175" s="266"/>
      <c r="AA175" s="266"/>
      <c r="AB175" s="266"/>
      <c r="AC175" s="266"/>
      <c r="AD175" s="266"/>
      <c r="AE175" s="266"/>
    </row>
    <row r="176" spans="3:31" s="237" customFormat="1" x14ac:dyDescent="0.2">
      <c r="C176" s="266"/>
      <c r="D176" s="266"/>
      <c r="E176" s="266"/>
      <c r="F176" s="266"/>
      <c r="G176" s="266"/>
      <c r="H176" s="266"/>
      <c r="I176" s="266"/>
      <c r="J176" s="266"/>
      <c r="K176" s="266"/>
      <c r="L176" s="266"/>
      <c r="M176" s="266"/>
      <c r="N176" s="266"/>
      <c r="O176" s="266"/>
      <c r="P176" s="266"/>
      <c r="Q176" s="266"/>
      <c r="R176" s="266"/>
      <c r="S176" s="266"/>
      <c r="T176" s="266"/>
      <c r="U176" s="266"/>
      <c r="V176" s="266"/>
      <c r="W176" s="266"/>
      <c r="X176" s="266"/>
      <c r="Y176" s="266"/>
      <c r="Z176" s="266"/>
      <c r="AA176" s="266"/>
      <c r="AB176" s="266"/>
      <c r="AC176" s="266"/>
      <c r="AD176" s="266"/>
      <c r="AE176" s="266"/>
    </row>
    <row r="177" spans="3:31" s="237" customFormat="1" x14ac:dyDescent="0.2">
      <c r="C177" s="266"/>
      <c r="D177" s="266"/>
      <c r="E177" s="266"/>
      <c r="F177" s="266"/>
      <c r="G177" s="266"/>
      <c r="H177" s="266"/>
      <c r="I177" s="266"/>
      <c r="J177" s="266"/>
      <c r="K177" s="266"/>
      <c r="L177" s="266"/>
      <c r="M177" s="266"/>
      <c r="N177" s="266"/>
      <c r="O177" s="266"/>
      <c r="P177" s="266"/>
      <c r="Q177" s="266"/>
      <c r="R177" s="266"/>
      <c r="S177" s="266"/>
      <c r="T177" s="266"/>
      <c r="U177" s="266"/>
      <c r="V177" s="266"/>
      <c r="W177" s="266"/>
      <c r="X177" s="266"/>
      <c r="Y177" s="266"/>
      <c r="Z177" s="266"/>
      <c r="AA177" s="266"/>
      <c r="AB177" s="266"/>
      <c r="AC177" s="266"/>
      <c r="AD177" s="266"/>
      <c r="AE177" s="266"/>
    </row>
    <row r="178" spans="3:31" s="237" customFormat="1" x14ac:dyDescent="0.2">
      <c r="C178" s="266"/>
      <c r="D178" s="266"/>
      <c r="E178" s="266"/>
      <c r="F178" s="266"/>
      <c r="G178" s="266"/>
      <c r="H178" s="266"/>
      <c r="I178" s="266"/>
      <c r="J178" s="266"/>
      <c r="K178" s="266"/>
      <c r="L178" s="266"/>
      <c r="M178" s="266"/>
      <c r="N178" s="266"/>
      <c r="O178" s="266"/>
      <c r="P178" s="266"/>
      <c r="Q178" s="266"/>
      <c r="R178" s="266"/>
      <c r="S178" s="266"/>
      <c r="T178" s="266"/>
      <c r="U178" s="266"/>
      <c r="V178" s="266"/>
      <c r="W178" s="266"/>
      <c r="X178" s="266"/>
      <c r="Y178" s="266"/>
      <c r="Z178" s="266"/>
      <c r="AA178" s="266"/>
      <c r="AB178" s="266"/>
      <c r="AC178" s="266"/>
      <c r="AD178" s="266"/>
      <c r="AE178" s="266"/>
    </row>
    <row r="179" spans="3:31" s="237" customFormat="1" x14ac:dyDescent="0.2">
      <c r="C179" s="266"/>
      <c r="D179" s="266"/>
      <c r="E179" s="266"/>
      <c r="F179" s="266"/>
      <c r="G179" s="266"/>
      <c r="H179" s="266"/>
      <c r="I179" s="266"/>
      <c r="J179" s="266"/>
      <c r="K179" s="266"/>
      <c r="L179" s="266"/>
      <c r="M179" s="266"/>
      <c r="N179" s="266"/>
      <c r="O179" s="266"/>
      <c r="P179" s="266"/>
      <c r="Q179" s="266"/>
      <c r="R179" s="266"/>
      <c r="S179" s="266"/>
      <c r="T179" s="266"/>
      <c r="U179" s="266"/>
      <c r="V179" s="266"/>
      <c r="W179" s="266"/>
      <c r="X179" s="266"/>
      <c r="Y179" s="266"/>
      <c r="Z179" s="266"/>
      <c r="AA179" s="266"/>
      <c r="AB179" s="266"/>
      <c r="AC179" s="266"/>
      <c r="AD179" s="266"/>
      <c r="AE179" s="266"/>
    </row>
    <row r="180" spans="3:31" s="237" customFormat="1" x14ac:dyDescent="0.2">
      <c r="C180" s="266"/>
      <c r="D180" s="266"/>
      <c r="E180" s="266"/>
      <c r="F180" s="266"/>
      <c r="G180" s="266"/>
      <c r="H180" s="266"/>
      <c r="I180" s="266"/>
      <c r="J180" s="266"/>
      <c r="K180" s="266"/>
      <c r="L180" s="266"/>
      <c r="M180" s="266"/>
      <c r="N180" s="266"/>
      <c r="O180" s="266"/>
      <c r="P180" s="266"/>
      <c r="Q180" s="266"/>
      <c r="R180" s="266"/>
      <c r="S180" s="266"/>
      <c r="T180" s="266"/>
      <c r="U180" s="266"/>
      <c r="V180" s="266"/>
      <c r="W180" s="266"/>
      <c r="X180" s="266"/>
      <c r="Y180" s="266"/>
      <c r="Z180" s="266"/>
      <c r="AA180" s="266"/>
      <c r="AB180" s="266"/>
      <c r="AC180" s="266"/>
      <c r="AD180" s="266"/>
      <c r="AE180" s="266"/>
    </row>
    <row r="181" spans="3:31" s="237" customFormat="1" x14ac:dyDescent="0.2">
      <c r="C181" s="266"/>
      <c r="D181" s="266"/>
      <c r="E181" s="266"/>
      <c r="F181" s="266"/>
      <c r="G181" s="266"/>
      <c r="H181" s="266"/>
      <c r="I181" s="266"/>
      <c r="J181" s="266"/>
      <c r="K181" s="266"/>
      <c r="L181" s="266"/>
      <c r="M181" s="266"/>
      <c r="N181" s="266"/>
      <c r="O181" s="266"/>
      <c r="P181" s="266"/>
      <c r="Q181" s="266"/>
      <c r="R181" s="266"/>
      <c r="S181" s="266"/>
      <c r="T181" s="266"/>
      <c r="U181" s="266"/>
      <c r="V181" s="266"/>
      <c r="W181" s="266"/>
      <c r="X181" s="266"/>
      <c r="Y181" s="266"/>
      <c r="Z181" s="266"/>
      <c r="AA181" s="266"/>
      <c r="AB181" s="266"/>
      <c r="AC181" s="266"/>
      <c r="AD181" s="266"/>
      <c r="AE181" s="266"/>
    </row>
    <row r="182" spans="3:31" s="237" customFormat="1" x14ac:dyDescent="0.2">
      <c r="C182" s="266"/>
      <c r="D182" s="266"/>
      <c r="E182" s="266"/>
      <c r="F182" s="266"/>
      <c r="G182" s="266"/>
      <c r="H182" s="266"/>
      <c r="I182" s="266"/>
      <c r="J182" s="266"/>
      <c r="K182" s="266"/>
      <c r="L182" s="266"/>
      <c r="M182" s="266"/>
      <c r="N182" s="266"/>
      <c r="O182" s="266"/>
      <c r="P182" s="266"/>
      <c r="Q182" s="266"/>
      <c r="R182" s="266"/>
      <c r="S182" s="266"/>
      <c r="T182" s="266"/>
      <c r="U182" s="266"/>
      <c r="V182" s="266"/>
      <c r="W182" s="266"/>
      <c r="X182" s="266"/>
      <c r="Y182" s="266"/>
      <c r="Z182" s="266"/>
      <c r="AA182" s="266"/>
      <c r="AB182" s="266"/>
      <c r="AC182" s="266"/>
      <c r="AD182" s="266"/>
      <c r="AE182" s="266"/>
    </row>
    <row r="183" spans="3:31" s="237" customFormat="1" x14ac:dyDescent="0.2">
      <c r="C183" s="266"/>
      <c r="D183" s="266"/>
      <c r="E183" s="266"/>
      <c r="F183" s="266"/>
      <c r="G183" s="266"/>
      <c r="H183" s="266"/>
      <c r="I183" s="266"/>
      <c r="J183" s="266"/>
      <c r="K183" s="266"/>
      <c r="L183" s="266"/>
      <c r="M183" s="266"/>
      <c r="N183" s="266"/>
      <c r="O183" s="266"/>
      <c r="P183" s="266"/>
      <c r="Q183" s="266"/>
      <c r="R183" s="266"/>
      <c r="S183" s="266"/>
      <c r="T183" s="266"/>
      <c r="U183" s="266"/>
      <c r="V183" s="266"/>
      <c r="W183" s="266"/>
      <c r="X183" s="266"/>
      <c r="Y183" s="266"/>
      <c r="Z183" s="266"/>
      <c r="AA183" s="266"/>
      <c r="AB183" s="266"/>
      <c r="AC183" s="266"/>
      <c r="AD183" s="266"/>
      <c r="AE183" s="266"/>
    </row>
    <row r="184" spans="3:31" s="237" customFormat="1" x14ac:dyDescent="0.2">
      <c r="C184" s="266"/>
      <c r="D184" s="266"/>
      <c r="E184" s="266"/>
      <c r="F184" s="266"/>
      <c r="G184" s="266"/>
      <c r="H184" s="266"/>
      <c r="I184" s="266"/>
      <c r="J184" s="266"/>
      <c r="K184" s="266"/>
      <c r="L184" s="266"/>
      <c r="M184" s="266"/>
      <c r="N184" s="266"/>
      <c r="O184" s="266"/>
      <c r="P184" s="266"/>
      <c r="Q184" s="266"/>
      <c r="R184" s="266"/>
      <c r="S184" s="266"/>
      <c r="T184" s="266"/>
      <c r="U184" s="266"/>
      <c r="V184" s="266"/>
      <c r="W184" s="266"/>
      <c r="X184" s="266"/>
      <c r="Y184" s="266"/>
      <c r="Z184" s="266"/>
      <c r="AA184" s="266"/>
      <c r="AB184" s="266"/>
      <c r="AC184" s="266"/>
      <c r="AD184" s="266"/>
      <c r="AE184" s="266"/>
    </row>
    <row r="185" spans="3:31" s="237" customFormat="1" x14ac:dyDescent="0.2">
      <c r="C185" s="266"/>
      <c r="D185" s="266"/>
      <c r="E185" s="266"/>
      <c r="F185" s="266"/>
      <c r="G185" s="266"/>
      <c r="H185" s="266"/>
      <c r="I185" s="266"/>
      <c r="J185" s="266"/>
      <c r="K185" s="266"/>
      <c r="L185" s="266"/>
      <c r="M185" s="266"/>
      <c r="N185" s="266"/>
      <c r="O185" s="266"/>
      <c r="P185" s="266"/>
      <c r="Q185" s="266"/>
      <c r="R185" s="266"/>
      <c r="S185" s="266"/>
      <c r="T185" s="266"/>
      <c r="U185" s="266"/>
      <c r="V185" s="266"/>
      <c r="W185" s="266"/>
      <c r="X185" s="266"/>
      <c r="Y185" s="266"/>
      <c r="Z185" s="266"/>
      <c r="AA185" s="266"/>
      <c r="AB185" s="266"/>
      <c r="AC185" s="266"/>
      <c r="AD185" s="266"/>
      <c r="AE185" s="266"/>
    </row>
    <row r="186" spans="3:31" s="237" customFormat="1" x14ac:dyDescent="0.2">
      <c r="C186" s="266"/>
      <c r="D186" s="266"/>
      <c r="E186" s="266"/>
      <c r="F186" s="266"/>
      <c r="G186" s="266"/>
      <c r="H186" s="266"/>
      <c r="I186" s="266"/>
      <c r="J186" s="266"/>
      <c r="K186" s="266"/>
      <c r="L186" s="266"/>
      <c r="M186" s="266"/>
      <c r="N186" s="266"/>
      <c r="O186" s="266"/>
      <c r="P186" s="266"/>
      <c r="Q186" s="266"/>
      <c r="R186" s="266"/>
      <c r="S186" s="266"/>
      <c r="T186" s="266"/>
      <c r="U186" s="266"/>
      <c r="V186" s="266"/>
      <c r="W186" s="266"/>
      <c r="X186" s="266"/>
      <c r="Y186" s="266"/>
      <c r="Z186" s="266"/>
      <c r="AA186" s="266"/>
      <c r="AB186" s="266"/>
      <c r="AC186" s="266"/>
      <c r="AD186" s="266"/>
      <c r="AE186" s="266"/>
    </row>
    <row r="187" spans="3:31" s="237" customFormat="1" x14ac:dyDescent="0.2">
      <c r="C187" s="266"/>
      <c r="D187" s="266"/>
      <c r="E187" s="266"/>
      <c r="F187" s="266"/>
      <c r="G187" s="266"/>
      <c r="H187" s="266"/>
      <c r="I187" s="266"/>
      <c r="J187" s="266"/>
      <c r="K187" s="266"/>
      <c r="L187" s="266"/>
      <c r="M187" s="266"/>
      <c r="N187" s="266"/>
      <c r="O187" s="266"/>
      <c r="P187" s="266"/>
      <c r="Q187" s="266"/>
      <c r="R187" s="266"/>
      <c r="S187" s="266"/>
      <c r="T187" s="266"/>
      <c r="U187" s="266"/>
      <c r="V187" s="266"/>
      <c r="W187" s="266"/>
      <c r="X187" s="266"/>
      <c r="Y187" s="266"/>
      <c r="Z187" s="266"/>
      <c r="AA187" s="266"/>
      <c r="AB187" s="266"/>
      <c r="AC187" s="266"/>
      <c r="AD187" s="266"/>
      <c r="AE187" s="266"/>
    </row>
    <row r="188" spans="3:31" s="237" customFormat="1" x14ac:dyDescent="0.2">
      <c r="C188" s="266"/>
      <c r="D188" s="266"/>
      <c r="E188" s="266"/>
      <c r="F188" s="266"/>
      <c r="G188" s="266"/>
      <c r="H188" s="266"/>
      <c r="I188" s="266"/>
      <c r="J188" s="266"/>
      <c r="K188" s="266"/>
      <c r="L188" s="266"/>
      <c r="M188" s="266"/>
      <c r="N188" s="266"/>
      <c r="O188" s="266"/>
      <c r="P188" s="266"/>
      <c r="Q188" s="266"/>
      <c r="R188" s="266"/>
      <c r="S188" s="266"/>
      <c r="T188" s="266"/>
      <c r="U188" s="266"/>
      <c r="V188" s="266"/>
      <c r="W188" s="266"/>
      <c r="X188" s="266"/>
      <c r="Y188" s="266"/>
      <c r="Z188" s="266"/>
      <c r="AA188" s="266"/>
      <c r="AB188" s="266"/>
      <c r="AC188" s="266"/>
      <c r="AD188" s="266"/>
      <c r="AE188" s="266"/>
    </row>
    <row r="189" spans="3:31" s="237" customFormat="1" x14ac:dyDescent="0.2">
      <c r="C189" s="266"/>
      <c r="D189" s="266"/>
      <c r="E189" s="266"/>
      <c r="F189" s="266"/>
      <c r="G189" s="266"/>
      <c r="H189" s="266"/>
      <c r="I189" s="266"/>
      <c r="J189" s="266"/>
      <c r="K189" s="266"/>
      <c r="L189" s="266"/>
      <c r="M189" s="266"/>
      <c r="N189" s="266"/>
      <c r="O189" s="266"/>
      <c r="P189" s="266"/>
      <c r="Q189" s="266"/>
      <c r="R189" s="266"/>
      <c r="S189" s="266"/>
      <c r="T189" s="266"/>
      <c r="U189" s="266"/>
      <c r="V189" s="266"/>
      <c r="W189" s="266"/>
      <c r="X189" s="266"/>
      <c r="Y189" s="266"/>
      <c r="Z189" s="266"/>
      <c r="AA189" s="266"/>
      <c r="AB189" s="266"/>
      <c r="AC189" s="266"/>
      <c r="AD189" s="266"/>
      <c r="AE189" s="266"/>
    </row>
    <row r="190" spans="3:31" s="237" customFormat="1" x14ac:dyDescent="0.2">
      <c r="C190" s="266"/>
      <c r="D190" s="266"/>
      <c r="E190" s="266"/>
      <c r="F190" s="266"/>
      <c r="G190" s="266"/>
      <c r="H190" s="266"/>
      <c r="I190" s="266"/>
      <c r="J190" s="266"/>
      <c r="K190" s="266"/>
      <c r="L190" s="266"/>
      <c r="M190" s="266"/>
      <c r="N190" s="266"/>
      <c r="O190" s="266"/>
      <c r="P190" s="266"/>
      <c r="Q190" s="266"/>
      <c r="R190" s="266"/>
      <c r="S190" s="266"/>
      <c r="T190" s="266"/>
      <c r="U190" s="266"/>
      <c r="V190" s="266"/>
      <c r="W190" s="266"/>
      <c r="X190" s="266"/>
      <c r="Y190" s="266"/>
      <c r="Z190" s="266"/>
      <c r="AA190" s="266"/>
      <c r="AB190" s="266"/>
      <c r="AC190" s="266"/>
      <c r="AD190" s="266"/>
      <c r="AE190" s="266"/>
    </row>
    <row r="191" spans="3:31" s="237" customFormat="1" x14ac:dyDescent="0.2">
      <c r="C191" s="266"/>
      <c r="D191" s="266"/>
      <c r="E191" s="266"/>
      <c r="F191" s="266"/>
      <c r="G191" s="266"/>
      <c r="H191" s="266"/>
      <c r="I191" s="266"/>
      <c r="J191" s="266"/>
      <c r="K191" s="266"/>
      <c r="L191" s="266"/>
      <c r="M191" s="266"/>
      <c r="N191" s="266"/>
      <c r="O191" s="266"/>
      <c r="P191" s="266"/>
      <c r="Q191" s="266"/>
      <c r="R191" s="266"/>
      <c r="S191" s="266"/>
      <c r="T191" s="266"/>
      <c r="U191" s="266"/>
      <c r="V191" s="266"/>
      <c r="W191" s="266"/>
      <c r="X191" s="266"/>
      <c r="Y191" s="266"/>
      <c r="Z191" s="266"/>
      <c r="AA191" s="266"/>
      <c r="AB191" s="266"/>
      <c r="AC191" s="266"/>
      <c r="AD191" s="266"/>
      <c r="AE191" s="266"/>
    </row>
    <row r="192" spans="3:31" s="237" customFormat="1" x14ac:dyDescent="0.2">
      <c r="C192" s="266"/>
      <c r="D192" s="266"/>
      <c r="E192" s="266"/>
      <c r="F192" s="266"/>
      <c r="G192" s="266"/>
      <c r="H192" s="266"/>
      <c r="I192" s="266"/>
      <c r="J192" s="266"/>
      <c r="K192" s="266"/>
      <c r="L192" s="266"/>
      <c r="M192" s="266"/>
      <c r="N192" s="266"/>
      <c r="O192" s="266"/>
      <c r="P192" s="266"/>
      <c r="Q192" s="266"/>
      <c r="R192" s="266"/>
      <c r="S192" s="266"/>
      <c r="T192" s="266"/>
      <c r="U192" s="266"/>
      <c r="V192" s="266"/>
      <c r="W192" s="266"/>
      <c r="X192" s="266"/>
      <c r="Y192" s="266"/>
      <c r="Z192" s="266"/>
      <c r="AA192" s="266"/>
      <c r="AB192" s="266"/>
      <c r="AC192" s="266"/>
      <c r="AD192" s="266"/>
      <c r="AE192" s="266"/>
    </row>
    <row r="193" spans="3:31" s="237" customFormat="1" x14ac:dyDescent="0.2">
      <c r="C193" s="266"/>
      <c r="D193" s="266"/>
      <c r="E193" s="266"/>
      <c r="F193" s="266"/>
      <c r="G193" s="266"/>
      <c r="H193" s="266"/>
      <c r="I193" s="266"/>
      <c r="J193" s="266"/>
      <c r="K193" s="266"/>
      <c r="L193" s="266"/>
      <c r="M193" s="266"/>
      <c r="N193" s="266"/>
      <c r="O193" s="266"/>
      <c r="P193" s="266"/>
      <c r="Q193" s="266"/>
      <c r="R193" s="266"/>
      <c r="S193" s="266"/>
      <c r="T193" s="266"/>
      <c r="U193" s="266"/>
      <c r="V193" s="266"/>
      <c r="W193" s="266"/>
      <c r="X193" s="266"/>
      <c r="Y193" s="266"/>
      <c r="Z193" s="266"/>
      <c r="AA193" s="266"/>
      <c r="AB193" s="266"/>
      <c r="AC193" s="266"/>
      <c r="AD193" s="266"/>
      <c r="AE193" s="266"/>
    </row>
    <row r="194" spans="3:31" s="237" customFormat="1" x14ac:dyDescent="0.2">
      <c r="C194" s="266"/>
      <c r="D194" s="266"/>
      <c r="E194" s="266"/>
      <c r="F194" s="266"/>
      <c r="G194" s="266"/>
      <c r="H194" s="266"/>
      <c r="I194" s="266"/>
      <c r="J194" s="266"/>
      <c r="K194" s="266"/>
      <c r="L194" s="266"/>
      <c r="M194" s="266"/>
      <c r="N194" s="266"/>
      <c r="O194" s="266"/>
      <c r="P194" s="266"/>
      <c r="Q194" s="266"/>
      <c r="R194" s="266"/>
      <c r="S194" s="266"/>
      <c r="T194" s="266"/>
      <c r="U194" s="266"/>
      <c r="V194" s="266"/>
      <c r="W194" s="266"/>
      <c r="X194" s="266"/>
      <c r="Y194" s="266"/>
      <c r="Z194" s="266"/>
      <c r="AA194" s="266"/>
      <c r="AB194" s="266"/>
      <c r="AC194" s="266"/>
      <c r="AD194" s="266"/>
      <c r="AE194" s="266"/>
    </row>
    <row r="195" spans="3:31" s="237" customFormat="1" x14ac:dyDescent="0.2">
      <c r="C195" s="266"/>
      <c r="D195" s="266"/>
      <c r="E195" s="266"/>
      <c r="F195" s="266"/>
      <c r="G195" s="266"/>
      <c r="H195" s="266"/>
      <c r="I195" s="266"/>
      <c r="J195" s="266"/>
      <c r="K195" s="266"/>
      <c r="L195" s="266"/>
      <c r="M195" s="266"/>
      <c r="N195" s="266"/>
      <c r="O195" s="266"/>
      <c r="P195" s="266"/>
      <c r="Q195" s="266"/>
      <c r="R195" s="266"/>
      <c r="S195" s="266"/>
      <c r="T195" s="266"/>
      <c r="U195" s="266"/>
      <c r="V195" s="266"/>
      <c r="W195" s="266"/>
      <c r="X195" s="266"/>
      <c r="Y195" s="266"/>
      <c r="Z195" s="266"/>
      <c r="AA195" s="266"/>
      <c r="AB195" s="266"/>
      <c r="AC195" s="266"/>
      <c r="AD195" s="266"/>
      <c r="AE195" s="266"/>
    </row>
    <row r="196" spans="3:31" s="237" customFormat="1" x14ac:dyDescent="0.2">
      <c r="C196" s="266"/>
      <c r="D196" s="266"/>
      <c r="E196" s="266"/>
      <c r="F196" s="266"/>
      <c r="G196" s="266"/>
      <c r="H196" s="266"/>
      <c r="I196" s="266"/>
      <c r="J196" s="266"/>
      <c r="K196" s="266"/>
      <c r="L196" s="266"/>
      <c r="M196" s="266"/>
      <c r="N196" s="266"/>
      <c r="O196" s="266"/>
      <c r="P196" s="266"/>
      <c r="Q196" s="266"/>
      <c r="R196" s="266"/>
      <c r="S196" s="266"/>
      <c r="T196" s="266"/>
      <c r="U196" s="266"/>
      <c r="V196" s="266"/>
      <c r="W196" s="266"/>
      <c r="X196" s="266"/>
      <c r="Y196" s="266"/>
      <c r="Z196" s="266"/>
      <c r="AA196" s="266"/>
      <c r="AB196" s="266"/>
      <c r="AC196" s="266"/>
      <c r="AD196" s="266"/>
      <c r="AE196" s="266"/>
    </row>
    <row r="197" spans="3:31" s="237" customFormat="1" x14ac:dyDescent="0.2">
      <c r="C197" s="266"/>
      <c r="D197" s="266"/>
      <c r="E197" s="266"/>
      <c r="F197" s="266"/>
      <c r="G197" s="266"/>
      <c r="H197" s="266"/>
      <c r="I197" s="266"/>
      <c r="J197" s="266"/>
      <c r="K197" s="266"/>
      <c r="L197" s="266"/>
      <c r="M197" s="266"/>
      <c r="N197" s="266"/>
      <c r="O197" s="266"/>
      <c r="P197" s="266"/>
      <c r="Q197" s="266"/>
      <c r="R197" s="266"/>
      <c r="S197" s="266"/>
      <c r="T197" s="266"/>
      <c r="U197" s="266"/>
      <c r="V197" s="266"/>
      <c r="W197" s="266"/>
      <c r="X197" s="266"/>
      <c r="Y197" s="266"/>
      <c r="Z197" s="266"/>
      <c r="AA197" s="266"/>
      <c r="AB197" s="266"/>
      <c r="AC197" s="266"/>
      <c r="AD197" s="266"/>
      <c r="AE197" s="266"/>
    </row>
    <row r="198" spans="3:31" s="237" customFormat="1" x14ac:dyDescent="0.2">
      <c r="C198" s="266"/>
      <c r="D198" s="266"/>
      <c r="E198" s="266"/>
      <c r="F198" s="266"/>
      <c r="G198" s="266"/>
      <c r="H198" s="266"/>
      <c r="I198" s="266"/>
      <c r="J198" s="266"/>
      <c r="K198" s="266"/>
      <c r="L198" s="266"/>
      <c r="M198" s="266"/>
      <c r="N198" s="266"/>
      <c r="O198" s="266"/>
      <c r="P198" s="266"/>
      <c r="Q198" s="266"/>
      <c r="R198" s="266"/>
      <c r="S198" s="266"/>
      <c r="T198" s="266"/>
      <c r="U198" s="266"/>
      <c r="V198" s="266"/>
      <c r="W198" s="266"/>
      <c r="X198" s="266"/>
      <c r="Y198" s="266"/>
      <c r="Z198" s="266"/>
      <c r="AA198" s="266"/>
      <c r="AB198" s="266"/>
      <c r="AC198" s="266"/>
      <c r="AD198" s="266"/>
      <c r="AE198" s="266"/>
    </row>
    <row r="199" spans="3:31" s="237" customFormat="1" x14ac:dyDescent="0.2">
      <c r="C199" s="266"/>
      <c r="D199" s="266"/>
      <c r="E199" s="266"/>
      <c r="F199" s="266"/>
      <c r="G199" s="266"/>
      <c r="H199" s="266"/>
      <c r="I199" s="266"/>
      <c r="J199" s="266"/>
      <c r="K199" s="266"/>
      <c r="L199" s="266"/>
      <c r="M199" s="266"/>
      <c r="N199" s="266"/>
      <c r="O199" s="266"/>
      <c r="P199" s="266"/>
      <c r="Q199" s="266"/>
      <c r="R199" s="266"/>
      <c r="S199" s="266"/>
      <c r="T199" s="266"/>
      <c r="U199" s="266"/>
      <c r="V199" s="266"/>
      <c r="W199" s="266"/>
      <c r="X199" s="266"/>
      <c r="Y199" s="266"/>
      <c r="Z199" s="266"/>
      <c r="AA199" s="266"/>
      <c r="AB199" s="266"/>
      <c r="AC199" s="266"/>
      <c r="AD199" s="266"/>
      <c r="AE199" s="266"/>
    </row>
    <row r="200" spans="3:31" s="237" customFormat="1" x14ac:dyDescent="0.2">
      <c r="C200" s="266"/>
      <c r="D200" s="266"/>
      <c r="E200" s="266"/>
      <c r="F200" s="266"/>
      <c r="G200" s="266"/>
      <c r="H200" s="266"/>
      <c r="I200" s="266"/>
      <c r="J200" s="266"/>
      <c r="K200" s="266"/>
      <c r="L200" s="266"/>
      <c r="M200" s="266"/>
      <c r="N200" s="266"/>
      <c r="O200" s="266"/>
      <c r="P200" s="266"/>
      <c r="Q200" s="266"/>
      <c r="R200" s="266"/>
      <c r="S200" s="266"/>
      <c r="T200" s="266"/>
      <c r="U200" s="266"/>
      <c r="V200" s="266"/>
      <c r="W200" s="266"/>
      <c r="X200" s="266"/>
      <c r="Y200" s="266"/>
      <c r="Z200" s="266"/>
      <c r="AA200" s="266"/>
      <c r="AB200" s="266"/>
      <c r="AC200" s="266"/>
      <c r="AD200" s="266"/>
      <c r="AE200" s="266"/>
    </row>
    <row r="201" spans="3:31" s="237" customFormat="1" x14ac:dyDescent="0.2">
      <c r="C201" s="266"/>
      <c r="D201" s="266"/>
      <c r="E201" s="266"/>
      <c r="F201" s="266"/>
      <c r="G201" s="266"/>
      <c r="H201" s="266"/>
      <c r="I201" s="266"/>
      <c r="J201" s="266"/>
      <c r="K201" s="266"/>
      <c r="L201" s="266"/>
      <c r="M201" s="266"/>
      <c r="N201" s="266"/>
      <c r="O201" s="266"/>
      <c r="P201" s="266"/>
      <c r="Q201" s="266"/>
      <c r="R201" s="266"/>
      <c r="S201" s="266"/>
      <c r="T201" s="266"/>
      <c r="U201" s="266"/>
      <c r="V201" s="266"/>
      <c r="W201" s="266"/>
      <c r="X201" s="266"/>
      <c r="Y201" s="266"/>
      <c r="Z201" s="266"/>
      <c r="AA201" s="266"/>
      <c r="AB201" s="266"/>
      <c r="AC201" s="266"/>
      <c r="AD201" s="266"/>
      <c r="AE201" s="266"/>
    </row>
    <row r="202" spans="3:31" s="237" customFormat="1" x14ac:dyDescent="0.2">
      <c r="C202" s="266"/>
      <c r="D202" s="266"/>
      <c r="E202" s="266"/>
      <c r="F202" s="266"/>
      <c r="G202" s="266"/>
      <c r="H202" s="266"/>
      <c r="I202" s="266"/>
      <c r="J202" s="266"/>
      <c r="K202" s="266"/>
      <c r="L202" s="266"/>
      <c r="M202" s="266"/>
      <c r="N202" s="266"/>
      <c r="O202" s="266"/>
      <c r="P202" s="266"/>
      <c r="Q202" s="266"/>
      <c r="R202" s="266"/>
      <c r="S202" s="266"/>
      <c r="T202" s="266"/>
      <c r="U202" s="266"/>
      <c r="V202" s="266"/>
      <c r="W202" s="266"/>
      <c r="X202" s="266"/>
      <c r="Y202" s="266"/>
      <c r="Z202" s="266"/>
      <c r="AA202" s="266"/>
      <c r="AB202" s="266"/>
      <c r="AC202" s="266"/>
      <c r="AD202" s="266"/>
      <c r="AE202" s="266"/>
    </row>
    <row r="203" spans="3:31" s="237" customFormat="1" x14ac:dyDescent="0.2">
      <c r="C203" s="266"/>
      <c r="D203" s="266"/>
      <c r="E203" s="266"/>
      <c r="F203" s="266"/>
      <c r="G203" s="266"/>
      <c r="H203" s="266"/>
      <c r="I203" s="266"/>
      <c r="J203" s="266"/>
      <c r="K203" s="266"/>
      <c r="L203" s="266"/>
      <c r="M203" s="266"/>
      <c r="N203" s="266"/>
      <c r="O203" s="266"/>
      <c r="P203" s="266"/>
      <c r="Q203" s="266"/>
      <c r="R203" s="266"/>
      <c r="S203" s="266"/>
      <c r="T203" s="266"/>
      <c r="U203" s="266"/>
      <c r="V203" s="266"/>
      <c r="W203" s="266"/>
      <c r="X203" s="266"/>
      <c r="Y203" s="266"/>
      <c r="Z203" s="266"/>
      <c r="AA203" s="266"/>
      <c r="AB203" s="266"/>
      <c r="AC203" s="266"/>
      <c r="AD203" s="266"/>
      <c r="AE203" s="266"/>
    </row>
    <row r="204" spans="3:31" s="237" customFormat="1" x14ac:dyDescent="0.2">
      <c r="C204" s="266"/>
      <c r="D204" s="266"/>
      <c r="E204" s="266"/>
      <c r="F204" s="266"/>
      <c r="G204" s="266"/>
      <c r="H204" s="266"/>
      <c r="I204" s="266"/>
      <c r="J204" s="266"/>
      <c r="K204" s="266"/>
      <c r="L204" s="266"/>
      <c r="M204" s="266"/>
      <c r="N204" s="266"/>
      <c r="O204" s="266"/>
      <c r="P204" s="266"/>
      <c r="Q204" s="266"/>
      <c r="R204" s="266"/>
      <c r="S204" s="266"/>
      <c r="T204" s="266"/>
      <c r="U204" s="266"/>
      <c r="V204" s="266"/>
      <c r="W204" s="266"/>
      <c r="X204" s="266"/>
      <c r="Y204" s="266"/>
      <c r="Z204" s="266"/>
      <c r="AA204" s="266"/>
      <c r="AB204" s="266"/>
      <c r="AC204" s="266"/>
      <c r="AD204" s="266"/>
      <c r="AE204" s="266"/>
    </row>
    <row r="205" spans="3:31" s="237" customFormat="1" x14ac:dyDescent="0.2">
      <c r="C205" s="266"/>
      <c r="D205" s="266"/>
      <c r="E205" s="266"/>
      <c r="F205" s="266"/>
      <c r="G205" s="266"/>
      <c r="H205" s="266"/>
      <c r="I205" s="266"/>
      <c r="J205" s="266"/>
      <c r="K205" s="266"/>
      <c r="L205" s="266"/>
      <c r="M205" s="266"/>
      <c r="N205" s="266"/>
      <c r="O205" s="266"/>
      <c r="P205" s="266"/>
      <c r="Q205" s="266"/>
      <c r="R205" s="266"/>
      <c r="S205" s="266"/>
      <c r="T205" s="266"/>
      <c r="U205" s="266"/>
      <c r="V205" s="266"/>
      <c r="W205" s="266"/>
      <c r="X205" s="266"/>
      <c r="Y205" s="266"/>
      <c r="Z205" s="266"/>
      <c r="AA205" s="266"/>
      <c r="AB205" s="266"/>
      <c r="AC205" s="266"/>
      <c r="AD205" s="266"/>
      <c r="AE205" s="266"/>
    </row>
    <row r="206" spans="3:31" s="237" customFormat="1" x14ac:dyDescent="0.2">
      <c r="C206" s="266"/>
      <c r="D206" s="266"/>
      <c r="E206" s="266"/>
      <c r="F206" s="266"/>
      <c r="G206" s="266"/>
      <c r="H206" s="266"/>
      <c r="I206" s="266"/>
      <c r="J206" s="266"/>
      <c r="K206" s="266"/>
      <c r="L206" s="266"/>
      <c r="M206" s="266"/>
      <c r="N206" s="266"/>
      <c r="O206" s="266"/>
      <c r="P206" s="266"/>
      <c r="Q206" s="266"/>
      <c r="R206" s="266"/>
      <c r="S206" s="266"/>
      <c r="T206" s="266"/>
      <c r="U206" s="266"/>
      <c r="V206" s="266"/>
      <c r="W206" s="266"/>
      <c r="X206" s="266"/>
      <c r="Y206" s="266"/>
      <c r="Z206" s="266"/>
      <c r="AA206" s="266"/>
      <c r="AB206" s="266"/>
      <c r="AC206" s="266"/>
      <c r="AD206" s="266"/>
      <c r="AE206" s="266"/>
    </row>
    <row r="207" spans="3:31" s="237" customFormat="1" x14ac:dyDescent="0.2">
      <c r="C207" s="266"/>
      <c r="D207" s="266"/>
      <c r="E207" s="266"/>
      <c r="F207" s="266"/>
      <c r="G207" s="266"/>
      <c r="H207" s="266"/>
      <c r="I207" s="266"/>
      <c r="J207" s="266"/>
      <c r="K207" s="266"/>
      <c r="L207" s="266"/>
      <c r="M207" s="266"/>
      <c r="N207" s="266"/>
      <c r="O207" s="266"/>
      <c r="P207" s="266"/>
      <c r="Q207" s="266"/>
      <c r="R207" s="266"/>
      <c r="S207" s="266"/>
      <c r="T207" s="266"/>
      <c r="U207" s="266"/>
      <c r="V207" s="266"/>
      <c r="W207" s="266"/>
      <c r="X207" s="266"/>
      <c r="Y207" s="266"/>
      <c r="Z207" s="266"/>
      <c r="AA207" s="266"/>
      <c r="AB207" s="266"/>
      <c r="AC207" s="266"/>
      <c r="AD207" s="266"/>
      <c r="AE207" s="266"/>
    </row>
    <row r="208" spans="3:31" s="237" customFormat="1" x14ac:dyDescent="0.2">
      <c r="C208" s="266"/>
      <c r="D208" s="266"/>
      <c r="E208" s="266"/>
      <c r="F208" s="266"/>
      <c r="G208" s="266"/>
      <c r="H208" s="266"/>
      <c r="I208" s="266"/>
      <c r="J208" s="266"/>
      <c r="K208" s="266"/>
      <c r="L208" s="266"/>
      <c r="M208" s="266"/>
      <c r="N208" s="266"/>
      <c r="O208" s="266"/>
      <c r="P208" s="266"/>
      <c r="Q208" s="266"/>
      <c r="R208" s="266"/>
      <c r="S208" s="266"/>
      <c r="T208" s="266"/>
      <c r="U208" s="266"/>
      <c r="V208" s="266"/>
      <c r="W208" s="266"/>
      <c r="X208" s="266"/>
      <c r="Y208" s="266"/>
      <c r="Z208" s="266"/>
      <c r="AA208" s="266"/>
      <c r="AB208" s="266"/>
      <c r="AC208" s="266"/>
      <c r="AD208" s="266"/>
      <c r="AE208" s="266"/>
    </row>
    <row r="209" spans="3:31" s="237" customFormat="1" x14ac:dyDescent="0.2">
      <c r="C209" s="266"/>
      <c r="D209" s="266"/>
      <c r="E209" s="266"/>
      <c r="F209" s="266"/>
      <c r="G209" s="266"/>
      <c r="H209" s="266"/>
      <c r="I209" s="266"/>
      <c r="J209" s="266"/>
      <c r="K209" s="266"/>
      <c r="L209" s="266"/>
      <c r="M209" s="266"/>
      <c r="N209" s="266"/>
      <c r="O209" s="266"/>
      <c r="P209" s="266"/>
      <c r="Q209" s="266"/>
      <c r="R209" s="266"/>
      <c r="S209" s="266"/>
      <c r="T209" s="266"/>
      <c r="U209" s="266"/>
      <c r="V209" s="266"/>
      <c r="W209" s="266"/>
      <c r="X209" s="266"/>
      <c r="Y209" s="266"/>
      <c r="Z209" s="266"/>
      <c r="AA209" s="266"/>
      <c r="AB209" s="266"/>
      <c r="AC209" s="266"/>
      <c r="AD209" s="266"/>
      <c r="AE209" s="266"/>
    </row>
    <row r="210" spans="3:31" s="237" customFormat="1" x14ac:dyDescent="0.2">
      <c r="C210" s="266"/>
      <c r="D210" s="266"/>
      <c r="E210" s="266"/>
      <c r="F210" s="266"/>
      <c r="G210" s="266"/>
      <c r="H210" s="266"/>
      <c r="I210" s="266"/>
      <c r="J210" s="266"/>
      <c r="K210" s="266"/>
      <c r="L210" s="266"/>
      <c r="M210" s="266"/>
      <c r="N210" s="266"/>
      <c r="O210" s="266"/>
      <c r="P210" s="266"/>
      <c r="Q210" s="266"/>
      <c r="R210" s="266"/>
      <c r="S210" s="266"/>
      <c r="T210" s="266"/>
      <c r="U210" s="266"/>
      <c r="V210" s="266"/>
      <c r="W210" s="266"/>
      <c r="X210" s="266"/>
      <c r="Y210" s="266"/>
      <c r="Z210" s="266"/>
      <c r="AA210" s="266"/>
      <c r="AB210" s="266"/>
      <c r="AC210" s="266"/>
      <c r="AD210" s="266"/>
      <c r="AE210" s="266"/>
    </row>
    <row r="211" spans="3:31" s="237" customFormat="1" x14ac:dyDescent="0.2">
      <c r="C211" s="266"/>
      <c r="D211" s="266"/>
      <c r="E211" s="266"/>
      <c r="F211" s="266"/>
      <c r="G211" s="266"/>
      <c r="H211" s="266"/>
      <c r="I211" s="266"/>
      <c r="J211" s="266"/>
      <c r="K211" s="266"/>
      <c r="L211" s="266"/>
      <c r="M211" s="266"/>
      <c r="N211" s="266"/>
      <c r="O211" s="266"/>
      <c r="P211" s="266"/>
      <c r="Q211" s="266"/>
      <c r="R211" s="266"/>
      <c r="S211" s="266"/>
      <c r="T211" s="266"/>
      <c r="U211" s="266"/>
      <c r="V211" s="266"/>
      <c r="W211" s="266"/>
      <c r="X211" s="266"/>
      <c r="Y211" s="266"/>
      <c r="Z211" s="266"/>
      <c r="AA211" s="266"/>
      <c r="AB211" s="266"/>
      <c r="AC211" s="266"/>
      <c r="AD211" s="266"/>
      <c r="AE211" s="266"/>
    </row>
    <row r="212" spans="3:31" s="237" customFormat="1" x14ac:dyDescent="0.2">
      <c r="C212" s="266"/>
      <c r="D212" s="266"/>
      <c r="E212" s="266"/>
      <c r="F212" s="266"/>
      <c r="G212" s="266"/>
      <c r="H212" s="266"/>
      <c r="I212" s="266"/>
      <c r="J212" s="266"/>
      <c r="K212" s="266"/>
      <c r="L212" s="266"/>
      <c r="M212" s="266"/>
      <c r="N212" s="266"/>
      <c r="O212" s="266"/>
      <c r="P212" s="266"/>
      <c r="Q212" s="266"/>
      <c r="R212" s="266"/>
      <c r="S212" s="266"/>
      <c r="T212" s="266"/>
      <c r="U212" s="266"/>
      <c r="V212" s="266"/>
      <c r="W212" s="266"/>
      <c r="X212" s="266"/>
      <c r="Y212" s="266"/>
      <c r="Z212" s="266"/>
      <c r="AA212" s="266"/>
      <c r="AB212" s="266"/>
      <c r="AC212" s="266"/>
      <c r="AD212" s="266"/>
      <c r="AE212" s="266"/>
    </row>
    <row r="213" spans="3:31" s="237" customFormat="1" x14ac:dyDescent="0.2">
      <c r="C213" s="266"/>
      <c r="D213" s="266"/>
      <c r="E213" s="266"/>
      <c r="F213" s="266"/>
      <c r="G213" s="266"/>
      <c r="H213" s="266"/>
      <c r="I213" s="266"/>
      <c r="J213" s="266"/>
      <c r="K213" s="266"/>
      <c r="L213" s="266"/>
      <c r="M213" s="266"/>
      <c r="N213" s="266"/>
      <c r="O213" s="266"/>
      <c r="P213" s="266"/>
      <c r="Q213" s="266"/>
      <c r="R213" s="266"/>
      <c r="S213" s="266"/>
      <c r="T213" s="266"/>
      <c r="U213" s="266"/>
      <c r="V213" s="266"/>
      <c r="W213" s="266"/>
      <c r="X213" s="266"/>
      <c r="Y213" s="266"/>
      <c r="Z213" s="266"/>
      <c r="AA213" s="266"/>
      <c r="AB213" s="266"/>
      <c r="AC213" s="266"/>
      <c r="AD213" s="266"/>
      <c r="AE213" s="266"/>
    </row>
    <row r="214" spans="3:31" s="237" customFormat="1" x14ac:dyDescent="0.2">
      <c r="C214" s="266"/>
      <c r="D214" s="266"/>
      <c r="E214" s="266"/>
      <c r="F214" s="266"/>
      <c r="G214" s="266"/>
      <c r="H214" s="266"/>
      <c r="I214" s="266"/>
      <c r="J214" s="266"/>
      <c r="K214" s="266"/>
      <c r="L214" s="266"/>
      <c r="M214" s="266"/>
      <c r="N214" s="266"/>
      <c r="O214" s="266"/>
      <c r="P214" s="266"/>
      <c r="Q214" s="266"/>
      <c r="R214" s="266"/>
      <c r="S214" s="266"/>
      <c r="T214" s="266"/>
      <c r="U214" s="266"/>
      <c r="V214" s="266"/>
      <c r="W214" s="266"/>
      <c r="X214" s="266"/>
      <c r="Y214" s="266"/>
      <c r="Z214" s="266"/>
      <c r="AA214" s="266"/>
      <c r="AB214" s="266"/>
      <c r="AC214" s="266"/>
      <c r="AD214" s="266"/>
      <c r="AE214" s="266"/>
    </row>
    <row r="215" spans="3:31" s="237" customFormat="1" x14ac:dyDescent="0.2">
      <c r="C215" s="266"/>
      <c r="D215" s="266"/>
      <c r="E215" s="266"/>
      <c r="F215" s="266"/>
      <c r="G215" s="266"/>
      <c r="H215" s="266"/>
      <c r="I215" s="266"/>
      <c r="J215" s="266"/>
      <c r="K215" s="266"/>
      <c r="L215" s="266"/>
      <c r="M215" s="266"/>
      <c r="N215" s="266"/>
      <c r="O215" s="266"/>
      <c r="P215" s="266"/>
      <c r="Q215" s="266"/>
      <c r="R215" s="266"/>
      <c r="S215" s="266"/>
      <c r="T215" s="266"/>
      <c r="U215" s="266"/>
      <c r="V215" s="266"/>
      <c r="W215" s="266"/>
      <c r="X215" s="266"/>
      <c r="Y215" s="266"/>
      <c r="Z215" s="266"/>
      <c r="AA215" s="266"/>
      <c r="AB215" s="266"/>
      <c r="AC215" s="266"/>
      <c r="AD215" s="266"/>
      <c r="AE215" s="266"/>
    </row>
    <row r="216" spans="3:31" s="237" customFormat="1" x14ac:dyDescent="0.2">
      <c r="C216" s="266"/>
      <c r="D216" s="266"/>
      <c r="E216" s="266"/>
      <c r="F216" s="266"/>
      <c r="G216" s="266"/>
      <c r="H216" s="266"/>
      <c r="I216" s="266"/>
      <c r="J216" s="266"/>
      <c r="K216" s="266"/>
      <c r="L216" s="266"/>
      <c r="M216" s="266"/>
      <c r="N216" s="266"/>
      <c r="O216" s="266"/>
      <c r="P216" s="266"/>
      <c r="Q216" s="266"/>
      <c r="R216" s="266"/>
      <c r="S216" s="266"/>
      <c r="T216" s="266"/>
      <c r="U216" s="266"/>
      <c r="V216" s="266"/>
      <c r="W216" s="266"/>
      <c r="X216" s="266"/>
      <c r="Y216" s="266"/>
      <c r="Z216" s="266"/>
      <c r="AA216" s="266"/>
      <c r="AB216" s="266"/>
      <c r="AC216" s="266"/>
      <c r="AD216" s="266"/>
      <c r="AE216" s="266"/>
    </row>
    <row r="217" spans="3:31" s="237" customFormat="1" x14ac:dyDescent="0.2">
      <c r="C217" s="266"/>
      <c r="D217" s="266"/>
      <c r="E217" s="266"/>
      <c r="F217" s="266"/>
      <c r="G217" s="266"/>
      <c r="H217" s="266"/>
      <c r="I217" s="266"/>
      <c r="J217" s="266"/>
      <c r="K217" s="266"/>
      <c r="L217" s="266"/>
      <c r="M217" s="266"/>
      <c r="N217" s="266"/>
      <c r="O217" s="266"/>
      <c r="P217" s="266"/>
      <c r="Q217" s="266"/>
      <c r="R217" s="266"/>
      <c r="S217" s="266"/>
      <c r="T217" s="266"/>
      <c r="U217" s="266"/>
      <c r="V217" s="266"/>
      <c r="W217" s="266"/>
      <c r="X217" s="266"/>
      <c r="Y217" s="266"/>
      <c r="Z217" s="266"/>
      <c r="AA217" s="266"/>
      <c r="AB217" s="266"/>
      <c r="AC217" s="266"/>
      <c r="AD217" s="266"/>
      <c r="AE217" s="266"/>
    </row>
    <row r="218" spans="3:31" s="237" customFormat="1" x14ac:dyDescent="0.2">
      <c r="C218" s="266"/>
      <c r="D218" s="266"/>
      <c r="E218" s="266"/>
      <c r="F218" s="266"/>
      <c r="G218" s="266"/>
      <c r="H218" s="266"/>
      <c r="I218" s="266"/>
      <c r="J218" s="266"/>
      <c r="K218" s="266"/>
      <c r="L218" s="266"/>
      <c r="M218" s="266"/>
      <c r="N218" s="266"/>
      <c r="O218" s="266"/>
      <c r="P218" s="266"/>
      <c r="Q218" s="266"/>
      <c r="R218" s="266"/>
      <c r="S218" s="266"/>
      <c r="T218" s="266"/>
      <c r="U218" s="266"/>
      <c r="V218" s="266"/>
      <c r="W218" s="266"/>
      <c r="X218" s="266"/>
      <c r="Y218" s="266"/>
      <c r="Z218" s="266"/>
      <c r="AA218" s="266"/>
      <c r="AB218" s="266"/>
      <c r="AC218" s="266"/>
      <c r="AD218" s="266"/>
      <c r="AE218" s="266"/>
    </row>
    <row r="219" spans="3:31" s="237" customFormat="1" x14ac:dyDescent="0.2">
      <c r="C219" s="266"/>
      <c r="D219" s="266"/>
      <c r="E219" s="266"/>
      <c r="F219" s="266"/>
      <c r="G219" s="266"/>
      <c r="H219" s="266"/>
      <c r="I219" s="266"/>
      <c r="J219" s="266"/>
      <c r="K219" s="266"/>
      <c r="L219" s="266"/>
      <c r="M219" s="266"/>
      <c r="N219" s="266"/>
      <c r="O219" s="266"/>
      <c r="P219" s="266"/>
      <c r="Q219" s="266"/>
      <c r="R219" s="266"/>
      <c r="S219" s="266"/>
      <c r="T219" s="266"/>
      <c r="U219" s="266"/>
      <c r="V219" s="266"/>
      <c r="W219" s="266"/>
      <c r="X219" s="266"/>
      <c r="Y219" s="266"/>
      <c r="Z219" s="266"/>
      <c r="AA219" s="266"/>
      <c r="AB219" s="266"/>
      <c r="AC219" s="266"/>
      <c r="AD219" s="266"/>
      <c r="AE219" s="266"/>
    </row>
    <row r="220" spans="3:31" s="237" customFormat="1" x14ac:dyDescent="0.2">
      <c r="C220" s="266"/>
      <c r="D220" s="266"/>
      <c r="E220" s="266"/>
      <c r="F220" s="266"/>
      <c r="G220" s="266"/>
      <c r="H220" s="266"/>
      <c r="I220" s="266"/>
      <c r="J220" s="266"/>
      <c r="K220" s="266"/>
      <c r="L220" s="266"/>
      <c r="M220" s="266"/>
      <c r="N220" s="266"/>
      <c r="O220" s="266"/>
      <c r="P220" s="266"/>
      <c r="Q220" s="266"/>
      <c r="R220" s="266"/>
      <c r="S220" s="266"/>
      <c r="T220" s="266"/>
      <c r="U220" s="266"/>
      <c r="V220" s="266"/>
      <c r="W220" s="266"/>
      <c r="X220" s="266"/>
      <c r="Y220" s="266"/>
      <c r="Z220" s="266"/>
      <c r="AA220" s="266"/>
      <c r="AB220" s="266"/>
      <c r="AC220" s="266"/>
      <c r="AD220" s="266"/>
      <c r="AE220" s="266"/>
    </row>
    <row r="221" spans="3:31" s="237" customFormat="1" x14ac:dyDescent="0.2">
      <c r="C221" s="266"/>
      <c r="D221" s="266"/>
      <c r="E221" s="266"/>
      <c r="F221" s="266"/>
      <c r="G221" s="266"/>
      <c r="H221" s="266"/>
      <c r="I221" s="266"/>
      <c r="J221" s="266"/>
      <c r="K221" s="266"/>
      <c r="L221" s="266"/>
      <c r="M221" s="266"/>
      <c r="N221" s="266"/>
      <c r="O221" s="266"/>
      <c r="P221" s="266"/>
      <c r="Q221" s="266"/>
      <c r="R221" s="266"/>
      <c r="S221" s="266"/>
      <c r="T221" s="266"/>
      <c r="U221" s="266"/>
      <c r="V221" s="266"/>
      <c r="W221" s="266"/>
      <c r="X221" s="266"/>
      <c r="Y221" s="266"/>
      <c r="Z221" s="266"/>
      <c r="AA221" s="266"/>
      <c r="AB221" s="266"/>
      <c r="AC221" s="266"/>
      <c r="AD221" s="266"/>
      <c r="AE221" s="266"/>
    </row>
    <row r="222" spans="3:31" s="237" customFormat="1" x14ac:dyDescent="0.2">
      <c r="C222" s="266"/>
      <c r="D222" s="266"/>
      <c r="E222" s="266"/>
      <c r="F222" s="266"/>
      <c r="G222" s="266"/>
      <c r="H222" s="266"/>
      <c r="I222" s="266"/>
      <c r="J222" s="266"/>
      <c r="K222" s="266"/>
      <c r="L222" s="266"/>
      <c r="M222" s="266"/>
      <c r="N222" s="266"/>
      <c r="O222" s="266"/>
      <c r="P222" s="266"/>
      <c r="Q222" s="266"/>
      <c r="R222" s="266"/>
      <c r="S222" s="266"/>
      <c r="T222" s="266"/>
      <c r="U222" s="266"/>
      <c r="V222" s="266"/>
      <c r="W222" s="266"/>
      <c r="X222" s="266"/>
      <c r="Y222" s="266"/>
      <c r="Z222" s="266"/>
      <c r="AA222" s="266"/>
      <c r="AB222" s="266"/>
      <c r="AC222" s="266"/>
      <c r="AD222" s="266"/>
      <c r="AE222" s="266"/>
    </row>
    <row r="223" spans="3:31" s="237" customFormat="1" x14ac:dyDescent="0.2">
      <c r="C223" s="266"/>
      <c r="D223" s="266"/>
      <c r="E223" s="266"/>
      <c r="F223" s="266"/>
      <c r="G223" s="266"/>
      <c r="H223" s="266"/>
      <c r="I223" s="266"/>
      <c r="J223" s="266"/>
      <c r="K223" s="266"/>
      <c r="L223" s="266"/>
      <c r="M223" s="266"/>
      <c r="N223" s="266"/>
      <c r="O223" s="266"/>
      <c r="P223" s="266"/>
      <c r="Q223" s="266"/>
      <c r="R223" s="266"/>
      <c r="S223" s="266"/>
      <c r="T223" s="266"/>
      <c r="U223" s="266"/>
      <c r="V223" s="266"/>
      <c r="W223" s="266"/>
      <c r="X223" s="266"/>
      <c r="Y223" s="266"/>
      <c r="Z223" s="266"/>
      <c r="AA223" s="266"/>
      <c r="AB223" s="266"/>
      <c r="AC223" s="266"/>
      <c r="AD223" s="266"/>
      <c r="AE223" s="266"/>
    </row>
    <row r="224" spans="3:31" s="237" customFormat="1" x14ac:dyDescent="0.2">
      <c r="C224" s="266"/>
      <c r="D224" s="266"/>
      <c r="E224" s="266"/>
      <c r="F224" s="266"/>
      <c r="G224" s="266"/>
      <c r="H224" s="266"/>
      <c r="I224" s="266"/>
      <c r="J224" s="266"/>
      <c r="K224" s="266"/>
      <c r="L224" s="266"/>
      <c r="M224" s="266"/>
      <c r="N224" s="266"/>
      <c r="O224" s="266"/>
      <c r="P224" s="266"/>
      <c r="Q224" s="266"/>
      <c r="R224" s="266"/>
      <c r="S224" s="266"/>
      <c r="T224" s="266"/>
      <c r="U224" s="266"/>
      <c r="V224" s="266"/>
      <c r="W224" s="266"/>
      <c r="X224" s="266"/>
      <c r="Y224" s="266"/>
      <c r="Z224" s="266"/>
      <c r="AA224" s="266"/>
      <c r="AB224" s="266"/>
      <c r="AC224" s="266"/>
      <c r="AD224" s="266"/>
      <c r="AE224" s="266"/>
    </row>
    <row r="225" spans="3:31" s="237" customFormat="1" x14ac:dyDescent="0.2">
      <c r="C225" s="266"/>
      <c r="D225" s="266"/>
      <c r="E225" s="266"/>
      <c r="F225" s="266"/>
      <c r="G225" s="266"/>
      <c r="H225" s="266"/>
      <c r="I225" s="266"/>
      <c r="J225" s="266"/>
      <c r="K225" s="266"/>
      <c r="L225" s="266"/>
      <c r="M225" s="266"/>
      <c r="N225" s="266"/>
      <c r="O225" s="266"/>
      <c r="P225" s="266"/>
      <c r="Q225" s="266"/>
      <c r="R225" s="266"/>
      <c r="S225" s="266"/>
      <c r="T225" s="266"/>
      <c r="U225" s="266"/>
      <c r="V225" s="266"/>
      <c r="W225" s="266"/>
      <c r="X225" s="266"/>
      <c r="Y225" s="266"/>
      <c r="Z225" s="266"/>
      <c r="AA225" s="266"/>
      <c r="AB225" s="266"/>
      <c r="AC225" s="266"/>
      <c r="AD225" s="266"/>
      <c r="AE225" s="266"/>
    </row>
    <row r="226" spans="3:31" s="237" customFormat="1" x14ac:dyDescent="0.2">
      <c r="C226" s="266"/>
      <c r="D226" s="266"/>
      <c r="E226" s="266"/>
      <c r="F226" s="266"/>
      <c r="G226" s="266"/>
      <c r="H226" s="266"/>
      <c r="I226" s="266"/>
      <c r="J226" s="266"/>
      <c r="K226" s="266"/>
      <c r="L226" s="266"/>
      <c r="M226" s="266"/>
      <c r="N226" s="266"/>
      <c r="O226" s="266"/>
      <c r="P226" s="266"/>
      <c r="Q226" s="266"/>
      <c r="R226" s="266"/>
      <c r="S226" s="266"/>
      <c r="T226" s="266"/>
      <c r="U226" s="266"/>
      <c r="V226" s="266"/>
      <c r="W226" s="266"/>
      <c r="X226" s="266"/>
      <c r="Y226" s="266"/>
      <c r="Z226" s="266"/>
      <c r="AA226" s="266"/>
      <c r="AB226" s="266"/>
      <c r="AC226" s="266"/>
      <c r="AD226" s="266"/>
      <c r="AE226" s="266"/>
    </row>
    <row r="227" spans="3:31" s="237" customFormat="1" x14ac:dyDescent="0.2">
      <c r="C227" s="266"/>
      <c r="D227" s="266"/>
      <c r="E227" s="266"/>
      <c r="F227" s="266"/>
      <c r="G227" s="266"/>
      <c r="H227" s="266"/>
      <c r="I227" s="266"/>
      <c r="J227" s="266"/>
      <c r="K227" s="266"/>
      <c r="L227" s="266"/>
      <c r="M227" s="266"/>
      <c r="N227" s="266"/>
      <c r="O227" s="266"/>
      <c r="P227" s="266"/>
      <c r="Q227" s="266"/>
      <c r="R227" s="266"/>
      <c r="S227" s="266"/>
      <c r="T227" s="266"/>
      <c r="U227" s="266"/>
      <c r="V227" s="266"/>
      <c r="W227" s="266"/>
      <c r="X227" s="266"/>
      <c r="Y227" s="266"/>
      <c r="Z227" s="266"/>
      <c r="AA227" s="266"/>
      <c r="AB227" s="266"/>
      <c r="AC227" s="266"/>
      <c r="AD227" s="266"/>
      <c r="AE227" s="266"/>
    </row>
    <row r="228" spans="3:31" s="237" customFormat="1" x14ac:dyDescent="0.2">
      <c r="C228" s="266"/>
      <c r="D228" s="266"/>
      <c r="E228" s="266"/>
      <c r="F228" s="266"/>
      <c r="G228" s="266"/>
      <c r="H228" s="266"/>
      <c r="I228" s="266"/>
      <c r="J228" s="266"/>
      <c r="K228" s="266"/>
      <c r="L228" s="266"/>
      <c r="M228" s="266"/>
      <c r="N228" s="266"/>
      <c r="O228" s="266"/>
      <c r="P228" s="266"/>
      <c r="Q228" s="266"/>
      <c r="R228" s="266"/>
      <c r="S228" s="266"/>
      <c r="T228" s="266"/>
      <c r="U228" s="266"/>
      <c r="V228" s="266"/>
      <c r="W228" s="266"/>
      <c r="X228" s="266"/>
      <c r="Y228" s="266"/>
      <c r="Z228" s="266"/>
      <c r="AA228" s="266"/>
      <c r="AB228" s="266"/>
      <c r="AC228" s="266"/>
      <c r="AD228" s="266"/>
      <c r="AE228" s="266"/>
    </row>
    <row r="229" spans="3:31" s="237" customFormat="1" x14ac:dyDescent="0.2">
      <c r="C229" s="266"/>
      <c r="D229" s="266"/>
      <c r="E229" s="266"/>
      <c r="F229" s="266"/>
      <c r="G229" s="266"/>
      <c r="H229" s="266"/>
      <c r="I229" s="266"/>
      <c r="J229" s="266"/>
      <c r="K229" s="266"/>
      <c r="L229" s="266"/>
      <c r="M229" s="266"/>
      <c r="N229" s="266"/>
      <c r="O229" s="266"/>
      <c r="P229" s="266"/>
      <c r="Q229" s="266"/>
      <c r="R229" s="266"/>
      <c r="S229" s="266"/>
      <c r="T229" s="266"/>
      <c r="U229" s="266"/>
      <c r="V229" s="266"/>
      <c r="W229" s="266"/>
      <c r="X229" s="266"/>
      <c r="Y229" s="266"/>
      <c r="Z229" s="266"/>
      <c r="AA229" s="266"/>
      <c r="AB229" s="266"/>
      <c r="AC229" s="266"/>
      <c r="AD229" s="266"/>
      <c r="AE229" s="266"/>
    </row>
    <row r="230" spans="3:31" s="237" customFormat="1" x14ac:dyDescent="0.2">
      <c r="C230" s="266"/>
      <c r="D230" s="266"/>
      <c r="E230" s="266"/>
      <c r="F230" s="266"/>
      <c r="G230" s="266"/>
      <c r="H230" s="266"/>
      <c r="I230" s="266"/>
      <c r="J230" s="266"/>
      <c r="K230" s="266"/>
      <c r="L230" s="266"/>
      <c r="M230" s="266"/>
      <c r="N230" s="266"/>
      <c r="O230" s="266"/>
      <c r="P230" s="266"/>
      <c r="Q230" s="266"/>
      <c r="R230" s="266"/>
      <c r="S230" s="266"/>
      <c r="T230" s="266"/>
      <c r="U230" s="266"/>
      <c r="V230" s="266"/>
      <c r="W230" s="266"/>
      <c r="X230" s="266"/>
      <c r="Y230" s="266"/>
      <c r="Z230" s="266"/>
      <c r="AA230" s="266"/>
      <c r="AB230" s="266"/>
      <c r="AC230" s="266"/>
      <c r="AD230" s="266"/>
      <c r="AE230" s="266"/>
    </row>
    <row r="231" spans="3:31" s="237" customFormat="1" x14ac:dyDescent="0.2">
      <c r="C231" s="266"/>
      <c r="D231" s="266"/>
      <c r="E231" s="266"/>
      <c r="F231" s="266"/>
      <c r="G231" s="266"/>
      <c r="H231" s="266"/>
      <c r="I231" s="266"/>
      <c r="J231" s="266"/>
      <c r="K231" s="266"/>
      <c r="L231" s="266"/>
      <c r="M231" s="266"/>
      <c r="N231" s="266"/>
      <c r="O231" s="266"/>
      <c r="P231" s="266"/>
      <c r="Q231" s="266"/>
      <c r="R231" s="266"/>
      <c r="S231" s="266"/>
      <c r="T231" s="266"/>
      <c r="U231" s="266"/>
      <c r="V231" s="266"/>
      <c r="W231" s="266"/>
      <c r="X231" s="266"/>
      <c r="Y231" s="266"/>
      <c r="Z231" s="266"/>
      <c r="AA231" s="266"/>
      <c r="AB231" s="266"/>
      <c r="AC231" s="266"/>
      <c r="AD231" s="266"/>
      <c r="AE231" s="266"/>
    </row>
    <row r="232" spans="3:31" s="237" customFormat="1" x14ac:dyDescent="0.2">
      <c r="C232" s="266"/>
      <c r="D232" s="266"/>
      <c r="E232" s="266"/>
      <c r="F232" s="266"/>
      <c r="G232" s="266"/>
      <c r="H232" s="266"/>
      <c r="I232" s="266"/>
      <c r="J232" s="266"/>
      <c r="K232" s="266"/>
      <c r="L232" s="266"/>
      <c r="M232" s="266"/>
      <c r="N232" s="266"/>
      <c r="O232" s="266"/>
      <c r="P232" s="266"/>
      <c r="Q232" s="266"/>
      <c r="R232" s="266"/>
      <c r="S232" s="266"/>
      <c r="T232" s="266"/>
      <c r="U232" s="266"/>
      <c r="V232" s="266"/>
      <c r="W232" s="266"/>
      <c r="X232" s="266"/>
      <c r="Y232" s="266"/>
      <c r="Z232" s="266"/>
      <c r="AA232" s="266"/>
      <c r="AB232" s="266"/>
      <c r="AC232" s="266"/>
      <c r="AD232" s="266"/>
      <c r="AE232" s="266"/>
    </row>
    <row r="233" spans="3:31" s="237" customFormat="1" x14ac:dyDescent="0.2">
      <c r="C233" s="266"/>
      <c r="D233" s="266"/>
      <c r="E233" s="266"/>
      <c r="F233" s="266"/>
      <c r="G233" s="266"/>
      <c r="H233" s="266"/>
      <c r="I233" s="266"/>
      <c r="J233" s="266"/>
      <c r="K233" s="266"/>
      <c r="L233" s="266"/>
      <c r="M233" s="266"/>
      <c r="N233" s="266"/>
      <c r="O233" s="266"/>
      <c r="P233" s="266"/>
      <c r="Q233" s="266"/>
      <c r="R233" s="266"/>
      <c r="S233" s="266"/>
      <c r="T233" s="266"/>
      <c r="U233" s="266"/>
      <c r="V233" s="266"/>
      <c r="W233" s="266"/>
      <c r="X233" s="266"/>
      <c r="Y233" s="266"/>
      <c r="Z233" s="266"/>
      <c r="AA233" s="266"/>
      <c r="AB233" s="266"/>
      <c r="AC233" s="266"/>
      <c r="AD233" s="266"/>
      <c r="AE233" s="266"/>
    </row>
    <row r="234" spans="3:31" s="237" customFormat="1" x14ac:dyDescent="0.2">
      <c r="C234" s="266"/>
      <c r="D234" s="266"/>
      <c r="E234" s="266"/>
      <c r="F234" s="266"/>
      <c r="G234" s="266"/>
      <c r="H234" s="266"/>
      <c r="I234" s="266"/>
      <c r="J234" s="266"/>
      <c r="K234" s="266"/>
      <c r="L234" s="266"/>
      <c r="M234" s="266"/>
      <c r="N234" s="266"/>
      <c r="O234" s="266"/>
      <c r="P234" s="266"/>
      <c r="Q234" s="266"/>
      <c r="R234" s="266"/>
      <c r="S234" s="266"/>
      <c r="T234" s="266"/>
      <c r="U234" s="266"/>
      <c r="V234" s="266"/>
      <c r="W234" s="266"/>
      <c r="X234" s="266"/>
      <c r="Y234" s="266"/>
      <c r="Z234" s="266"/>
      <c r="AA234" s="266"/>
      <c r="AB234" s="266"/>
      <c r="AC234" s="266"/>
      <c r="AD234" s="266"/>
      <c r="AE234" s="266"/>
    </row>
    <row r="235" spans="3:31" s="237" customFormat="1" x14ac:dyDescent="0.2">
      <c r="C235" s="266"/>
      <c r="D235" s="266"/>
      <c r="E235" s="266"/>
      <c r="F235" s="266"/>
      <c r="G235" s="266"/>
      <c r="H235" s="266"/>
      <c r="I235" s="266"/>
      <c r="J235" s="266"/>
      <c r="K235" s="266"/>
      <c r="L235" s="266"/>
      <c r="M235" s="266"/>
      <c r="N235" s="266"/>
      <c r="O235" s="266"/>
      <c r="P235" s="266"/>
      <c r="Q235" s="266"/>
      <c r="R235" s="266"/>
      <c r="S235" s="266"/>
      <c r="T235" s="266"/>
      <c r="U235" s="266"/>
      <c r="V235" s="266"/>
      <c r="W235" s="266"/>
      <c r="X235" s="266"/>
      <c r="Y235" s="266"/>
      <c r="Z235" s="266"/>
      <c r="AA235" s="266"/>
      <c r="AB235" s="266"/>
      <c r="AC235" s="266"/>
      <c r="AD235" s="266"/>
      <c r="AE235" s="266"/>
    </row>
    <row r="236" spans="3:31" s="237" customFormat="1" x14ac:dyDescent="0.2">
      <c r="C236" s="266"/>
      <c r="D236" s="266"/>
      <c r="E236" s="266"/>
      <c r="F236" s="266"/>
      <c r="G236" s="266"/>
      <c r="H236" s="266"/>
      <c r="I236" s="266"/>
      <c r="J236" s="266"/>
      <c r="K236" s="266"/>
      <c r="L236" s="266"/>
      <c r="M236" s="266"/>
      <c r="N236" s="266"/>
      <c r="O236" s="266"/>
      <c r="P236" s="266"/>
      <c r="Q236" s="266"/>
      <c r="R236" s="266"/>
      <c r="S236" s="266"/>
      <c r="T236" s="266"/>
      <c r="U236" s="266"/>
      <c r="V236" s="266"/>
      <c r="W236" s="266"/>
      <c r="X236" s="266"/>
      <c r="Y236" s="266"/>
      <c r="Z236" s="266"/>
      <c r="AA236" s="266"/>
      <c r="AB236" s="266"/>
      <c r="AC236" s="266"/>
      <c r="AD236" s="266"/>
      <c r="AE236" s="266"/>
    </row>
    <row r="237" spans="3:31" s="237" customFormat="1" x14ac:dyDescent="0.2">
      <c r="C237" s="266"/>
      <c r="D237" s="266"/>
      <c r="E237" s="266"/>
      <c r="F237" s="266"/>
      <c r="G237" s="266"/>
      <c r="H237" s="266"/>
      <c r="I237" s="266"/>
      <c r="J237" s="266"/>
      <c r="K237" s="266"/>
      <c r="L237" s="266"/>
      <c r="M237" s="266"/>
      <c r="N237" s="266"/>
      <c r="O237" s="266"/>
      <c r="P237" s="266"/>
      <c r="Q237" s="266"/>
      <c r="R237" s="266"/>
      <c r="S237" s="266"/>
      <c r="T237" s="266"/>
      <c r="U237" s="266"/>
      <c r="V237" s="266"/>
      <c r="W237" s="266"/>
      <c r="X237" s="266"/>
      <c r="Y237" s="266"/>
      <c r="Z237" s="266"/>
      <c r="AA237" s="266"/>
      <c r="AB237" s="266"/>
      <c r="AC237" s="266"/>
      <c r="AD237" s="266"/>
      <c r="AE237" s="266"/>
    </row>
    <row r="238" spans="3:31" s="237" customFormat="1" x14ac:dyDescent="0.2">
      <c r="C238" s="266"/>
      <c r="D238" s="266"/>
      <c r="E238" s="266"/>
      <c r="F238" s="266"/>
      <c r="G238" s="266"/>
      <c r="H238" s="266"/>
      <c r="I238" s="266"/>
      <c r="J238" s="266"/>
      <c r="K238" s="266"/>
      <c r="L238" s="266"/>
      <c r="M238" s="266"/>
      <c r="N238" s="266"/>
      <c r="O238" s="266"/>
      <c r="P238" s="266"/>
      <c r="Q238" s="266"/>
      <c r="R238" s="266"/>
      <c r="S238" s="266"/>
      <c r="T238" s="266"/>
      <c r="U238" s="266"/>
      <c r="V238" s="266"/>
      <c r="W238" s="266"/>
      <c r="X238" s="266"/>
      <c r="Y238" s="266"/>
      <c r="Z238" s="266"/>
      <c r="AA238" s="266"/>
      <c r="AB238" s="266"/>
      <c r="AC238" s="266"/>
      <c r="AD238" s="266"/>
      <c r="AE238" s="266"/>
    </row>
    <row r="239" spans="3:31" s="237" customFormat="1" x14ac:dyDescent="0.2">
      <c r="C239" s="266"/>
      <c r="D239" s="266"/>
      <c r="E239" s="266"/>
      <c r="F239" s="266"/>
      <c r="G239" s="266"/>
      <c r="H239" s="266"/>
      <c r="I239" s="266"/>
      <c r="J239" s="266"/>
      <c r="K239" s="266"/>
      <c r="L239" s="266"/>
      <c r="M239" s="266"/>
      <c r="N239" s="266"/>
      <c r="O239" s="266"/>
      <c r="P239" s="266"/>
      <c r="Q239" s="266"/>
      <c r="R239" s="266"/>
      <c r="S239" s="266"/>
      <c r="T239" s="266"/>
      <c r="U239" s="266"/>
      <c r="V239" s="266"/>
      <c r="W239" s="266"/>
      <c r="X239" s="266"/>
      <c r="Y239" s="266"/>
      <c r="Z239" s="266"/>
      <c r="AA239" s="266"/>
      <c r="AB239" s="266"/>
      <c r="AC239" s="266"/>
      <c r="AD239" s="266"/>
      <c r="AE239" s="266"/>
    </row>
    <row r="240" spans="3:31" s="237" customFormat="1" x14ac:dyDescent="0.2">
      <c r="C240" s="266"/>
      <c r="D240" s="266"/>
      <c r="E240" s="266"/>
      <c r="F240" s="266"/>
      <c r="G240" s="266"/>
      <c r="H240" s="266"/>
      <c r="I240" s="266"/>
      <c r="J240" s="266"/>
      <c r="K240" s="266"/>
      <c r="L240" s="266"/>
      <c r="M240" s="266"/>
      <c r="N240" s="266"/>
      <c r="O240" s="266"/>
      <c r="P240" s="266"/>
      <c r="Q240" s="266"/>
      <c r="R240" s="266"/>
      <c r="S240" s="266"/>
      <c r="T240" s="266"/>
      <c r="U240" s="266"/>
      <c r="V240" s="266"/>
      <c r="W240" s="266"/>
      <c r="X240" s="266"/>
      <c r="Y240" s="266"/>
      <c r="Z240" s="266"/>
      <c r="AA240" s="266"/>
      <c r="AB240" s="266"/>
      <c r="AC240" s="266"/>
      <c r="AD240" s="266"/>
      <c r="AE240" s="266"/>
    </row>
    <row r="241" spans="3:31" s="237" customFormat="1" x14ac:dyDescent="0.2">
      <c r="C241" s="266"/>
      <c r="D241" s="266"/>
      <c r="E241" s="266"/>
      <c r="F241" s="266"/>
      <c r="G241" s="266"/>
      <c r="H241" s="266"/>
      <c r="I241" s="266"/>
      <c r="J241" s="266"/>
      <c r="K241" s="266"/>
      <c r="L241" s="266"/>
      <c r="M241" s="266"/>
      <c r="N241" s="266"/>
      <c r="O241" s="266"/>
      <c r="P241" s="266"/>
      <c r="Q241" s="266"/>
      <c r="R241" s="266"/>
      <c r="S241" s="266"/>
      <c r="T241" s="266"/>
      <c r="U241" s="266"/>
      <c r="V241" s="266"/>
      <c r="W241" s="266"/>
      <c r="X241" s="266"/>
      <c r="Y241" s="266"/>
      <c r="Z241" s="266"/>
      <c r="AA241" s="266"/>
      <c r="AB241" s="266"/>
      <c r="AC241" s="266"/>
      <c r="AD241" s="266"/>
      <c r="AE241" s="266"/>
    </row>
    <row r="242" spans="3:31" s="237" customFormat="1" x14ac:dyDescent="0.2">
      <c r="C242" s="266"/>
      <c r="D242" s="266"/>
      <c r="E242" s="266"/>
      <c r="F242" s="266"/>
      <c r="G242" s="266"/>
      <c r="H242" s="266"/>
      <c r="I242" s="266"/>
      <c r="J242" s="266"/>
      <c r="K242" s="266"/>
      <c r="L242" s="266"/>
      <c r="M242" s="266"/>
      <c r="N242" s="266"/>
      <c r="O242" s="266"/>
      <c r="P242" s="266"/>
      <c r="Q242" s="266"/>
      <c r="R242" s="266"/>
      <c r="S242" s="266"/>
      <c r="T242" s="266"/>
      <c r="U242" s="266"/>
      <c r="V242" s="266"/>
      <c r="W242" s="266"/>
      <c r="X242" s="266"/>
      <c r="Y242" s="266"/>
      <c r="Z242" s="266"/>
      <c r="AA242" s="266"/>
      <c r="AB242" s="266"/>
      <c r="AC242" s="266"/>
      <c r="AD242" s="266"/>
      <c r="AE242" s="266"/>
    </row>
    <row r="243" spans="3:31" s="237" customFormat="1" x14ac:dyDescent="0.2">
      <c r="C243" s="266"/>
      <c r="D243" s="266"/>
      <c r="E243" s="266"/>
      <c r="F243" s="266"/>
      <c r="G243" s="266"/>
      <c r="H243" s="266"/>
      <c r="I243" s="266"/>
      <c r="J243" s="266"/>
      <c r="K243" s="266"/>
      <c r="L243" s="266"/>
      <c r="M243" s="266"/>
      <c r="N243" s="266"/>
      <c r="O243" s="266"/>
      <c r="P243" s="266"/>
      <c r="Q243" s="266"/>
      <c r="R243" s="266"/>
      <c r="S243" s="266"/>
      <c r="T243" s="266"/>
      <c r="U243" s="266"/>
      <c r="V243" s="266"/>
      <c r="W243" s="266"/>
      <c r="X243" s="266"/>
      <c r="Y243" s="266"/>
      <c r="Z243" s="266"/>
      <c r="AA243" s="266"/>
      <c r="AB243" s="266"/>
      <c r="AC243" s="266"/>
      <c r="AD243" s="266"/>
      <c r="AE243" s="266"/>
    </row>
    <row r="244" spans="3:31" s="237" customFormat="1" x14ac:dyDescent="0.2">
      <c r="C244" s="266"/>
      <c r="D244" s="266"/>
      <c r="E244" s="266"/>
      <c r="F244" s="266"/>
      <c r="G244" s="266"/>
      <c r="H244" s="266"/>
      <c r="I244" s="266"/>
      <c r="J244" s="266"/>
      <c r="K244" s="266"/>
      <c r="L244" s="266"/>
      <c r="M244" s="266"/>
      <c r="N244" s="266"/>
      <c r="O244" s="266"/>
      <c r="P244" s="266"/>
      <c r="Q244" s="266"/>
      <c r="R244" s="266"/>
      <c r="S244" s="266"/>
      <c r="T244" s="266"/>
      <c r="U244" s="266"/>
      <c r="V244" s="266"/>
      <c r="W244" s="266"/>
      <c r="X244" s="266"/>
      <c r="Y244" s="266"/>
      <c r="Z244" s="266"/>
      <c r="AA244" s="266"/>
      <c r="AB244" s="266"/>
      <c r="AC244" s="266"/>
      <c r="AD244" s="266"/>
      <c r="AE244" s="266"/>
    </row>
  </sheetData>
  <mergeCells count="39">
    <mergeCell ref="A3:AE3"/>
    <mergeCell ref="A2:AE2"/>
    <mergeCell ref="A4:AE4"/>
    <mergeCell ref="A5:AE5"/>
    <mergeCell ref="A6:A7"/>
    <mergeCell ref="B6:B7"/>
    <mergeCell ref="C6:C7"/>
    <mergeCell ref="D6:D7"/>
    <mergeCell ref="Z6:Z7"/>
    <mergeCell ref="AA6:AA7"/>
    <mergeCell ref="AB6:AB7"/>
    <mergeCell ref="AC6:AC7"/>
    <mergeCell ref="AD6:AD7"/>
    <mergeCell ref="AE6:AE7"/>
    <mergeCell ref="J6:J7"/>
    <mergeCell ref="P6:P7"/>
    <mergeCell ref="A20:AE20"/>
    <mergeCell ref="U6:U7"/>
    <mergeCell ref="V6:V7"/>
    <mergeCell ref="W6:W7"/>
    <mergeCell ref="X6:X7"/>
    <mergeCell ref="A13:B13"/>
    <mergeCell ref="H6:H7"/>
    <mergeCell ref="S6:S7"/>
    <mergeCell ref="T6:T7"/>
    <mergeCell ref="A19:B19"/>
    <mergeCell ref="A8:B8"/>
    <mergeCell ref="Y6:Y7"/>
    <mergeCell ref="E6:E7"/>
    <mergeCell ref="F6:F7"/>
    <mergeCell ref="G6:G7"/>
    <mergeCell ref="I6:I7"/>
    <mergeCell ref="Q6:Q7"/>
    <mergeCell ref="R6:R7"/>
    <mergeCell ref="K6:K7"/>
    <mergeCell ref="L6:L7"/>
    <mergeCell ref="M6:M7"/>
    <mergeCell ref="N6:N7"/>
    <mergeCell ref="O6:O7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BASE!$F$3:$F$4</xm:f>
          </x14:formula1>
          <xm:sqref>A14:A18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R65531"/>
  <sheetViews>
    <sheetView workbookViewId="0">
      <selection activeCell="B9" sqref="B9"/>
    </sheetView>
  </sheetViews>
  <sheetFormatPr baseColWidth="10" defaultRowHeight="12.75" x14ac:dyDescent="0.2"/>
  <cols>
    <col min="1" max="1" width="11.42578125" style="5"/>
    <col min="2" max="2" width="31.140625" style="5" customWidth="1"/>
    <col min="3" max="3" width="23.5703125" style="5" customWidth="1"/>
    <col min="4" max="4" width="36.7109375" style="194" customWidth="1"/>
    <col min="5" max="5" width="12.7109375" style="194" customWidth="1"/>
    <col min="6" max="6" width="14.28515625" style="194" customWidth="1"/>
    <col min="7" max="18" width="10.7109375" style="5" customWidth="1"/>
    <col min="19" max="16384" width="11.42578125" style="5"/>
  </cols>
  <sheetData>
    <row r="2" spans="1:18" ht="18" x14ac:dyDescent="0.25">
      <c r="A2" s="1275" t="s">
        <v>670</v>
      </c>
      <c r="B2" s="1275"/>
      <c r="C2" s="1275"/>
      <c r="D2" s="1275"/>
      <c r="E2" s="1275"/>
      <c r="F2" s="1275"/>
    </row>
    <row r="3" spans="1:18" ht="18" x14ac:dyDescent="0.25">
      <c r="A3" s="1280" t="str">
        <f>+PRESUPUESTO!B2</f>
        <v>MEDICINA PREGRADO</v>
      </c>
      <c r="B3" s="1280"/>
      <c r="C3" s="1280"/>
      <c r="D3" s="1280"/>
      <c r="E3" s="1280"/>
      <c r="F3" s="1280"/>
    </row>
    <row r="4" spans="1:18" ht="17.25" customHeight="1" thickBot="1" x14ac:dyDescent="0.3">
      <c r="A4" s="1256">
        <v>2018</v>
      </c>
      <c r="B4" s="1256"/>
      <c r="C4" s="1256"/>
      <c r="D4" s="1256"/>
      <c r="E4" s="1256"/>
      <c r="F4" s="1256"/>
      <c r="G4" s="1290" t="s">
        <v>492</v>
      </c>
      <c r="H4" s="1290"/>
      <c r="I4" s="1290"/>
      <c r="J4" s="1290"/>
      <c r="K4" s="1290"/>
      <c r="L4" s="1290"/>
      <c r="M4" s="1290"/>
      <c r="N4" s="1290"/>
      <c r="O4" s="1290"/>
      <c r="P4" s="1290"/>
      <c r="Q4" s="1290"/>
      <c r="R4" s="1290"/>
    </row>
    <row r="5" spans="1:18" x14ac:dyDescent="0.2">
      <c r="A5" s="1273" t="s">
        <v>418</v>
      </c>
      <c r="B5" s="1286" t="s">
        <v>249</v>
      </c>
      <c r="C5" s="1276" t="s">
        <v>250</v>
      </c>
      <c r="D5" s="1276" t="s">
        <v>255</v>
      </c>
      <c r="E5" s="1281" t="s">
        <v>671</v>
      </c>
      <c r="F5" s="1278" t="s">
        <v>475</v>
      </c>
      <c r="G5" s="1288" t="s">
        <v>484</v>
      </c>
      <c r="H5" s="1288" t="s">
        <v>485</v>
      </c>
      <c r="I5" s="1288" t="s">
        <v>486</v>
      </c>
      <c r="J5" s="1288" t="s">
        <v>487</v>
      </c>
      <c r="K5" s="1288" t="s">
        <v>488</v>
      </c>
      <c r="L5" s="1288" t="s">
        <v>489</v>
      </c>
      <c r="M5" s="1288" t="s">
        <v>490</v>
      </c>
      <c r="N5" s="1288" t="s">
        <v>491</v>
      </c>
      <c r="O5" s="1288" t="s">
        <v>251</v>
      </c>
      <c r="P5" s="1288" t="s">
        <v>252</v>
      </c>
      <c r="Q5" s="1288" t="s">
        <v>253</v>
      </c>
      <c r="R5" s="1288" t="s">
        <v>254</v>
      </c>
    </row>
    <row r="6" spans="1:18" ht="13.5" thickBot="1" x14ac:dyDescent="0.25">
      <c r="A6" s="1274"/>
      <c r="B6" s="1287"/>
      <c r="C6" s="1277"/>
      <c r="D6" s="1277"/>
      <c r="E6" s="1282"/>
      <c r="F6" s="1279"/>
      <c r="G6" s="1289"/>
      <c r="H6" s="1289"/>
      <c r="I6" s="1289"/>
      <c r="J6" s="1289"/>
      <c r="K6" s="1289"/>
      <c r="L6" s="1289"/>
      <c r="M6" s="1289"/>
      <c r="N6" s="1289"/>
      <c r="O6" s="1289"/>
      <c r="P6" s="1289"/>
      <c r="Q6" s="1289"/>
      <c r="R6" s="1289"/>
    </row>
    <row r="7" spans="1:18" x14ac:dyDescent="0.2">
      <c r="A7" s="891"/>
      <c r="B7" s="1054" t="s">
        <v>1399</v>
      </c>
      <c r="C7" s="556"/>
      <c r="D7" s="557" t="s">
        <v>1398</v>
      </c>
      <c r="E7" s="561"/>
      <c r="F7" s="561">
        <v>21000000</v>
      </c>
      <c r="G7" s="254">
        <v>0</v>
      </c>
      <c r="H7" s="254">
        <v>0</v>
      </c>
      <c r="I7" s="254">
        <v>0</v>
      </c>
      <c r="J7" s="254">
        <v>0</v>
      </c>
      <c r="K7" s="254">
        <v>0</v>
      </c>
      <c r="L7" s="254">
        <v>0</v>
      </c>
      <c r="M7" s="254">
        <v>0</v>
      </c>
      <c r="N7" s="254">
        <v>0</v>
      </c>
      <c r="O7" s="254">
        <v>0</v>
      </c>
      <c r="P7" s="254">
        <v>0</v>
      </c>
      <c r="Q7" s="254">
        <v>0</v>
      </c>
      <c r="R7" s="254">
        <v>0</v>
      </c>
    </row>
    <row r="8" spans="1:18" x14ac:dyDescent="0.2">
      <c r="A8" s="892"/>
      <c r="B8" s="556"/>
      <c r="C8" s="556"/>
      <c r="D8" s="557"/>
      <c r="E8" s="557"/>
      <c r="F8" s="561"/>
      <c r="G8" s="253">
        <v>0</v>
      </c>
      <c r="H8" s="253">
        <v>0</v>
      </c>
      <c r="I8" s="253">
        <v>0</v>
      </c>
      <c r="J8" s="253">
        <v>0</v>
      </c>
      <c r="K8" s="253">
        <v>0</v>
      </c>
      <c r="L8" s="253">
        <v>0</v>
      </c>
      <c r="M8" s="253">
        <v>0</v>
      </c>
      <c r="N8" s="253">
        <v>0</v>
      </c>
      <c r="O8" s="253">
        <v>0</v>
      </c>
      <c r="P8" s="253">
        <v>0</v>
      </c>
      <c r="Q8" s="253">
        <v>0</v>
      </c>
      <c r="R8" s="253">
        <v>0</v>
      </c>
    </row>
    <row r="9" spans="1:18" x14ac:dyDescent="0.2">
      <c r="A9" s="892"/>
      <c r="B9" s="556" t="s">
        <v>1401</v>
      </c>
      <c r="C9" s="556" t="s">
        <v>1400</v>
      </c>
      <c r="D9" s="557" t="s">
        <v>1402</v>
      </c>
      <c r="E9" s="557"/>
      <c r="F9" s="561">
        <v>90000000</v>
      </c>
      <c r="G9" s="253">
        <v>0</v>
      </c>
      <c r="H9" s="253">
        <v>0</v>
      </c>
      <c r="I9" s="253">
        <v>0</v>
      </c>
      <c r="J9" s="253">
        <v>0</v>
      </c>
      <c r="K9" s="253">
        <v>0</v>
      </c>
      <c r="L9" s="253">
        <v>0</v>
      </c>
      <c r="M9" s="253">
        <v>0</v>
      </c>
      <c r="N9" s="253">
        <v>0</v>
      </c>
      <c r="O9" s="253">
        <v>0</v>
      </c>
      <c r="P9" s="253">
        <v>0</v>
      </c>
      <c r="Q9" s="253">
        <v>0</v>
      </c>
      <c r="R9" s="253">
        <v>0</v>
      </c>
    </row>
    <row r="10" spans="1:18" x14ac:dyDescent="0.2">
      <c r="A10" s="892"/>
      <c r="B10" s="556"/>
      <c r="C10" s="556"/>
      <c r="D10" s="557"/>
      <c r="E10" s="557"/>
      <c r="F10" s="561">
        <f t="shared" ref="F10:F40" si="0">SUM(G10:R10)</f>
        <v>0</v>
      </c>
      <c r="G10" s="253">
        <v>0</v>
      </c>
      <c r="H10" s="253">
        <v>0</v>
      </c>
      <c r="I10" s="253">
        <v>0</v>
      </c>
      <c r="J10" s="253">
        <v>0</v>
      </c>
      <c r="K10" s="253">
        <v>0</v>
      </c>
      <c r="L10" s="253">
        <v>0</v>
      </c>
      <c r="M10" s="253">
        <v>0</v>
      </c>
      <c r="N10" s="253">
        <v>0</v>
      </c>
      <c r="O10" s="253">
        <v>0</v>
      </c>
      <c r="P10" s="253">
        <v>0</v>
      </c>
      <c r="Q10" s="253">
        <v>0</v>
      </c>
      <c r="R10" s="253">
        <v>0</v>
      </c>
    </row>
    <row r="11" spans="1:18" x14ac:dyDescent="0.2">
      <c r="A11" s="892"/>
      <c r="B11" s="556"/>
      <c r="C11" s="556"/>
      <c r="D11" s="557"/>
      <c r="E11" s="557"/>
      <c r="F11" s="561">
        <f t="shared" si="0"/>
        <v>0</v>
      </c>
      <c r="G11" s="253">
        <v>0</v>
      </c>
      <c r="H11" s="253">
        <v>0</v>
      </c>
      <c r="I11" s="253">
        <v>0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  <c r="R11" s="253">
        <v>0</v>
      </c>
    </row>
    <row r="12" spans="1:18" x14ac:dyDescent="0.2">
      <c r="A12" s="892"/>
      <c r="B12" s="556"/>
      <c r="C12" s="556"/>
      <c r="D12" s="557"/>
      <c r="E12" s="557"/>
      <c r="F12" s="561">
        <f t="shared" si="0"/>
        <v>0</v>
      </c>
      <c r="G12" s="253">
        <v>0</v>
      </c>
      <c r="H12" s="253">
        <v>0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</row>
    <row r="13" spans="1:18" x14ac:dyDescent="0.2">
      <c r="A13" s="892"/>
      <c r="B13" s="556"/>
      <c r="C13" s="556"/>
      <c r="D13" s="557"/>
      <c r="E13" s="557"/>
      <c r="F13" s="561">
        <f t="shared" si="0"/>
        <v>0</v>
      </c>
      <c r="G13" s="253">
        <v>0</v>
      </c>
      <c r="H13" s="253">
        <v>0</v>
      </c>
      <c r="I13" s="253">
        <v>0</v>
      </c>
      <c r="J13" s="253">
        <v>0</v>
      </c>
      <c r="K13" s="253">
        <v>0</v>
      </c>
      <c r="L13" s="253">
        <v>0</v>
      </c>
      <c r="M13" s="253">
        <v>0</v>
      </c>
      <c r="N13" s="253">
        <v>0</v>
      </c>
      <c r="O13" s="253">
        <v>0</v>
      </c>
      <c r="P13" s="253">
        <v>0</v>
      </c>
      <c r="Q13" s="253">
        <v>0</v>
      </c>
      <c r="R13" s="253">
        <v>0</v>
      </c>
    </row>
    <row r="14" spans="1:18" x14ac:dyDescent="0.2">
      <c r="A14" s="892"/>
      <c r="B14" s="556"/>
      <c r="C14" s="556"/>
      <c r="D14" s="557"/>
      <c r="E14" s="557"/>
      <c r="F14" s="561">
        <f t="shared" si="0"/>
        <v>0</v>
      </c>
      <c r="G14" s="253">
        <v>0</v>
      </c>
      <c r="H14" s="253">
        <v>0</v>
      </c>
      <c r="I14" s="253">
        <v>0</v>
      </c>
      <c r="J14" s="253">
        <v>0</v>
      </c>
      <c r="K14" s="253">
        <v>0</v>
      </c>
      <c r="L14" s="253">
        <v>0</v>
      </c>
      <c r="M14" s="253">
        <v>0</v>
      </c>
      <c r="N14" s="253">
        <v>0</v>
      </c>
      <c r="O14" s="253">
        <v>0</v>
      </c>
      <c r="P14" s="253">
        <v>0</v>
      </c>
      <c r="Q14" s="253">
        <v>0</v>
      </c>
      <c r="R14" s="253">
        <v>0</v>
      </c>
    </row>
    <row r="15" spans="1:18" x14ac:dyDescent="0.2">
      <c r="A15" s="892"/>
      <c r="B15" s="556"/>
      <c r="C15" s="556"/>
      <c r="D15" s="557"/>
      <c r="E15" s="557"/>
      <c r="F15" s="561">
        <f t="shared" si="0"/>
        <v>0</v>
      </c>
      <c r="G15" s="253">
        <v>0</v>
      </c>
      <c r="H15" s="253">
        <v>0</v>
      </c>
      <c r="I15" s="253">
        <v>0</v>
      </c>
      <c r="J15" s="253">
        <v>0</v>
      </c>
      <c r="K15" s="253">
        <v>0</v>
      </c>
      <c r="L15" s="253">
        <v>0</v>
      </c>
      <c r="M15" s="253">
        <v>0</v>
      </c>
      <c r="N15" s="253">
        <v>0</v>
      </c>
      <c r="O15" s="253">
        <v>0</v>
      </c>
      <c r="P15" s="253">
        <v>0</v>
      </c>
      <c r="Q15" s="253">
        <v>0</v>
      </c>
      <c r="R15" s="253">
        <v>0</v>
      </c>
    </row>
    <row r="16" spans="1:18" x14ac:dyDescent="0.2">
      <c r="A16" s="892"/>
      <c r="B16" s="556"/>
      <c r="C16" s="556"/>
      <c r="D16" s="557"/>
      <c r="E16" s="557"/>
      <c r="F16" s="561">
        <f t="shared" si="0"/>
        <v>0</v>
      </c>
      <c r="G16" s="253">
        <v>0</v>
      </c>
      <c r="H16" s="253">
        <v>0</v>
      </c>
      <c r="I16" s="253">
        <v>0</v>
      </c>
      <c r="J16" s="253">
        <v>0</v>
      </c>
      <c r="K16" s="253">
        <v>0</v>
      </c>
      <c r="L16" s="253">
        <v>0</v>
      </c>
      <c r="M16" s="253">
        <v>0</v>
      </c>
      <c r="N16" s="253">
        <v>0</v>
      </c>
      <c r="O16" s="253">
        <v>0</v>
      </c>
      <c r="P16" s="253">
        <v>0</v>
      </c>
      <c r="Q16" s="253">
        <v>0</v>
      </c>
      <c r="R16" s="253">
        <v>0</v>
      </c>
    </row>
    <row r="17" spans="1:18" x14ac:dyDescent="0.2">
      <c r="A17" s="892"/>
      <c r="B17" s="556"/>
      <c r="C17" s="556"/>
      <c r="D17" s="557"/>
      <c r="E17" s="557"/>
      <c r="F17" s="561">
        <f t="shared" si="0"/>
        <v>0</v>
      </c>
      <c r="G17" s="253">
        <v>0</v>
      </c>
      <c r="H17" s="253">
        <v>0</v>
      </c>
      <c r="I17" s="253">
        <v>0</v>
      </c>
      <c r="J17" s="253">
        <v>0</v>
      </c>
      <c r="K17" s="253">
        <v>0</v>
      </c>
      <c r="L17" s="253">
        <v>0</v>
      </c>
      <c r="M17" s="253">
        <v>0</v>
      </c>
      <c r="N17" s="253">
        <v>0</v>
      </c>
      <c r="O17" s="253">
        <v>0</v>
      </c>
      <c r="P17" s="253">
        <v>0</v>
      </c>
      <c r="Q17" s="253">
        <v>0</v>
      </c>
      <c r="R17" s="253">
        <v>0</v>
      </c>
    </row>
    <row r="18" spans="1:18" x14ac:dyDescent="0.2">
      <c r="A18" s="892"/>
      <c r="B18" s="556"/>
      <c r="C18" s="556"/>
      <c r="D18" s="557"/>
      <c r="E18" s="557"/>
      <c r="F18" s="561">
        <f t="shared" si="0"/>
        <v>0</v>
      </c>
      <c r="G18" s="253">
        <v>0</v>
      </c>
      <c r="H18" s="253">
        <v>0</v>
      </c>
      <c r="I18" s="253">
        <v>0</v>
      </c>
      <c r="J18" s="253">
        <v>0</v>
      </c>
      <c r="K18" s="253">
        <v>0</v>
      </c>
      <c r="L18" s="253">
        <v>0</v>
      </c>
      <c r="M18" s="253">
        <v>0</v>
      </c>
      <c r="N18" s="253">
        <v>0</v>
      </c>
      <c r="O18" s="253">
        <v>0</v>
      </c>
      <c r="P18" s="253">
        <v>0</v>
      </c>
      <c r="Q18" s="253">
        <v>0</v>
      </c>
      <c r="R18" s="253">
        <v>0</v>
      </c>
    </row>
    <row r="19" spans="1:18" x14ac:dyDescent="0.2">
      <c r="A19" s="892"/>
      <c r="B19" s="556"/>
      <c r="C19" s="556"/>
      <c r="D19" s="557"/>
      <c r="E19" s="557"/>
      <c r="F19" s="561">
        <f t="shared" si="0"/>
        <v>0</v>
      </c>
      <c r="G19" s="253">
        <v>0</v>
      </c>
      <c r="H19" s="253">
        <v>0</v>
      </c>
      <c r="I19" s="253">
        <v>0</v>
      </c>
      <c r="J19" s="253">
        <v>0</v>
      </c>
      <c r="K19" s="253">
        <v>0</v>
      </c>
      <c r="L19" s="253">
        <v>0</v>
      </c>
      <c r="M19" s="253">
        <v>0</v>
      </c>
      <c r="N19" s="253">
        <v>0</v>
      </c>
      <c r="O19" s="253">
        <v>0</v>
      </c>
      <c r="P19" s="253">
        <v>0</v>
      </c>
      <c r="Q19" s="253">
        <v>0</v>
      </c>
      <c r="R19" s="253">
        <v>0</v>
      </c>
    </row>
    <row r="20" spans="1:18" x14ac:dyDescent="0.2">
      <c r="A20" s="892"/>
      <c r="B20" s="556"/>
      <c r="C20" s="556"/>
      <c r="D20" s="557"/>
      <c r="E20" s="557"/>
      <c r="F20" s="561">
        <f t="shared" si="0"/>
        <v>0</v>
      </c>
      <c r="G20" s="253">
        <v>0</v>
      </c>
      <c r="H20" s="253">
        <v>0</v>
      </c>
      <c r="I20" s="253">
        <v>0</v>
      </c>
      <c r="J20" s="253">
        <v>0</v>
      </c>
      <c r="K20" s="253">
        <v>0</v>
      </c>
      <c r="L20" s="253">
        <v>0</v>
      </c>
      <c r="M20" s="253">
        <v>0</v>
      </c>
      <c r="N20" s="253">
        <v>0</v>
      </c>
      <c r="O20" s="253">
        <v>0</v>
      </c>
      <c r="P20" s="253">
        <v>0</v>
      </c>
      <c r="Q20" s="253">
        <v>0</v>
      </c>
      <c r="R20" s="253">
        <v>0</v>
      </c>
    </row>
    <row r="21" spans="1:18" x14ac:dyDescent="0.2">
      <c r="A21" s="892"/>
      <c r="B21" s="556"/>
      <c r="C21" s="556"/>
      <c r="D21" s="557"/>
      <c r="E21" s="557"/>
      <c r="F21" s="561">
        <f t="shared" si="0"/>
        <v>0</v>
      </c>
      <c r="G21" s="253">
        <v>0</v>
      </c>
      <c r="H21" s="253">
        <v>0</v>
      </c>
      <c r="I21" s="253">
        <v>0</v>
      </c>
      <c r="J21" s="253">
        <v>0</v>
      </c>
      <c r="K21" s="253">
        <v>0</v>
      </c>
      <c r="L21" s="253">
        <v>0</v>
      </c>
      <c r="M21" s="253">
        <v>0</v>
      </c>
      <c r="N21" s="253">
        <v>0</v>
      </c>
      <c r="O21" s="253">
        <v>0</v>
      </c>
      <c r="P21" s="253">
        <v>0</v>
      </c>
      <c r="Q21" s="253">
        <v>0</v>
      </c>
      <c r="R21" s="253">
        <v>0</v>
      </c>
    </row>
    <row r="22" spans="1:18" x14ac:dyDescent="0.2">
      <c r="A22" s="892"/>
      <c r="B22" s="556"/>
      <c r="C22" s="556"/>
      <c r="D22" s="557"/>
      <c r="E22" s="557"/>
      <c r="F22" s="561">
        <f t="shared" si="0"/>
        <v>0</v>
      </c>
      <c r="G22" s="253">
        <v>0</v>
      </c>
      <c r="H22" s="253">
        <v>0</v>
      </c>
      <c r="I22" s="253">
        <v>0</v>
      </c>
      <c r="J22" s="253">
        <v>0</v>
      </c>
      <c r="K22" s="253">
        <v>0</v>
      </c>
      <c r="L22" s="253">
        <v>0</v>
      </c>
      <c r="M22" s="253">
        <v>0</v>
      </c>
      <c r="N22" s="253">
        <v>0</v>
      </c>
      <c r="O22" s="253">
        <v>0</v>
      </c>
      <c r="P22" s="253">
        <v>0</v>
      </c>
      <c r="Q22" s="253">
        <v>0</v>
      </c>
      <c r="R22" s="253">
        <v>0</v>
      </c>
    </row>
    <row r="23" spans="1:18" x14ac:dyDescent="0.2">
      <c r="A23" s="892"/>
      <c r="B23" s="556"/>
      <c r="C23" s="556"/>
      <c r="D23" s="557"/>
      <c r="E23" s="557"/>
      <c r="F23" s="561">
        <f t="shared" si="0"/>
        <v>0</v>
      </c>
      <c r="G23" s="253">
        <v>0</v>
      </c>
      <c r="H23" s="253">
        <v>0</v>
      </c>
      <c r="I23" s="253">
        <v>0</v>
      </c>
      <c r="J23" s="253">
        <v>0</v>
      </c>
      <c r="K23" s="253">
        <v>0</v>
      </c>
      <c r="L23" s="253">
        <v>0</v>
      </c>
      <c r="M23" s="253">
        <v>0</v>
      </c>
      <c r="N23" s="253">
        <v>0</v>
      </c>
      <c r="O23" s="253">
        <v>0</v>
      </c>
      <c r="P23" s="253">
        <v>0</v>
      </c>
      <c r="Q23" s="253">
        <v>0</v>
      </c>
      <c r="R23" s="253">
        <v>0</v>
      </c>
    </row>
    <row r="24" spans="1:18" x14ac:dyDescent="0.2">
      <c r="A24" s="892"/>
      <c r="B24" s="556"/>
      <c r="C24" s="556"/>
      <c r="D24" s="557"/>
      <c r="E24" s="557"/>
      <c r="F24" s="561">
        <f t="shared" si="0"/>
        <v>0</v>
      </c>
      <c r="G24" s="253">
        <v>0</v>
      </c>
      <c r="H24" s="253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</row>
    <row r="25" spans="1:18" x14ac:dyDescent="0.2">
      <c r="A25" s="892"/>
      <c r="B25" s="556"/>
      <c r="C25" s="556"/>
      <c r="D25" s="557"/>
      <c r="E25" s="557"/>
      <c r="F25" s="561">
        <f t="shared" si="0"/>
        <v>0</v>
      </c>
      <c r="G25" s="253">
        <v>0</v>
      </c>
      <c r="H25" s="253">
        <v>0</v>
      </c>
      <c r="I25" s="253">
        <v>0</v>
      </c>
      <c r="J25" s="253">
        <v>0</v>
      </c>
      <c r="K25" s="253">
        <v>0</v>
      </c>
      <c r="L25" s="253">
        <v>0</v>
      </c>
      <c r="M25" s="253">
        <v>0</v>
      </c>
      <c r="N25" s="253">
        <v>0</v>
      </c>
      <c r="O25" s="253">
        <v>0</v>
      </c>
      <c r="P25" s="253">
        <v>0</v>
      </c>
      <c r="Q25" s="253">
        <v>0</v>
      </c>
      <c r="R25" s="253">
        <v>0</v>
      </c>
    </row>
    <row r="26" spans="1:18" x14ac:dyDescent="0.2">
      <c r="A26" s="892"/>
      <c r="B26" s="556"/>
      <c r="C26" s="556"/>
      <c r="D26" s="557"/>
      <c r="E26" s="557"/>
      <c r="F26" s="561">
        <f t="shared" si="0"/>
        <v>0</v>
      </c>
      <c r="G26" s="253">
        <v>0</v>
      </c>
      <c r="H26" s="253">
        <v>0</v>
      </c>
      <c r="I26" s="253">
        <v>0</v>
      </c>
      <c r="J26" s="253">
        <v>0</v>
      </c>
      <c r="K26" s="253">
        <v>0</v>
      </c>
      <c r="L26" s="253">
        <v>0</v>
      </c>
      <c r="M26" s="253">
        <v>0</v>
      </c>
      <c r="N26" s="253">
        <v>0</v>
      </c>
      <c r="O26" s="253">
        <v>0</v>
      </c>
      <c r="P26" s="253">
        <v>0</v>
      </c>
      <c r="Q26" s="253">
        <v>0</v>
      </c>
      <c r="R26" s="253">
        <v>0</v>
      </c>
    </row>
    <row r="27" spans="1:18" x14ac:dyDescent="0.2">
      <c r="A27" s="892"/>
      <c r="B27" s="556"/>
      <c r="C27" s="556"/>
      <c r="D27" s="557"/>
      <c r="E27" s="557"/>
      <c r="F27" s="561">
        <f t="shared" si="0"/>
        <v>0</v>
      </c>
      <c r="G27" s="253">
        <v>0</v>
      </c>
      <c r="H27" s="253">
        <v>0</v>
      </c>
      <c r="I27" s="253">
        <v>0</v>
      </c>
      <c r="J27" s="253">
        <v>0</v>
      </c>
      <c r="K27" s="253">
        <v>0</v>
      </c>
      <c r="L27" s="253">
        <v>0</v>
      </c>
      <c r="M27" s="253">
        <v>0</v>
      </c>
      <c r="N27" s="253">
        <v>0</v>
      </c>
      <c r="O27" s="253">
        <v>0</v>
      </c>
      <c r="P27" s="253">
        <v>0</v>
      </c>
      <c r="Q27" s="253">
        <v>0</v>
      </c>
      <c r="R27" s="253">
        <v>0</v>
      </c>
    </row>
    <row r="28" spans="1:18" x14ac:dyDescent="0.2">
      <c r="A28" s="892"/>
      <c r="B28" s="556"/>
      <c r="C28" s="556"/>
      <c r="D28" s="557"/>
      <c r="E28" s="557"/>
      <c r="F28" s="561">
        <f t="shared" si="0"/>
        <v>0</v>
      </c>
      <c r="G28" s="253">
        <v>0</v>
      </c>
      <c r="H28" s="253">
        <v>0</v>
      </c>
      <c r="I28" s="253">
        <v>0</v>
      </c>
      <c r="J28" s="253">
        <v>0</v>
      </c>
      <c r="K28" s="253">
        <v>0</v>
      </c>
      <c r="L28" s="253">
        <v>0</v>
      </c>
      <c r="M28" s="253">
        <v>0</v>
      </c>
      <c r="N28" s="253">
        <v>0</v>
      </c>
      <c r="O28" s="253">
        <v>0</v>
      </c>
      <c r="P28" s="253">
        <v>0</v>
      </c>
      <c r="Q28" s="253">
        <v>0</v>
      </c>
      <c r="R28" s="253">
        <v>0</v>
      </c>
    </row>
    <row r="29" spans="1:18" x14ac:dyDescent="0.2">
      <c r="A29" s="892"/>
      <c r="B29" s="556"/>
      <c r="C29" s="556"/>
      <c r="D29" s="557"/>
      <c r="E29" s="557"/>
      <c r="F29" s="561">
        <f t="shared" si="0"/>
        <v>0</v>
      </c>
      <c r="G29" s="253">
        <v>0</v>
      </c>
      <c r="H29" s="253">
        <v>0</v>
      </c>
      <c r="I29" s="253">
        <v>0</v>
      </c>
      <c r="J29" s="253">
        <v>0</v>
      </c>
      <c r="K29" s="253">
        <v>0</v>
      </c>
      <c r="L29" s="253">
        <v>0</v>
      </c>
      <c r="M29" s="253">
        <v>0</v>
      </c>
      <c r="N29" s="253">
        <v>0</v>
      </c>
      <c r="O29" s="253">
        <v>0</v>
      </c>
      <c r="P29" s="253">
        <v>0</v>
      </c>
      <c r="Q29" s="253">
        <v>0</v>
      </c>
      <c r="R29" s="253">
        <v>0</v>
      </c>
    </row>
    <row r="30" spans="1:18" x14ac:dyDescent="0.2">
      <c r="A30" s="892"/>
      <c r="B30" s="556"/>
      <c r="C30" s="556"/>
      <c r="D30" s="557"/>
      <c r="E30" s="557"/>
      <c r="F30" s="561">
        <f t="shared" si="0"/>
        <v>0</v>
      </c>
      <c r="G30" s="253">
        <v>0</v>
      </c>
      <c r="H30" s="253">
        <v>0</v>
      </c>
      <c r="I30" s="253">
        <v>0</v>
      </c>
      <c r="J30" s="253">
        <v>0</v>
      </c>
      <c r="K30" s="253">
        <v>0</v>
      </c>
      <c r="L30" s="253">
        <v>0</v>
      </c>
      <c r="M30" s="253">
        <v>0</v>
      </c>
      <c r="N30" s="253">
        <v>0</v>
      </c>
      <c r="O30" s="253">
        <v>0</v>
      </c>
      <c r="P30" s="253">
        <v>0</v>
      </c>
      <c r="Q30" s="253">
        <v>0</v>
      </c>
      <c r="R30" s="253">
        <v>0</v>
      </c>
    </row>
    <row r="31" spans="1:18" x14ac:dyDescent="0.2">
      <c r="A31" s="892"/>
      <c r="B31" s="556"/>
      <c r="C31" s="556"/>
      <c r="D31" s="557"/>
      <c r="E31" s="557"/>
      <c r="F31" s="561">
        <f t="shared" si="0"/>
        <v>0</v>
      </c>
      <c r="G31" s="253">
        <v>0</v>
      </c>
      <c r="H31" s="253">
        <v>0</v>
      </c>
      <c r="I31" s="253">
        <v>0</v>
      </c>
      <c r="J31" s="253">
        <v>0</v>
      </c>
      <c r="K31" s="253">
        <v>0</v>
      </c>
      <c r="L31" s="253">
        <v>0</v>
      </c>
      <c r="M31" s="253">
        <v>0</v>
      </c>
      <c r="N31" s="253">
        <v>0</v>
      </c>
      <c r="O31" s="253">
        <v>0</v>
      </c>
      <c r="P31" s="253">
        <v>0</v>
      </c>
      <c r="Q31" s="253">
        <v>0</v>
      </c>
      <c r="R31" s="253">
        <v>0</v>
      </c>
    </row>
    <row r="32" spans="1:18" x14ac:dyDescent="0.2">
      <c r="A32" s="892"/>
      <c r="B32" s="556"/>
      <c r="C32" s="556"/>
      <c r="D32" s="557"/>
      <c r="E32" s="557"/>
      <c r="F32" s="561">
        <f t="shared" si="0"/>
        <v>0</v>
      </c>
      <c r="G32" s="253">
        <v>0</v>
      </c>
      <c r="H32" s="253">
        <v>0</v>
      </c>
      <c r="I32" s="253">
        <v>0</v>
      </c>
      <c r="J32" s="253">
        <v>0</v>
      </c>
      <c r="K32" s="253">
        <v>0</v>
      </c>
      <c r="L32" s="253">
        <v>0</v>
      </c>
      <c r="M32" s="253">
        <v>0</v>
      </c>
      <c r="N32" s="253">
        <v>0</v>
      </c>
      <c r="O32" s="253">
        <v>0</v>
      </c>
      <c r="P32" s="253">
        <v>0</v>
      </c>
      <c r="Q32" s="253">
        <v>0</v>
      </c>
      <c r="R32" s="253">
        <v>0</v>
      </c>
    </row>
    <row r="33" spans="1:18" x14ac:dyDescent="0.2">
      <c r="A33" s="892"/>
      <c r="B33" s="556"/>
      <c r="C33" s="556"/>
      <c r="D33" s="557"/>
      <c r="E33" s="557"/>
      <c r="F33" s="561">
        <f t="shared" si="0"/>
        <v>0</v>
      </c>
      <c r="G33" s="253">
        <v>0</v>
      </c>
      <c r="H33" s="253">
        <v>0</v>
      </c>
      <c r="I33" s="253">
        <v>0</v>
      </c>
      <c r="J33" s="253">
        <v>0</v>
      </c>
      <c r="K33" s="253">
        <v>0</v>
      </c>
      <c r="L33" s="253">
        <v>0</v>
      </c>
      <c r="M33" s="253">
        <v>0</v>
      </c>
      <c r="N33" s="253">
        <v>0</v>
      </c>
      <c r="O33" s="253">
        <v>0</v>
      </c>
      <c r="P33" s="253">
        <v>0</v>
      </c>
      <c r="Q33" s="253">
        <v>0</v>
      </c>
      <c r="R33" s="253">
        <v>0</v>
      </c>
    </row>
    <row r="34" spans="1:18" x14ac:dyDescent="0.2">
      <c r="A34" s="892"/>
      <c r="B34" s="556"/>
      <c r="C34" s="556"/>
      <c r="D34" s="557"/>
      <c r="E34" s="557"/>
      <c r="F34" s="561">
        <f t="shared" si="0"/>
        <v>0</v>
      </c>
      <c r="G34" s="253">
        <v>0</v>
      </c>
      <c r="H34" s="253">
        <v>0</v>
      </c>
      <c r="I34" s="253">
        <v>0</v>
      </c>
      <c r="J34" s="253">
        <v>0</v>
      </c>
      <c r="K34" s="253">
        <v>0</v>
      </c>
      <c r="L34" s="253">
        <v>0</v>
      </c>
      <c r="M34" s="253">
        <v>0</v>
      </c>
      <c r="N34" s="253">
        <v>0</v>
      </c>
      <c r="O34" s="253">
        <v>0</v>
      </c>
      <c r="P34" s="253">
        <v>0</v>
      </c>
      <c r="Q34" s="253">
        <v>0</v>
      </c>
      <c r="R34" s="253">
        <v>0</v>
      </c>
    </row>
    <row r="35" spans="1:18" x14ac:dyDescent="0.2">
      <c r="A35" s="892"/>
      <c r="B35" s="556"/>
      <c r="C35" s="556"/>
      <c r="D35" s="557"/>
      <c r="E35" s="557"/>
      <c r="F35" s="561">
        <f t="shared" si="0"/>
        <v>0</v>
      </c>
      <c r="G35" s="253">
        <v>0</v>
      </c>
      <c r="H35" s="253">
        <v>0</v>
      </c>
      <c r="I35" s="253">
        <v>0</v>
      </c>
      <c r="J35" s="253">
        <v>0</v>
      </c>
      <c r="K35" s="253">
        <v>0</v>
      </c>
      <c r="L35" s="253">
        <v>0</v>
      </c>
      <c r="M35" s="253">
        <v>0</v>
      </c>
      <c r="N35" s="253">
        <v>0</v>
      </c>
      <c r="O35" s="253">
        <v>0</v>
      </c>
      <c r="P35" s="253">
        <v>0</v>
      </c>
      <c r="Q35" s="253">
        <v>0</v>
      </c>
      <c r="R35" s="253">
        <v>0</v>
      </c>
    </row>
    <row r="36" spans="1:18" x14ac:dyDescent="0.2">
      <c r="A36" s="892"/>
      <c r="B36" s="556"/>
      <c r="C36" s="556"/>
      <c r="D36" s="557"/>
      <c r="E36" s="557"/>
      <c r="F36" s="561">
        <f t="shared" si="0"/>
        <v>0</v>
      </c>
      <c r="G36" s="253">
        <v>0</v>
      </c>
      <c r="H36" s="253">
        <v>0</v>
      </c>
      <c r="I36" s="253">
        <v>0</v>
      </c>
      <c r="J36" s="253">
        <v>0</v>
      </c>
      <c r="K36" s="253">
        <v>0</v>
      </c>
      <c r="L36" s="253">
        <v>0</v>
      </c>
      <c r="M36" s="253">
        <v>0</v>
      </c>
      <c r="N36" s="253">
        <v>0</v>
      </c>
      <c r="O36" s="253">
        <v>0</v>
      </c>
      <c r="P36" s="253">
        <v>0</v>
      </c>
      <c r="Q36" s="253">
        <v>0</v>
      </c>
      <c r="R36" s="253">
        <v>0</v>
      </c>
    </row>
    <row r="37" spans="1:18" x14ac:dyDescent="0.2">
      <c r="A37" s="892"/>
      <c r="B37" s="556"/>
      <c r="C37" s="556"/>
      <c r="D37" s="557"/>
      <c r="E37" s="557"/>
      <c r="F37" s="561">
        <f t="shared" si="0"/>
        <v>0</v>
      </c>
      <c r="G37" s="253">
        <v>0</v>
      </c>
      <c r="H37" s="253">
        <v>0</v>
      </c>
      <c r="I37" s="253">
        <v>0</v>
      </c>
      <c r="J37" s="253">
        <v>0</v>
      </c>
      <c r="K37" s="253">
        <v>0</v>
      </c>
      <c r="L37" s="253">
        <v>0</v>
      </c>
      <c r="M37" s="253">
        <v>0</v>
      </c>
      <c r="N37" s="253">
        <v>0</v>
      </c>
      <c r="O37" s="253">
        <v>0</v>
      </c>
      <c r="P37" s="253">
        <v>0</v>
      </c>
      <c r="Q37" s="253">
        <v>0</v>
      </c>
      <c r="R37" s="253">
        <v>0</v>
      </c>
    </row>
    <row r="38" spans="1:18" x14ac:dyDescent="0.2">
      <c r="A38" s="892"/>
      <c r="B38" s="556"/>
      <c r="C38" s="556"/>
      <c r="D38" s="557"/>
      <c r="E38" s="557"/>
      <c r="F38" s="561">
        <f t="shared" si="0"/>
        <v>0</v>
      </c>
      <c r="G38" s="253">
        <v>0</v>
      </c>
      <c r="H38" s="253">
        <v>0</v>
      </c>
      <c r="I38" s="253">
        <v>0</v>
      </c>
      <c r="J38" s="253">
        <v>0</v>
      </c>
      <c r="K38" s="253">
        <v>0</v>
      </c>
      <c r="L38" s="253">
        <v>0</v>
      </c>
      <c r="M38" s="253">
        <v>0</v>
      </c>
      <c r="N38" s="253">
        <v>0</v>
      </c>
      <c r="O38" s="253">
        <v>0</v>
      </c>
      <c r="P38" s="253">
        <v>0</v>
      </c>
      <c r="Q38" s="253">
        <v>0</v>
      </c>
      <c r="R38" s="253">
        <v>0</v>
      </c>
    </row>
    <row r="39" spans="1:18" x14ac:dyDescent="0.2">
      <c r="A39" s="892"/>
      <c r="B39" s="556"/>
      <c r="C39" s="556"/>
      <c r="D39" s="557"/>
      <c r="E39" s="557"/>
      <c r="F39" s="561">
        <f t="shared" si="0"/>
        <v>0</v>
      </c>
      <c r="G39" s="253">
        <v>0</v>
      </c>
      <c r="H39" s="253">
        <v>0</v>
      </c>
      <c r="I39" s="253">
        <v>0</v>
      </c>
      <c r="J39" s="253">
        <v>0</v>
      </c>
      <c r="K39" s="253">
        <v>0</v>
      </c>
      <c r="L39" s="253">
        <v>0</v>
      </c>
      <c r="M39" s="253">
        <v>0</v>
      </c>
      <c r="N39" s="253">
        <v>0</v>
      </c>
      <c r="O39" s="253">
        <v>0</v>
      </c>
      <c r="P39" s="253">
        <v>0</v>
      </c>
      <c r="Q39" s="253">
        <v>0</v>
      </c>
      <c r="R39" s="253">
        <v>0</v>
      </c>
    </row>
    <row r="40" spans="1:18" ht="13.5" thickBot="1" x14ac:dyDescent="0.25">
      <c r="A40" s="893"/>
      <c r="B40" s="894"/>
      <c r="C40" s="894"/>
      <c r="D40" s="895"/>
      <c r="E40" s="895"/>
      <c r="F40" s="561">
        <f t="shared" si="0"/>
        <v>0</v>
      </c>
      <c r="G40" s="253">
        <v>0</v>
      </c>
      <c r="H40" s="253">
        <v>0</v>
      </c>
      <c r="I40" s="253">
        <v>0</v>
      </c>
      <c r="J40" s="253">
        <v>0</v>
      </c>
      <c r="K40" s="253">
        <v>0</v>
      </c>
      <c r="L40" s="253">
        <v>0</v>
      </c>
      <c r="M40" s="253">
        <v>0</v>
      </c>
      <c r="N40" s="253">
        <v>0</v>
      </c>
      <c r="O40" s="253">
        <v>0</v>
      </c>
      <c r="P40" s="253">
        <v>0</v>
      </c>
      <c r="Q40" s="253">
        <v>0</v>
      </c>
      <c r="R40" s="253">
        <v>0</v>
      </c>
    </row>
    <row r="41" spans="1:18" ht="13.5" thickBot="1" x14ac:dyDescent="0.25">
      <c r="A41" s="889">
        <v>5165951000</v>
      </c>
      <c r="B41" s="1283" t="s">
        <v>167</v>
      </c>
      <c r="C41" s="1284"/>
      <c r="D41" s="1285"/>
      <c r="E41" s="890"/>
      <c r="F41" s="195">
        <f>SUM(F7:F40)</f>
        <v>111000000</v>
      </c>
      <c r="G41" s="278">
        <f>SUM(G7:G40)</f>
        <v>0</v>
      </c>
      <c r="H41" s="278">
        <f t="shared" ref="H41:R41" si="1">SUM(H7:H40)</f>
        <v>0</v>
      </c>
      <c r="I41" s="278">
        <f t="shared" si="1"/>
        <v>0</v>
      </c>
      <c r="J41" s="278">
        <f t="shared" si="1"/>
        <v>0</v>
      </c>
      <c r="K41" s="278">
        <f t="shared" si="1"/>
        <v>0</v>
      </c>
      <c r="L41" s="278">
        <f t="shared" si="1"/>
        <v>0</v>
      </c>
      <c r="M41" s="278">
        <f t="shared" si="1"/>
        <v>0</v>
      </c>
      <c r="N41" s="278">
        <f t="shared" si="1"/>
        <v>0</v>
      </c>
      <c r="O41" s="278">
        <f t="shared" si="1"/>
        <v>0</v>
      </c>
      <c r="P41" s="278">
        <f t="shared" si="1"/>
        <v>0</v>
      </c>
      <c r="Q41" s="278">
        <f t="shared" si="1"/>
        <v>0</v>
      </c>
      <c r="R41" s="278">
        <f t="shared" si="1"/>
        <v>0</v>
      </c>
    </row>
    <row r="43" spans="1:18" x14ac:dyDescent="0.2">
      <c r="A43" s="883" t="s">
        <v>669</v>
      </c>
      <c r="B43" s="884"/>
      <c r="C43" s="884"/>
      <c r="D43" s="884"/>
      <c r="E43" s="884"/>
      <c r="F43" s="885"/>
      <c r="G43" s="884"/>
      <c r="H43" s="884"/>
    </row>
    <row r="65531" spans="7:7" x14ac:dyDescent="0.2">
      <c r="G65531" s="6">
        <v>0</v>
      </c>
    </row>
  </sheetData>
  <mergeCells count="23">
    <mergeCell ref="G4:R4"/>
    <mergeCell ref="O5:O6"/>
    <mergeCell ref="Q5:Q6"/>
    <mergeCell ref="P5:P6"/>
    <mergeCell ref="M5:M6"/>
    <mergeCell ref="R5:R6"/>
    <mergeCell ref="N5:N6"/>
    <mergeCell ref="I5:I6"/>
    <mergeCell ref="H5:H6"/>
    <mergeCell ref="L5:L6"/>
    <mergeCell ref="J5:J6"/>
    <mergeCell ref="B41:D41"/>
    <mergeCell ref="B5:B6"/>
    <mergeCell ref="C5:C6"/>
    <mergeCell ref="K5:K6"/>
    <mergeCell ref="G5:G6"/>
    <mergeCell ref="A2:F2"/>
    <mergeCell ref="A4:F4"/>
    <mergeCell ref="D5:D6"/>
    <mergeCell ref="F5:F6"/>
    <mergeCell ref="A3:F3"/>
    <mergeCell ref="A5:A6"/>
    <mergeCell ref="E5:E6"/>
  </mergeCells>
  <phoneticPr fontId="27" type="noConversion"/>
  <pageMargins left="0.16" right="0.16" top="1" bottom="1" header="0" footer="0"/>
  <pageSetup paperSize="9" scale="70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BASE!$F$3:$F$4</xm:f>
          </x14:formula1>
          <xm:sqref>A7:A40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348"/>
  <sheetViews>
    <sheetView showGridLines="0" tabSelected="1" zoomScaleNormal="100" workbookViewId="0">
      <pane xSplit="1" ySplit="5" topLeftCell="B6" activePane="bottomRight" state="frozen"/>
      <selection activeCell="K44" sqref="K44"/>
      <selection pane="topRight" activeCell="K44" sqref="K44"/>
      <selection pane="bottomLeft" activeCell="K44" sqref="K44"/>
      <selection pane="bottomRight" activeCell="G141" sqref="G141"/>
    </sheetView>
  </sheetViews>
  <sheetFormatPr baseColWidth="10" defaultRowHeight="16.5" customHeight="1" outlineLevelRow="1" x14ac:dyDescent="0.2"/>
  <cols>
    <col min="1" max="1" width="0.85546875" style="196" customWidth="1"/>
    <col min="2" max="2" width="41.5703125" style="223" bestFit="1" customWidth="1"/>
    <col min="3" max="3" width="15.7109375" style="224" customWidth="1"/>
    <col min="4" max="4" width="12.7109375" style="224" hidden="1" customWidth="1"/>
    <col min="5" max="5" width="12.7109375" style="224" customWidth="1"/>
    <col min="6" max="6" width="7.28515625" style="224" customWidth="1"/>
    <col min="7" max="7" width="16.140625" style="224" customWidth="1"/>
    <col min="8" max="8" width="6.85546875" style="222" hidden="1" customWidth="1"/>
    <col min="9" max="9" width="7.28515625" style="224" customWidth="1"/>
    <col min="10" max="10" width="57.140625" style="542" customWidth="1"/>
    <col min="11" max="13" width="0" style="196" hidden="1" customWidth="1"/>
    <col min="14" max="15" width="14" style="196" bestFit="1" customWidth="1"/>
    <col min="16" max="16384" width="11.42578125" style="196"/>
  </cols>
  <sheetData>
    <row r="1" spans="1:15" ht="57" customHeight="1" thickBot="1" x14ac:dyDescent="0.3">
      <c r="B1" s="545"/>
      <c r="C1" s="1076" t="s">
        <v>853</v>
      </c>
      <c r="D1" s="1076"/>
      <c r="E1" s="1076"/>
      <c r="F1" s="1076"/>
      <c r="G1" s="1076"/>
      <c r="H1" s="545"/>
    </row>
    <row r="2" spans="1:15" ht="18" customHeight="1" thickBot="1" x14ac:dyDescent="0.3">
      <c r="B2" s="1081" t="s">
        <v>881</v>
      </c>
      <c r="C2" s="1081"/>
      <c r="D2" s="1081"/>
      <c r="E2" s="1081"/>
      <c r="F2" s="1081"/>
      <c r="G2" s="1081"/>
      <c r="H2" s="1081"/>
      <c r="N2" s="613">
        <v>1.05</v>
      </c>
      <c r="O2" s="614">
        <v>1.05</v>
      </c>
    </row>
    <row r="3" spans="1:15" ht="12.75" customHeight="1" thickBot="1" x14ac:dyDescent="0.25">
      <c r="A3" s="197"/>
      <c r="B3" s="198" t="s">
        <v>432</v>
      </c>
      <c r="C3" s="198"/>
      <c r="D3" s="198"/>
      <c r="E3" s="198"/>
      <c r="G3" s="199" t="s">
        <v>169</v>
      </c>
      <c r="H3" s="200"/>
    </row>
    <row r="4" spans="1:15" s="201" customFormat="1" ht="13.5" customHeight="1" x14ac:dyDescent="0.2">
      <c r="B4" s="1082" t="s">
        <v>230</v>
      </c>
      <c r="C4" s="1084" t="s">
        <v>879</v>
      </c>
      <c r="D4" s="1084" t="s">
        <v>878</v>
      </c>
      <c r="E4" s="1084" t="s">
        <v>880</v>
      </c>
      <c r="F4" s="1079" t="s">
        <v>660</v>
      </c>
      <c r="G4" s="1079" t="s">
        <v>853</v>
      </c>
      <c r="H4" s="1086" t="s">
        <v>431</v>
      </c>
      <c r="I4" s="1079" t="s">
        <v>530</v>
      </c>
      <c r="J4" s="1077" t="s">
        <v>657</v>
      </c>
      <c r="K4" s="1078"/>
      <c r="L4" s="1078"/>
      <c r="M4" s="1078"/>
    </row>
    <row r="5" spans="1:15" ht="13.5" customHeight="1" thickBot="1" x14ac:dyDescent="0.25">
      <c r="B5" s="1083"/>
      <c r="C5" s="1085"/>
      <c r="D5" s="1085"/>
      <c r="E5" s="1085"/>
      <c r="F5" s="1080"/>
      <c r="G5" s="1080"/>
      <c r="H5" s="1087"/>
      <c r="I5" s="1080"/>
      <c r="J5" s="1077"/>
      <c r="K5" s="1078"/>
      <c r="L5" s="1078"/>
      <c r="M5" s="1078"/>
    </row>
    <row r="6" spans="1:15" customFormat="1" ht="12.75" x14ac:dyDescent="0.2">
      <c r="A6" s="2"/>
      <c r="B6" s="202" t="s">
        <v>0</v>
      </c>
      <c r="C6" s="203"/>
      <c r="D6" s="203"/>
      <c r="E6" s="203"/>
      <c r="F6" s="322"/>
      <c r="G6" s="203"/>
      <c r="H6" s="204"/>
      <c r="I6" s="322"/>
      <c r="J6" s="543"/>
      <c r="K6" s="524"/>
      <c r="L6" s="524"/>
      <c r="M6" s="524"/>
    </row>
    <row r="7" spans="1:15" customFormat="1" ht="12.75" hidden="1" outlineLevel="1" x14ac:dyDescent="0.2">
      <c r="A7" s="2"/>
      <c r="B7" s="206" t="s">
        <v>291</v>
      </c>
      <c r="C7" s="203"/>
      <c r="D7" s="203"/>
      <c r="E7" s="203"/>
      <c r="F7" s="322"/>
      <c r="G7" s="203"/>
      <c r="H7" s="204"/>
      <c r="I7" s="322"/>
      <c r="J7" s="543"/>
      <c r="K7" s="524"/>
      <c r="L7" s="524"/>
      <c r="M7" s="524"/>
    </row>
    <row r="8" spans="1:15" customFormat="1" ht="13.5" hidden="1" customHeight="1" outlineLevel="1" x14ac:dyDescent="0.2">
      <c r="A8" s="176">
        <v>4160050100</v>
      </c>
      <c r="B8" s="207" t="s">
        <v>1</v>
      </c>
      <c r="C8" s="205">
        <f>IFERROR(VLOOKUP(A:A,'PPTO 2017'!A:E,3,0),0)</f>
        <v>35378126.171746016</v>
      </c>
      <c r="D8" s="205">
        <f>IFERROR(VLOOKUP(A:A,EJEC!A:G,5,0),0)</f>
        <v>24138029.028999999</v>
      </c>
      <c r="E8" s="205">
        <v>35992511</v>
      </c>
      <c r="F8" s="322">
        <f>IF(E8=0,"",IF(C8=0,"",(E8/C8)))</f>
        <v>1.0173662343017096</v>
      </c>
      <c r="G8" s="226">
        <f>(+MAT.!I37+MAT.!I53)/1000</f>
        <v>38236196.409999996</v>
      </c>
      <c r="H8" s="204">
        <f>(+G8/E8)-1</f>
        <v>6.2337562666855861E-2</v>
      </c>
      <c r="I8" s="322">
        <f>IF(G8=0,"",IF(E8=0,"",(G8/E8)-1))</f>
        <v>6.2337562666855861E-2</v>
      </c>
      <c r="J8" s="543"/>
      <c r="K8" s="524"/>
      <c r="L8" s="524"/>
      <c r="M8" s="524"/>
    </row>
    <row r="9" spans="1:15" customFormat="1" ht="13.5" hidden="1" customHeight="1" outlineLevel="1" x14ac:dyDescent="0.2">
      <c r="A9" s="610">
        <v>4160050200</v>
      </c>
      <c r="B9" s="207" t="s">
        <v>769</v>
      </c>
      <c r="C9" s="205">
        <f>IFERROR(VLOOKUP(A:A,'PPTO 2017'!A:E,3,0),0)</f>
        <v>0</v>
      </c>
      <c r="D9" s="205">
        <f>IFERROR(VLOOKUP(A:A,EJEC!A:G,5,0),0)</f>
        <v>-22</v>
      </c>
      <c r="E9" s="205">
        <v>0</v>
      </c>
      <c r="F9" s="322" t="str">
        <f t="shared" ref="F9" si="0">IF(E9=0,"",IF(C9=0,"",(E9/C9)))</f>
        <v/>
      </c>
      <c r="G9" s="607">
        <f>+E9*$N$2</f>
        <v>0</v>
      </c>
      <c r="H9" s="204" t="e">
        <f>(+G9/E9)-1</f>
        <v>#DIV/0!</v>
      </c>
      <c r="I9" s="322" t="str">
        <f t="shared" ref="I9" si="1">IF(G9=0,"",IF(E9=0,"",(G9/E9)-1))</f>
        <v/>
      </c>
      <c r="J9" s="543"/>
      <c r="K9" s="524"/>
      <c r="L9" s="524"/>
      <c r="M9" s="524"/>
    </row>
    <row r="10" spans="1:15" customFormat="1" ht="12.75" hidden="1" outlineLevel="1" x14ac:dyDescent="0.2">
      <c r="A10" s="3">
        <v>4160050300</v>
      </c>
      <c r="B10" s="207" t="s">
        <v>3</v>
      </c>
      <c r="C10" s="205">
        <f>IFERROR(VLOOKUP(A:A,'PPTO 2017'!A:E,3,0),0)</f>
        <v>143405.68000000002</v>
      </c>
      <c r="D10" s="205">
        <f>IFERROR(VLOOKUP(A:A,EJEC!A:G,5,0),0)</f>
        <v>56910</v>
      </c>
      <c r="E10" s="205">
        <v>113000</v>
      </c>
      <c r="F10" s="322">
        <f t="shared" ref="F10:F79" si="2">IF(E10=0,"",IF(C10=0,"",(E10/C10)))</f>
        <v>0.78797436754248495</v>
      </c>
      <c r="G10" s="225">
        <v>137205</v>
      </c>
      <c r="H10" s="204">
        <f>(+G10/E10)-1</f>
        <v>0.21420353982300888</v>
      </c>
      <c r="I10" s="322">
        <f t="shared" ref="I10:I77" si="3">IF(G10=0,"",IF(E10=0,"",(G10/E10)-1))</f>
        <v>0.21420353982300888</v>
      </c>
      <c r="J10" s="543"/>
      <c r="K10" s="524"/>
      <c r="L10" s="524"/>
      <c r="M10" s="524"/>
    </row>
    <row r="11" spans="1:15" customFormat="1" ht="12.75" hidden="1" outlineLevel="1" x14ac:dyDescent="0.2">
      <c r="A11" s="608">
        <v>4160050500</v>
      </c>
      <c r="B11" s="207" t="s">
        <v>741</v>
      </c>
      <c r="C11" s="205">
        <f>IFERROR(VLOOKUP(A:A,'PPTO 2017'!A:E,3,0),0)</f>
        <v>0</v>
      </c>
      <c r="D11" s="205">
        <f>IFERROR(VLOOKUP(A:A,EJEC!A:G,5,0),0)</f>
        <v>0</v>
      </c>
      <c r="E11" s="205">
        <v>0</v>
      </c>
      <c r="F11" s="322" t="str">
        <f t="shared" si="2"/>
        <v/>
      </c>
      <c r="G11" s="225">
        <f t="shared" ref="G11:G28" si="4">+E11*$N$2</f>
        <v>0</v>
      </c>
      <c r="H11" s="204"/>
      <c r="I11" s="322" t="str">
        <f t="shared" si="3"/>
        <v/>
      </c>
      <c r="J11" s="543"/>
      <c r="K11" s="524"/>
      <c r="L11" s="524"/>
      <c r="M11" s="524"/>
    </row>
    <row r="12" spans="1:15" customFormat="1" ht="12.75" hidden="1" outlineLevel="1" x14ac:dyDescent="0.2">
      <c r="A12" s="3">
        <v>4160050600</v>
      </c>
      <c r="B12" s="207" t="s">
        <v>4</v>
      </c>
      <c r="C12" s="205">
        <f>IFERROR(VLOOKUP(A:A,'PPTO 2017'!A:E,3,0),0)</f>
        <v>46770.770000000004</v>
      </c>
      <c r="D12" s="205">
        <f>IFERROR(VLOOKUP(A:A,EJEC!A:G,5,0),0)</f>
        <v>24631.8</v>
      </c>
      <c r="E12" s="205">
        <v>24632</v>
      </c>
      <c r="F12" s="322">
        <f t="shared" si="2"/>
        <v>0.52665371983399034</v>
      </c>
      <c r="G12" s="225">
        <f t="shared" si="4"/>
        <v>25863.600000000002</v>
      </c>
      <c r="H12" s="204">
        <f>(+G12/E12)-1</f>
        <v>5.0000000000000044E-2</v>
      </c>
      <c r="I12" s="322">
        <f t="shared" si="3"/>
        <v>5.0000000000000044E-2</v>
      </c>
      <c r="J12" s="543"/>
      <c r="K12" s="524"/>
      <c r="L12" s="524"/>
      <c r="M12" s="524"/>
    </row>
    <row r="13" spans="1:15" customFormat="1" ht="12.75" hidden="1" outlineLevel="1" x14ac:dyDescent="0.2">
      <c r="A13" s="3">
        <v>4160050700</v>
      </c>
      <c r="B13" s="207" t="s">
        <v>5</v>
      </c>
      <c r="C13" s="205">
        <f>IFERROR(VLOOKUP(A:A,'PPTO 2017'!A:E,3,0),0)</f>
        <v>37343</v>
      </c>
      <c r="D13" s="205">
        <f>IFERROR(VLOOKUP(A:A,EJEC!A:G,5,0),0)</f>
        <v>22538</v>
      </c>
      <c r="E13" s="205">
        <v>39500</v>
      </c>
      <c r="F13" s="322">
        <f t="shared" si="2"/>
        <v>1.0577618295262834</v>
      </c>
      <c r="G13" s="225">
        <f t="shared" si="4"/>
        <v>41475</v>
      </c>
      <c r="H13" s="204">
        <f>(+G13/E13)-1</f>
        <v>5.0000000000000044E-2</v>
      </c>
      <c r="I13" s="322">
        <f t="shared" si="3"/>
        <v>5.0000000000000044E-2</v>
      </c>
      <c r="J13" s="543"/>
      <c r="K13" s="524"/>
      <c r="L13" s="524"/>
      <c r="M13" s="524"/>
    </row>
    <row r="14" spans="1:15" customFormat="1" ht="12.75" hidden="1" outlineLevel="1" x14ac:dyDescent="0.2">
      <c r="A14" s="3">
        <v>4160050800</v>
      </c>
      <c r="B14" s="207" t="s">
        <v>744</v>
      </c>
      <c r="C14" s="205">
        <f>IFERROR(VLOOKUP(A:A,'PPTO 2017'!A:E,3,0),0)</f>
        <v>0</v>
      </c>
      <c r="D14" s="205">
        <f>IFERROR(VLOOKUP(A:A,EJEC!A:G,5,0),0)</f>
        <v>0</v>
      </c>
      <c r="E14" s="205">
        <v>0</v>
      </c>
      <c r="F14" s="322" t="str">
        <f>IF(E14=0,"",IF(C14=0,"",(E14/C14)))</f>
        <v/>
      </c>
      <c r="G14" s="225">
        <f t="shared" si="4"/>
        <v>0</v>
      </c>
      <c r="H14" s="204" t="e">
        <f>(+G14/E14)-1</f>
        <v>#DIV/0!</v>
      </c>
      <c r="I14" s="322" t="str">
        <f>IF(G14=0,"",IF(E14=0,"",(G14/E14)-1))</f>
        <v/>
      </c>
      <c r="J14" s="543"/>
      <c r="K14" s="524"/>
      <c r="L14" s="524"/>
      <c r="M14" s="524"/>
    </row>
    <row r="15" spans="1:15" customFormat="1" ht="12.75" hidden="1" outlineLevel="1" x14ac:dyDescent="0.2">
      <c r="A15" s="3">
        <v>4160050900</v>
      </c>
      <c r="B15" s="207" t="s">
        <v>6</v>
      </c>
      <c r="C15" s="205">
        <f>IFERROR(VLOOKUP(A:A,'PPTO 2017'!A:E,3,0),0)</f>
        <v>6123.6100000000006</v>
      </c>
      <c r="D15" s="205">
        <f>IFERROR(VLOOKUP(A:A,EJEC!A:G,5,0),0)</f>
        <v>3008</v>
      </c>
      <c r="E15" s="205">
        <v>6050</v>
      </c>
      <c r="F15" s="322">
        <f t="shared" si="2"/>
        <v>0.98797931285630525</v>
      </c>
      <c r="G15" s="225">
        <f t="shared" si="4"/>
        <v>6352.5</v>
      </c>
      <c r="H15" s="204">
        <f>(+G15/E15)-1</f>
        <v>5.0000000000000044E-2</v>
      </c>
      <c r="I15" s="322">
        <f t="shared" si="3"/>
        <v>5.0000000000000044E-2</v>
      </c>
      <c r="J15" s="543"/>
      <c r="K15" s="524"/>
      <c r="L15" s="524"/>
      <c r="M15" s="524"/>
    </row>
    <row r="16" spans="1:15" customFormat="1" ht="12.75" hidden="1" outlineLevel="1" x14ac:dyDescent="0.2">
      <c r="A16" s="3">
        <v>4160051100</v>
      </c>
      <c r="B16" s="207" t="s">
        <v>7</v>
      </c>
      <c r="C16" s="205">
        <f>IFERROR(VLOOKUP(A:A,'PPTO 2017'!A:E,3,0),0)</f>
        <v>3659.4</v>
      </c>
      <c r="D16" s="205">
        <f>IFERROR(VLOOKUP(A:A,EJEC!A:G,5,0),0)</f>
        <v>1430</v>
      </c>
      <c r="E16" s="205">
        <v>3100</v>
      </c>
      <c r="F16" s="322">
        <f t="shared" si="2"/>
        <v>0.84713340984860908</v>
      </c>
      <c r="G16" s="225">
        <f t="shared" si="4"/>
        <v>3255</v>
      </c>
      <c r="H16" s="204" t="s">
        <v>169</v>
      </c>
      <c r="I16" s="322">
        <f t="shared" si="3"/>
        <v>5.0000000000000044E-2</v>
      </c>
      <c r="J16" s="543"/>
      <c r="K16" s="524"/>
      <c r="L16" s="524"/>
      <c r="M16" s="524"/>
    </row>
    <row r="17" spans="1:13" customFormat="1" ht="12.75" hidden="1" outlineLevel="1" x14ac:dyDescent="0.2">
      <c r="A17" s="3">
        <v>4160051200</v>
      </c>
      <c r="B17" s="207" t="s">
        <v>8</v>
      </c>
      <c r="C17" s="205">
        <f>IFERROR(VLOOKUP(A:A,'PPTO 2017'!A:E,3,0),0)</f>
        <v>2985.3</v>
      </c>
      <c r="D17" s="205">
        <f>IFERROR(VLOOKUP(A:A,EJEC!A:G,5,0),0)</f>
        <v>13892.692999999999</v>
      </c>
      <c r="E17" s="205">
        <v>13893</v>
      </c>
      <c r="F17" s="322">
        <f t="shared" si="2"/>
        <v>4.6538036378253436</v>
      </c>
      <c r="G17" s="225">
        <f t="shared" si="4"/>
        <v>14587.650000000001</v>
      </c>
      <c r="H17" s="204" t="s">
        <v>169</v>
      </c>
      <c r="I17" s="322">
        <f t="shared" si="3"/>
        <v>5.0000000000000044E-2</v>
      </c>
      <c r="J17" s="543"/>
      <c r="K17" s="524"/>
      <c r="L17" s="524"/>
      <c r="M17" s="524"/>
    </row>
    <row r="18" spans="1:13" customFormat="1" ht="12.75" hidden="1" outlineLevel="1" x14ac:dyDescent="0.2">
      <c r="A18" s="3">
        <v>4160051300</v>
      </c>
      <c r="B18" s="207" t="s">
        <v>284</v>
      </c>
      <c r="C18" s="205">
        <f>IFERROR(VLOOKUP(A:A,'PPTO 2017'!A:E,3,0),0)</f>
        <v>0</v>
      </c>
      <c r="D18" s="205">
        <f>IFERROR(VLOOKUP(A:A,EJEC!A:G,5,0),0)</f>
        <v>0</v>
      </c>
      <c r="E18" s="205">
        <v>0</v>
      </c>
      <c r="F18" s="322" t="str">
        <f t="shared" si="2"/>
        <v/>
      </c>
      <c r="G18" s="225">
        <f t="shared" si="4"/>
        <v>0</v>
      </c>
      <c r="H18" s="204" t="e">
        <f>(+G18/E18)-1</f>
        <v>#DIV/0!</v>
      </c>
      <c r="I18" s="322" t="str">
        <f t="shared" si="3"/>
        <v/>
      </c>
      <c r="J18" s="543"/>
      <c r="K18" s="524"/>
      <c r="L18" s="524"/>
      <c r="M18" s="524"/>
    </row>
    <row r="19" spans="1:13" customFormat="1" ht="12.75" hidden="1" outlineLevel="1" x14ac:dyDescent="0.2">
      <c r="A19" s="3">
        <v>4160053000</v>
      </c>
      <c r="B19" s="207" t="s">
        <v>9</v>
      </c>
      <c r="C19" s="205">
        <f>IFERROR(VLOOKUP(A:A,'PPTO 2017'!A:E,3,0),0)</f>
        <v>-83323.040000000008</v>
      </c>
      <c r="D19" s="205">
        <f>IFERROR(VLOOKUP(A:A,EJEC!A:G,5,0),0)</f>
        <v>-160039.61900000001</v>
      </c>
      <c r="E19" s="205">
        <v>-160140</v>
      </c>
      <c r="F19" s="322">
        <f t="shared" si="2"/>
        <v>1.9219173952366595</v>
      </c>
      <c r="G19" s="225">
        <f t="shared" si="4"/>
        <v>-168147</v>
      </c>
      <c r="H19" s="204">
        <f>(+G19/E19)-1</f>
        <v>5.0000000000000044E-2</v>
      </c>
      <c r="I19" s="322">
        <f t="shared" si="3"/>
        <v>5.0000000000000044E-2</v>
      </c>
      <c r="J19" s="543"/>
      <c r="K19" s="524"/>
      <c r="L19" s="524"/>
      <c r="M19" s="524"/>
    </row>
    <row r="20" spans="1:13" customFormat="1" ht="12.75" hidden="1" outlineLevel="1" x14ac:dyDescent="0.2">
      <c r="A20" s="3">
        <v>4160950100</v>
      </c>
      <c r="B20" s="207" t="s">
        <v>10</v>
      </c>
      <c r="C20" s="205">
        <f>IFERROR(VLOOKUP(A:A,'PPTO 2017'!A:E,3,0),0)</f>
        <v>1441.2900000000002</v>
      </c>
      <c r="D20" s="205">
        <f>IFERROR(VLOOKUP(A:A,EJEC!A:G,5,0),0)</f>
        <v>0</v>
      </c>
      <c r="E20" s="205">
        <v>0</v>
      </c>
      <c r="F20" s="322" t="str">
        <f t="shared" si="2"/>
        <v/>
      </c>
      <c r="G20" s="225">
        <f t="shared" si="4"/>
        <v>0</v>
      </c>
      <c r="H20" s="204" t="s">
        <v>169</v>
      </c>
      <c r="I20" s="322" t="str">
        <f t="shared" si="3"/>
        <v/>
      </c>
      <c r="J20" s="543"/>
      <c r="K20" s="524"/>
      <c r="L20" s="524"/>
      <c r="M20" s="524"/>
    </row>
    <row r="21" spans="1:13" customFormat="1" ht="12.75" hidden="1" outlineLevel="1" x14ac:dyDescent="0.2">
      <c r="A21" s="3">
        <v>4160950200</v>
      </c>
      <c r="B21" s="207" t="s">
        <v>292</v>
      </c>
      <c r="C21" s="205">
        <f>IFERROR(VLOOKUP(A:A,'PPTO 2017'!A:E,3,0),0)</f>
        <v>0</v>
      </c>
      <c r="D21" s="205">
        <f>IFERROR(VLOOKUP(A:A,EJEC!A:G,5,0),0)</f>
        <v>0</v>
      </c>
      <c r="E21" s="205">
        <v>0</v>
      </c>
      <c r="F21" s="322" t="str">
        <f t="shared" si="2"/>
        <v/>
      </c>
      <c r="G21" s="225">
        <f t="shared" si="4"/>
        <v>0</v>
      </c>
      <c r="H21" s="204" t="s">
        <v>169</v>
      </c>
      <c r="I21" s="322" t="str">
        <f t="shared" si="3"/>
        <v/>
      </c>
      <c r="J21" s="543"/>
      <c r="K21" s="524"/>
      <c r="L21" s="524"/>
      <c r="M21" s="524"/>
    </row>
    <row r="22" spans="1:13" customFormat="1" ht="12.75" hidden="1" outlineLevel="1" x14ac:dyDescent="0.2">
      <c r="A22" s="3">
        <v>4160950300</v>
      </c>
      <c r="B22" s="207" t="s">
        <v>293</v>
      </c>
      <c r="C22" s="205">
        <f>IFERROR(VLOOKUP(A:A,'PPTO 2017'!A:E,3,0),0)</f>
        <v>0</v>
      </c>
      <c r="D22" s="205">
        <f>IFERROR(VLOOKUP(A:A,EJEC!A:G,5,0),0)</f>
        <v>0</v>
      </c>
      <c r="E22" s="205">
        <v>0</v>
      </c>
      <c r="F22" s="322" t="str">
        <f t="shared" si="2"/>
        <v/>
      </c>
      <c r="G22" s="225">
        <f t="shared" si="4"/>
        <v>0</v>
      </c>
      <c r="H22" s="204" t="s">
        <v>169</v>
      </c>
      <c r="I22" s="322" t="str">
        <f t="shared" si="3"/>
        <v/>
      </c>
      <c r="J22" s="543"/>
      <c r="K22" s="524"/>
      <c r="L22" s="524"/>
      <c r="M22" s="524"/>
    </row>
    <row r="23" spans="1:13" customFormat="1" ht="12.75" hidden="1" outlineLevel="1" x14ac:dyDescent="0.2">
      <c r="A23" s="3">
        <v>4160950400</v>
      </c>
      <c r="B23" s="207" t="s">
        <v>294</v>
      </c>
      <c r="C23" s="205">
        <f>IFERROR(VLOOKUP(A:A,'PPTO 2017'!A:E,3,0),0)</f>
        <v>0</v>
      </c>
      <c r="D23" s="205">
        <f>IFERROR(VLOOKUP(A:A,EJEC!A:G,5,0),0)</f>
        <v>0</v>
      </c>
      <c r="E23" s="205">
        <v>0</v>
      </c>
      <c r="F23" s="322" t="str">
        <f t="shared" si="2"/>
        <v/>
      </c>
      <c r="G23" s="225">
        <f t="shared" si="4"/>
        <v>0</v>
      </c>
      <c r="H23" s="204" t="s">
        <v>169</v>
      </c>
      <c r="I23" s="322" t="str">
        <f t="shared" si="3"/>
        <v/>
      </c>
      <c r="J23" s="543"/>
      <c r="K23" s="524"/>
      <c r="L23" s="524"/>
      <c r="M23" s="524"/>
    </row>
    <row r="24" spans="1:13" customFormat="1" ht="12.75" hidden="1" outlineLevel="1" x14ac:dyDescent="0.2">
      <c r="A24" s="3">
        <v>4160950500</v>
      </c>
      <c r="B24" s="207" t="s">
        <v>11</v>
      </c>
      <c r="C24" s="205">
        <f>IFERROR(VLOOKUP(A:A,'PPTO 2017'!A:E,3,0),0)</f>
        <v>2208.48</v>
      </c>
      <c r="D24" s="205">
        <f>IFERROR(VLOOKUP(A:A,EJEC!A:G,5,0),0)</f>
        <v>900</v>
      </c>
      <c r="E24" s="205">
        <v>900</v>
      </c>
      <c r="F24" s="322">
        <f t="shared" si="2"/>
        <v>0.40752010432514668</v>
      </c>
      <c r="G24" s="225">
        <f t="shared" si="4"/>
        <v>945</v>
      </c>
      <c r="H24" s="204" t="s">
        <v>169</v>
      </c>
      <c r="I24" s="322">
        <f t="shared" si="3"/>
        <v>5.0000000000000044E-2</v>
      </c>
      <c r="J24" s="543"/>
      <c r="K24" s="524"/>
      <c r="L24" s="524"/>
      <c r="M24" s="524"/>
    </row>
    <row r="25" spans="1:13" customFormat="1" ht="12.75" hidden="1" outlineLevel="1" x14ac:dyDescent="0.2">
      <c r="A25" s="3">
        <v>4160950600</v>
      </c>
      <c r="B25" s="207" t="s">
        <v>12</v>
      </c>
      <c r="C25" s="205">
        <f>IFERROR(VLOOKUP(A:A,'PPTO 2017'!A:E,3,0),0)</f>
        <v>0</v>
      </c>
      <c r="D25" s="205">
        <f>IFERROR(VLOOKUP(A:A,EJEC!A:G,5,0),0)</f>
        <v>0</v>
      </c>
      <c r="E25" s="205">
        <v>0</v>
      </c>
      <c r="F25" s="322" t="str">
        <f t="shared" si="2"/>
        <v/>
      </c>
      <c r="G25" s="225">
        <f t="shared" si="4"/>
        <v>0</v>
      </c>
      <c r="H25" s="204" t="e">
        <f>(+G25/E25)-1</f>
        <v>#DIV/0!</v>
      </c>
      <c r="I25" s="322" t="str">
        <f t="shared" si="3"/>
        <v/>
      </c>
      <c r="J25" s="543"/>
      <c r="K25" s="524"/>
      <c r="L25" s="524"/>
      <c r="M25" s="524"/>
    </row>
    <row r="26" spans="1:13" customFormat="1" ht="12.75" hidden="1" outlineLevel="1" x14ac:dyDescent="0.2">
      <c r="A26" s="3">
        <v>4160950700</v>
      </c>
      <c r="B26" s="207" t="s">
        <v>295</v>
      </c>
      <c r="C26" s="205">
        <f>IFERROR(VLOOKUP(A:A,'PPTO 2017'!A:E,3,0),0)</f>
        <v>0</v>
      </c>
      <c r="D26" s="205">
        <f>IFERROR(VLOOKUP(A:A,EJEC!A:G,5,0),0)</f>
        <v>0</v>
      </c>
      <c r="E26" s="205">
        <v>0</v>
      </c>
      <c r="F26" s="322" t="str">
        <f t="shared" si="2"/>
        <v/>
      </c>
      <c r="G26" s="225">
        <f t="shared" si="4"/>
        <v>0</v>
      </c>
      <c r="H26" s="204" t="s">
        <v>169</v>
      </c>
      <c r="I26" s="322" t="str">
        <f t="shared" si="3"/>
        <v/>
      </c>
      <c r="J26" s="543"/>
      <c r="K26" s="524"/>
      <c r="L26" s="524"/>
      <c r="M26" s="524"/>
    </row>
    <row r="27" spans="1:13" customFormat="1" ht="12.75" hidden="1" outlineLevel="1" x14ac:dyDescent="0.2">
      <c r="A27" s="608">
        <v>4160950800</v>
      </c>
      <c r="B27" s="207" t="s">
        <v>742</v>
      </c>
      <c r="C27" s="205">
        <f>IFERROR(VLOOKUP(A:A,'PPTO 2017'!A:E,3,0),0)</f>
        <v>0</v>
      </c>
      <c r="D27" s="205">
        <f>IFERROR(VLOOKUP(A:A,EJEC!A:G,5,0),0)</f>
        <v>0</v>
      </c>
      <c r="E27" s="205">
        <v>0</v>
      </c>
      <c r="F27" s="322" t="str">
        <f t="shared" si="2"/>
        <v/>
      </c>
      <c r="G27" s="609">
        <f t="shared" si="4"/>
        <v>0</v>
      </c>
      <c r="H27" s="204"/>
      <c r="I27" s="322" t="str">
        <f t="shared" si="3"/>
        <v/>
      </c>
      <c r="J27" s="543"/>
      <c r="K27" s="524"/>
      <c r="L27" s="524"/>
      <c r="M27" s="524"/>
    </row>
    <row r="28" spans="1:13" customFormat="1" ht="12.75" hidden="1" outlineLevel="1" x14ac:dyDescent="0.2">
      <c r="A28" s="608">
        <v>4160951000</v>
      </c>
      <c r="B28" s="207" t="s">
        <v>743</v>
      </c>
      <c r="C28" s="205">
        <f>IFERROR(VLOOKUP(A:A,'PPTO 2017'!A:E,3,0),0)</f>
        <v>0</v>
      </c>
      <c r="D28" s="205">
        <f>IFERROR(VLOOKUP(A:A,EJEC!A:G,5,0),0)</f>
        <v>0</v>
      </c>
      <c r="E28" s="205">
        <v>0</v>
      </c>
      <c r="F28" s="322" t="str">
        <f t="shared" si="2"/>
        <v/>
      </c>
      <c r="G28" s="609">
        <f t="shared" si="4"/>
        <v>0</v>
      </c>
      <c r="H28" s="204"/>
      <c r="I28" s="322" t="str">
        <f t="shared" si="3"/>
        <v/>
      </c>
      <c r="J28" s="543"/>
      <c r="K28" s="524"/>
      <c r="L28" s="524"/>
      <c r="M28" s="524"/>
    </row>
    <row r="29" spans="1:13" customFormat="1" ht="12.75" collapsed="1" x14ac:dyDescent="0.2">
      <c r="A29" s="176"/>
      <c r="B29" s="209" t="s">
        <v>13</v>
      </c>
      <c r="C29" s="210">
        <f>SUM(C8:C28)</f>
        <v>35538740.66174601</v>
      </c>
      <c r="D29" s="210">
        <f>SUM(D8:D28)</f>
        <v>24101277.903000001</v>
      </c>
      <c r="E29" s="539">
        <f>SUM(E8:E28)</f>
        <v>36033446</v>
      </c>
      <c r="F29" s="926">
        <f t="shared" si="2"/>
        <v>1.0139201707500709</v>
      </c>
      <c r="G29" s="540">
        <f>SUM(G8:G28)</f>
        <v>38297733.159999996</v>
      </c>
      <c r="H29" s="211">
        <f>(+G29/E29)-1</f>
        <v>6.2838485111859521E-2</v>
      </c>
      <c r="I29" s="322">
        <f t="shared" si="3"/>
        <v>6.2838485111859521E-2</v>
      </c>
      <c r="J29" s="543"/>
      <c r="K29" s="524"/>
      <c r="L29" s="524"/>
      <c r="M29" s="524"/>
    </row>
    <row r="30" spans="1:13" customFormat="1" ht="12.75" x14ac:dyDescent="0.2">
      <c r="A30" s="176"/>
      <c r="B30" s="206" t="s">
        <v>296</v>
      </c>
      <c r="C30" s="205"/>
      <c r="D30" s="205"/>
      <c r="E30" s="205"/>
      <c r="F30" s="322" t="str">
        <f t="shared" si="2"/>
        <v/>
      </c>
      <c r="G30" s="208" t="s">
        <v>169</v>
      </c>
      <c r="H30" s="204" t="s">
        <v>169</v>
      </c>
      <c r="I30" s="322" t="str">
        <f>IF(G30=0,"",IF(E30=0,"",(G30/E30)-1))</f>
        <v/>
      </c>
      <c r="J30" s="543"/>
      <c r="K30" s="524"/>
      <c r="L30" s="524"/>
      <c r="M30" s="524"/>
    </row>
    <row r="31" spans="1:13" customFormat="1" ht="12.75" hidden="1" x14ac:dyDescent="0.2">
      <c r="A31" s="176"/>
      <c r="B31" s="212" t="s">
        <v>297</v>
      </c>
      <c r="C31" s="205"/>
      <c r="D31" s="205"/>
      <c r="E31" s="205"/>
      <c r="F31" s="322" t="str">
        <f t="shared" si="2"/>
        <v/>
      </c>
      <c r="G31" s="208" t="s">
        <v>169</v>
      </c>
      <c r="H31" s="204" t="s">
        <v>169</v>
      </c>
      <c r="I31" s="322" t="str">
        <f t="shared" si="3"/>
        <v/>
      </c>
      <c r="J31" s="543"/>
      <c r="K31" s="524"/>
      <c r="L31" s="524"/>
      <c r="M31" s="524"/>
    </row>
    <row r="32" spans="1:13" customFormat="1" ht="12.75" hidden="1" outlineLevel="1" x14ac:dyDescent="0.2">
      <c r="A32" s="176"/>
      <c r="B32" s="212" t="s">
        <v>298</v>
      </c>
      <c r="C32" s="205"/>
      <c r="D32" s="205"/>
      <c r="E32" s="205"/>
      <c r="F32" s="322" t="str">
        <f t="shared" si="2"/>
        <v/>
      </c>
      <c r="G32" s="208"/>
      <c r="H32" s="204" t="s">
        <v>169</v>
      </c>
      <c r="I32" s="322" t="str">
        <f t="shared" si="3"/>
        <v/>
      </c>
      <c r="J32" s="543"/>
      <c r="K32" s="524"/>
      <c r="L32" s="524"/>
      <c r="M32" s="524"/>
    </row>
    <row r="33" spans="1:13" customFormat="1" ht="12.75" hidden="1" outlineLevel="1" x14ac:dyDescent="0.2">
      <c r="A33" s="610">
        <v>5105030000</v>
      </c>
      <c r="B33" s="207" t="s">
        <v>770</v>
      </c>
      <c r="C33" s="205">
        <f>IFERROR(VLOOKUP(A:A,'PPTO 2017'!A:E,3,0),0)</f>
        <v>0</v>
      </c>
      <c r="D33" s="205">
        <f>IFERROR(VLOOKUP(A:A,EJEC!A:G,5,0),0)</f>
        <v>0</v>
      </c>
      <c r="E33" s="205"/>
      <c r="F33" s="322" t="str">
        <f t="shared" si="2"/>
        <v/>
      </c>
      <c r="G33" s="642">
        <f>+E33*$O$2</f>
        <v>0</v>
      </c>
      <c r="H33" s="204"/>
      <c r="I33" s="322" t="str">
        <f t="shared" si="3"/>
        <v/>
      </c>
      <c r="J33" s="543"/>
      <c r="K33" s="524"/>
      <c r="L33" s="524"/>
      <c r="M33" s="524"/>
    </row>
    <row r="34" spans="1:13" customFormat="1" ht="12.75" hidden="1" outlineLevel="1" x14ac:dyDescent="0.2">
      <c r="A34" s="176">
        <v>5105060000</v>
      </c>
      <c r="B34" s="207" t="s">
        <v>20</v>
      </c>
      <c r="C34" s="205">
        <f>IFERROR(VLOOKUP(A:A,'PPTO 2017'!A:E,3,0),0)</f>
        <v>9209447.6533333398</v>
      </c>
      <c r="D34" s="205">
        <f>IFERROR(VLOOKUP(A:A,EJEC!A:G,5,0),0)</f>
        <v>6096959.7309999997</v>
      </c>
      <c r="E34" s="205">
        <f>+D34/8*12</f>
        <v>9145439.5965</v>
      </c>
      <c r="F34" s="322">
        <f t="shared" si="2"/>
        <v>0.9930497398711885</v>
      </c>
      <c r="G34" s="226">
        <f>NOMINA!AD371/1000</f>
        <v>9958297.7666666657</v>
      </c>
      <c r="H34" s="204">
        <f t="shared" ref="H34:H56" si="5">(+G34/E34)-1</f>
        <v>8.8881257329363361E-2</v>
      </c>
      <c r="I34" s="322">
        <f t="shared" si="3"/>
        <v>8.8881257329363361E-2</v>
      </c>
      <c r="J34" s="543"/>
      <c r="K34" s="524"/>
      <c r="L34" s="524"/>
      <c r="M34" s="524"/>
    </row>
    <row r="35" spans="1:13" customFormat="1" ht="12.75" hidden="1" outlineLevel="1" x14ac:dyDescent="0.2">
      <c r="A35" s="176">
        <v>5105150000</v>
      </c>
      <c r="B35" s="207" t="s">
        <v>21</v>
      </c>
      <c r="C35" s="205">
        <f>IFERROR(VLOOKUP(A:A,'PPTO 2017'!A:E,3,0),0)</f>
        <v>0</v>
      </c>
      <c r="D35" s="205">
        <f>IFERROR(VLOOKUP(A:A,EJEC!A:G,5,0),0)</f>
        <v>0</v>
      </c>
      <c r="E35" s="205">
        <v>0</v>
      </c>
      <c r="F35" s="322" t="str">
        <f t="shared" si="2"/>
        <v/>
      </c>
      <c r="G35" s="225">
        <f t="shared" ref="G35:G37" si="6">+E35*$O$2</f>
        <v>0</v>
      </c>
      <c r="H35" s="204" t="s">
        <v>169</v>
      </c>
      <c r="I35" s="322" t="str">
        <f t="shared" si="3"/>
        <v/>
      </c>
      <c r="J35" s="543"/>
      <c r="K35" s="524"/>
      <c r="L35" s="524"/>
      <c r="M35" s="524"/>
    </row>
    <row r="36" spans="1:13" customFormat="1" ht="12.75" hidden="1" outlineLevel="1" x14ac:dyDescent="0.2">
      <c r="A36" s="176">
        <v>5105240000</v>
      </c>
      <c r="B36" s="207" t="s">
        <v>22</v>
      </c>
      <c r="C36" s="205">
        <f>IFERROR(VLOOKUP(A:A,'PPTO 2017'!A:E,3,0),0)</f>
        <v>1291.49</v>
      </c>
      <c r="D36" s="205">
        <f>IFERROR(VLOOKUP(A:A,EJEC!A:G,5,0),0)</f>
        <v>719.71100000000001</v>
      </c>
      <c r="E36" s="205">
        <v>0</v>
      </c>
      <c r="F36" s="322" t="str">
        <f t="shared" si="2"/>
        <v/>
      </c>
      <c r="G36" s="225">
        <f t="shared" si="6"/>
        <v>0</v>
      </c>
      <c r="H36" s="204" t="e">
        <f t="shared" si="5"/>
        <v>#DIV/0!</v>
      </c>
      <c r="I36" s="322" t="str">
        <f t="shared" si="3"/>
        <v/>
      </c>
      <c r="J36" s="543"/>
      <c r="K36" s="524"/>
      <c r="L36" s="524"/>
      <c r="M36" s="524"/>
    </row>
    <row r="37" spans="1:13" customFormat="1" ht="12.75" hidden="1" outlineLevel="1" x14ac:dyDescent="0.2">
      <c r="A37" s="176">
        <v>5105250000</v>
      </c>
      <c r="B37" s="207" t="s">
        <v>739</v>
      </c>
      <c r="C37" s="205">
        <f>IFERROR(VLOOKUP(A:A,'PPTO 2017'!A:E,3,0),0)</f>
        <v>33.17</v>
      </c>
      <c r="D37" s="205">
        <f>IFERROR(VLOOKUP(A:A,EJEC!A:G,5,0),0)</f>
        <v>395.00200000000001</v>
      </c>
      <c r="E37" s="205">
        <v>0</v>
      </c>
      <c r="F37" s="322" t="str">
        <f t="shared" si="2"/>
        <v/>
      </c>
      <c r="G37" s="225">
        <f t="shared" si="6"/>
        <v>0</v>
      </c>
      <c r="H37" s="204"/>
      <c r="I37" s="322"/>
      <c r="J37" s="543"/>
      <c r="K37" s="524"/>
      <c r="L37" s="524"/>
      <c r="M37" s="524"/>
    </row>
    <row r="38" spans="1:13" customFormat="1" ht="12.75" hidden="1" outlineLevel="1" x14ac:dyDescent="0.2">
      <c r="A38" s="176">
        <v>5105270000</v>
      </c>
      <c r="B38" s="207" t="s">
        <v>23</v>
      </c>
      <c r="C38" s="205">
        <f>IFERROR(VLOOKUP(A:A,'PPTO 2017'!A:E,3,0),0)</f>
        <v>47549.965400000001</v>
      </c>
      <c r="D38" s="205">
        <f>IFERROR(VLOOKUP(A:A,EJEC!A:G,5,0),0)</f>
        <v>40650.057999999997</v>
      </c>
      <c r="E38" s="205">
        <f t="shared" ref="E38:E42" si="7">+D38/8*12</f>
        <v>60975.087</v>
      </c>
      <c r="F38" s="322">
        <f t="shared" si="2"/>
        <v>1.2823371476102061</v>
      </c>
      <c r="G38" s="226">
        <f>NOMINA!AE371/1000</f>
        <v>44699.454066666658</v>
      </c>
      <c r="H38" s="204">
        <f t="shared" si="5"/>
        <v>-0.26692266848808832</v>
      </c>
      <c r="I38" s="322">
        <f t="shared" si="3"/>
        <v>-0.26692266848808832</v>
      </c>
      <c r="J38" s="543"/>
      <c r="K38" s="524"/>
      <c r="L38" s="524"/>
      <c r="M38" s="524"/>
    </row>
    <row r="39" spans="1:13" customFormat="1" ht="12.75" hidden="1" outlineLevel="1" x14ac:dyDescent="0.2">
      <c r="A39" s="176">
        <v>5105300000</v>
      </c>
      <c r="B39" s="207" t="s">
        <v>24</v>
      </c>
      <c r="C39" s="205">
        <f>IFERROR(VLOOKUP(A:A,'PPTO 2017'!A:E,3,0),0)</f>
        <v>1261781.8399320689</v>
      </c>
      <c r="D39" s="205">
        <f>IFERROR(VLOOKUP(A:A,EJEC!A:G,5,0),0)</f>
        <v>1120478.9280000001</v>
      </c>
      <c r="E39" s="205">
        <f t="shared" si="7"/>
        <v>1680718.392</v>
      </c>
      <c r="F39" s="322">
        <f t="shared" si="2"/>
        <v>1.3320197983595052</v>
      </c>
      <c r="G39" s="1013">
        <f>(NOMINA!AI371/1000)</f>
        <v>1779426.2457092593</v>
      </c>
      <c r="H39" s="204">
        <f t="shared" si="5"/>
        <v>5.8729561227565341E-2</v>
      </c>
      <c r="I39" s="322">
        <f t="shared" si="3"/>
        <v>5.8729561227565341E-2</v>
      </c>
      <c r="J39" s="543"/>
      <c r="K39" s="524"/>
      <c r="L39" s="524"/>
      <c r="M39" s="524"/>
    </row>
    <row r="40" spans="1:13" customFormat="1" ht="12.75" hidden="1" outlineLevel="1" x14ac:dyDescent="0.2">
      <c r="A40" s="176">
        <v>5105330000</v>
      </c>
      <c r="B40" s="207" t="s">
        <v>25</v>
      </c>
      <c r="C40" s="205">
        <f>IFERROR(VLOOKUP(A:A,'PPTO 2017'!A:E,3,0),0)</f>
        <v>411698.53220271412</v>
      </c>
      <c r="D40" s="205">
        <f>IFERROR(VLOOKUP(A:A,EJEC!A:G,5,0),0)</f>
        <v>218500.91200000001</v>
      </c>
      <c r="E40" s="205">
        <f t="shared" si="7"/>
        <v>327751.36800000002</v>
      </c>
      <c r="F40" s="322">
        <f t="shared" si="2"/>
        <v>0.79609554653116954</v>
      </c>
      <c r="G40" s="1013">
        <f>(NOMINA!AJ371/1000)</f>
        <v>342998.72506909561</v>
      </c>
      <c r="H40" s="204">
        <f t="shared" si="5"/>
        <v>4.652110885802796E-2</v>
      </c>
      <c r="I40" s="322">
        <f t="shared" si="3"/>
        <v>4.652110885802796E-2</v>
      </c>
      <c r="J40" s="543"/>
      <c r="K40" s="524"/>
      <c r="L40" s="524"/>
      <c r="M40" s="524"/>
    </row>
    <row r="41" spans="1:13" customFormat="1" ht="12.75" hidden="1" outlineLevel="1" x14ac:dyDescent="0.2">
      <c r="A41" s="176">
        <v>5105360000</v>
      </c>
      <c r="B41" s="207" t="s">
        <v>26</v>
      </c>
      <c r="C41" s="205">
        <f>IFERROR(VLOOKUP(A:A,'PPTO 2017'!A:E,3,0),0)</f>
        <v>814052.81200000003</v>
      </c>
      <c r="D41" s="205">
        <f>IFERROR(VLOOKUP(A:A,EJEC!A:G,5,0),0)</f>
        <v>603079.53099999996</v>
      </c>
      <c r="E41" s="205">
        <f t="shared" si="7"/>
        <v>904619.29649999994</v>
      </c>
      <c r="F41" s="322">
        <f t="shared" si="2"/>
        <v>1.1112538193652231</v>
      </c>
      <c r="G41" s="226">
        <f>NOMINA!AH371/1000</f>
        <v>879426.24600000004</v>
      </c>
      <c r="H41" s="204">
        <f t="shared" si="5"/>
        <v>-2.7849340156099411E-2</v>
      </c>
      <c r="I41" s="322">
        <f t="shared" si="3"/>
        <v>-2.7849340156099411E-2</v>
      </c>
      <c r="J41" s="543"/>
      <c r="K41" s="524"/>
      <c r="L41" s="524"/>
      <c r="M41" s="524"/>
    </row>
    <row r="42" spans="1:13" customFormat="1" ht="12.75" hidden="1" outlineLevel="1" x14ac:dyDescent="0.2">
      <c r="A42" s="176">
        <v>5105390000</v>
      </c>
      <c r="B42" s="207" t="s">
        <v>27</v>
      </c>
      <c r="C42" s="205">
        <f>IFERROR(VLOOKUP(A:A,'PPTO 2017'!A:E,3,0),0)</f>
        <v>767453.97111111169</v>
      </c>
      <c r="D42" s="205">
        <f>IFERROR(VLOOKUP(A:A,EJEC!A:G,5,0),0)</f>
        <v>442963.38699999999</v>
      </c>
      <c r="E42" s="205">
        <f t="shared" si="7"/>
        <v>664445.08049999992</v>
      </c>
      <c r="F42" s="322">
        <f t="shared" si="2"/>
        <v>0.86577841214115214</v>
      </c>
      <c r="G42" s="1013">
        <f>(NOMINA!AG371/1000)</f>
        <v>710117.72777777771</v>
      </c>
      <c r="H42" s="204">
        <f t="shared" si="5"/>
        <v>6.8738032108551117E-2</v>
      </c>
      <c r="I42" s="322">
        <f t="shared" si="3"/>
        <v>6.8738032108551117E-2</v>
      </c>
      <c r="J42" s="543"/>
      <c r="K42" s="524"/>
      <c r="L42" s="524"/>
      <c r="M42" s="524"/>
    </row>
    <row r="43" spans="1:13" customFormat="1" ht="12.75" hidden="1" outlineLevel="1" x14ac:dyDescent="0.2">
      <c r="A43" s="176">
        <v>5105420000</v>
      </c>
      <c r="B43" s="207" t="s">
        <v>505</v>
      </c>
      <c r="C43" s="205">
        <f>IFERROR(VLOOKUP(A:A,'PPTO 2017'!A:E,3,0),0)</f>
        <v>0</v>
      </c>
      <c r="D43" s="205">
        <f>IFERROR(VLOOKUP(A:A,EJEC!A:G,5,0),0)</f>
        <v>0</v>
      </c>
      <c r="E43" s="205">
        <v>0</v>
      </c>
      <c r="F43" s="322" t="str">
        <f t="shared" si="2"/>
        <v/>
      </c>
      <c r="G43" s="225">
        <f t="shared" ref="G43:G47" si="8">+E43*$O$2</f>
        <v>0</v>
      </c>
      <c r="H43" s="204"/>
      <c r="I43" s="322" t="str">
        <f t="shared" si="3"/>
        <v/>
      </c>
      <c r="J43" s="543"/>
      <c r="K43" s="524"/>
      <c r="L43" s="524"/>
      <c r="M43" s="524"/>
    </row>
    <row r="44" spans="1:13" customFormat="1" ht="12.75" hidden="1" outlineLevel="1" x14ac:dyDescent="0.2">
      <c r="A44" s="176">
        <v>5105450000</v>
      </c>
      <c r="B44" s="207" t="s">
        <v>28</v>
      </c>
      <c r="C44" s="205">
        <f>IFERROR(VLOOKUP(A:A,'PPTO 2017'!A:E,3,0),0)</f>
        <v>51065.75</v>
      </c>
      <c r="D44" s="205">
        <f>IFERROR(VLOOKUP(A:A,EJEC!A:G,5,0),0)</f>
        <v>38780.199000000001</v>
      </c>
      <c r="E44" s="205">
        <v>48500</v>
      </c>
      <c r="F44" s="322">
        <f t="shared" si="2"/>
        <v>0.94975595188555928</v>
      </c>
      <c r="G44" s="225">
        <v>0</v>
      </c>
      <c r="H44" s="204" t="s">
        <v>169</v>
      </c>
      <c r="I44" s="322" t="str">
        <f t="shared" si="3"/>
        <v/>
      </c>
      <c r="J44" s="543"/>
      <c r="K44" s="524"/>
      <c r="L44" s="524"/>
      <c r="M44" s="524"/>
    </row>
    <row r="45" spans="1:13" customFormat="1" ht="12.75" hidden="1" outlineLevel="1" x14ac:dyDescent="0.2">
      <c r="A45" s="176">
        <v>5105480000</v>
      </c>
      <c r="B45" s="207" t="s">
        <v>425</v>
      </c>
      <c r="C45" s="205">
        <f>IFERROR(VLOOKUP(A:A,'PPTO 2017'!A:E,3,0),0)</f>
        <v>0</v>
      </c>
      <c r="D45" s="205">
        <f>IFERROR(VLOOKUP(A:A,EJEC!A:G,5,0),0)</f>
        <v>1542</v>
      </c>
      <c r="E45" s="205">
        <v>1542</v>
      </c>
      <c r="F45" s="322" t="str">
        <f t="shared" si="2"/>
        <v/>
      </c>
      <c r="G45" s="225">
        <v>0</v>
      </c>
      <c r="H45" s="204" t="s">
        <v>169</v>
      </c>
      <c r="I45" s="322" t="str">
        <f t="shared" si="3"/>
        <v/>
      </c>
      <c r="J45" s="543"/>
      <c r="K45" s="524"/>
      <c r="L45" s="524"/>
      <c r="M45" s="524"/>
    </row>
    <row r="46" spans="1:13" customFormat="1" ht="12.75" hidden="1" outlineLevel="1" x14ac:dyDescent="0.2">
      <c r="A46" s="176">
        <v>5105510000</v>
      </c>
      <c r="B46" s="207" t="s">
        <v>29</v>
      </c>
      <c r="C46" s="205">
        <f>IFERROR(VLOOKUP(A:A,'PPTO 2017'!A:E,3,0),0)</f>
        <v>7753.22</v>
      </c>
      <c r="D46" s="205">
        <f>IFERROR(VLOOKUP(A:A,EJEC!A:G,5,0),0)</f>
        <v>11494.598</v>
      </c>
      <c r="E46" s="205">
        <v>11495</v>
      </c>
      <c r="F46" s="322">
        <f t="shared" si="2"/>
        <v>1.4826098059902852</v>
      </c>
      <c r="G46" s="225">
        <f t="shared" si="8"/>
        <v>12069.75</v>
      </c>
      <c r="H46" s="204" t="s">
        <v>169</v>
      </c>
      <c r="I46" s="322">
        <f t="shared" si="3"/>
        <v>5.0000000000000044E-2</v>
      </c>
      <c r="J46" s="543"/>
      <c r="K46" s="524"/>
      <c r="L46" s="524"/>
      <c r="M46" s="524"/>
    </row>
    <row r="47" spans="1:13" customFormat="1" ht="12.75" hidden="1" outlineLevel="1" x14ac:dyDescent="0.2">
      <c r="A47" s="176">
        <v>5105600000</v>
      </c>
      <c r="B47" s="207" t="s">
        <v>299</v>
      </c>
      <c r="C47" s="205">
        <f>IFERROR(VLOOKUP(A:A,'PPTO 2017'!A:E,3,0),0)</f>
        <v>0</v>
      </c>
      <c r="D47" s="205">
        <f>IFERROR(VLOOKUP(A:A,EJEC!A:G,5,0),0)</f>
        <v>0</v>
      </c>
      <c r="E47" s="205">
        <v>0</v>
      </c>
      <c r="F47" s="322" t="str">
        <f t="shared" si="2"/>
        <v/>
      </c>
      <c r="G47" s="225">
        <f t="shared" si="8"/>
        <v>0</v>
      </c>
      <c r="H47" s="204" t="s">
        <v>169</v>
      </c>
      <c r="I47" s="322" t="str">
        <f t="shared" si="3"/>
        <v/>
      </c>
      <c r="J47" s="543"/>
      <c r="K47" s="524"/>
      <c r="L47" s="524"/>
      <c r="M47" s="524"/>
    </row>
    <row r="48" spans="1:13" customFormat="1" ht="12.75" hidden="1" outlineLevel="1" x14ac:dyDescent="0.2">
      <c r="A48" s="176">
        <v>5105630000</v>
      </c>
      <c r="B48" s="207" t="s">
        <v>300</v>
      </c>
      <c r="C48" s="205">
        <f>IFERROR(VLOOKUP(A:A,'PPTO 2017'!A:E,3,0),0)</f>
        <v>36900</v>
      </c>
      <c r="D48" s="205">
        <f>IFERROR(VLOOKUP(A:A,EJEC!A:G,5,0),0)</f>
        <v>24635.955999999998</v>
      </c>
      <c r="E48" s="205">
        <v>38500</v>
      </c>
      <c r="F48" s="322">
        <f t="shared" si="2"/>
        <v>1.0433604336043361</v>
      </c>
      <c r="G48" s="226">
        <f>(SUMIF(HONORARIOS!$B$27:$B$165,A48,HONORARIOS!$G$27:$G$165)+SUMIF(ASESOR.Y.CONSULT.!$A$7:$A$25,PRESUPUESTO!A48,ASESOR.Y.CONSULT.!$N$7:$N$25)+SUMIF('PROY INVEST.'!$A$5:$A$26,PRESUPUESTO!A48,'PROY INVEST.'!$N$5:$N$26)+SUMIF(P.PROY.SOCIAL!$A$5:$A$28,PRESUPUESTO!A48,P.PROY.SOCIAL!$N$5:$N$28)+SUMIF(GEST.REC.HUM.!$A$6:$A$39,PRESUPUESTO!A48,GEST.REC.HUM.!$N$6:$N$39)+SUMIF('OTRAS ACTIV.'!$A$6:$A$39,PRESUPUESTO!A48,'OTRAS ACTIV.'!$N$6:$N$39)+SUMIF('ADICIONALES PD'!A$6:$A$23,PRESUPUESTO!A48,'ADICIONALES PD'!$N$6:$N$23)+SUMIF(SALIDAS!$A$6:$A$19,PRESUPUESTO!A48,SALIDAS!$AE$6:$AE$19)+SUMIF(BIBLIOTECA!$A$7:$A$41,PRESUPUESTO!A48,BIBLIOTECA!$F$5:$F$41)+SUMIF(AFILIACIONES!$A$5:$A$25,PRESUPUESTO!A48,AFILIACIONES!$E$5:$E$25)+SUMIF(AFILIACIONES!$A$5:$A$25,PRESUPUESTO!A48,AFILIACIONES!$E$5:$E$25)+SUMIF(AFILIACIONES!$A$5:$A$25,PRESUPUESTO!A48,AFILIACIONES!$E$5:$E$25)+SUMIF(IMPRESOS.PUBLIC!$A$7:$A$34,PRESUPUESTO!A48,IMPRESOS.PUBLIC!$D$7:$D$34)+SUMIF(MANTEN.EQUIP.!$A$7:$A$27,PRESUPUESTO!A48,MANTEN.EQUIP.!$D$7:$D$27)+SUMIF(INVER.EQUIPO.COMP!$A$7:$A$37,PRESUPUESTO!A48,INVER.EQUIPO.COMP!$E$7:$E$37)+SUMIF(INVER.OTROS.EQUIPOS!$A$7:$A$37,PRESUPUESTO!A48,INVER.OTROS.EQUIPOS!$E$7:$E$37)+SUMIF(INVER.MUEBLES!$A$7:$A$35,PRESUPUESTO!A48,INVER.MUEBLES!$E$7:$E$35)+SUMIF(ADECUAC.LOCATIVAS!$A$7:$A$29,PRESUPUESTO!A48,ADECUAC.LOCATIVAS!$E$7:$E$29))/1000</f>
        <v>37400</v>
      </c>
      <c r="H48" s="204">
        <f t="shared" si="5"/>
        <v>-2.8571428571428581E-2</v>
      </c>
      <c r="I48" s="322">
        <f t="shared" si="3"/>
        <v>-2.8571428571428581E-2</v>
      </c>
      <c r="J48" s="543"/>
      <c r="K48" s="524"/>
      <c r="L48" s="524"/>
      <c r="M48" s="524"/>
    </row>
    <row r="49" spans="1:13" customFormat="1" ht="12.75" hidden="1" outlineLevel="1" x14ac:dyDescent="0.2">
      <c r="A49" s="176">
        <v>5105640000</v>
      </c>
      <c r="B49" s="207" t="s">
        <v>740</v>
      </c>
      <c r="C49" s="205">
        <f>IFERROR(VLOOKUP(A:A,'PPTO 2017'!A:E,3,0),0)</f>
        <v>11350.560000000001</v>
      </c>
      <c r="D49" s="205">
        <f>IFERROR(VLOOKUP(A:A,EJEC!A:G,5,0),0)</f>
        <v>9613.1540000000005</v>
      </c>
      <c r="E49" s="205">
        <v>14500</v>
      </c>
      <c r="F49" s="322">
        <f>IF(E49=0,"",IF(C49=0,"",(E49/C49)))</f>
        <v>1.277470010290241</v>
      </c>
      <c r="G49" s="607">
        <f t="shared" ref="G49:G50" si="9">+E49*$O$2</f>
        <v>15225</v>
      </c>
      <c r="H49" s="204"/>
      <c r="I49" s="322"/>
      <c r="J49" s="543"/>
      <c r="K49" s="524"/>
      <c r="L49" s="524"/>
      <c r="M49" s="524"/>
    </row>
    <row r="50" spans="1:13" customFormat="1" ht="12.75" hidden="1" outlineLevel="1" x14ac:dyDescent="0.2">
      <c r="A50" s="176">
        <v>5105660000</v>
      </c>
      <c r="B50" s="207" t="s">
        <v>301</v>
      </c>
      <c r="C50" s="205">
        <f>IFERROR(VLOOKUP(A:A,'PPTO 2017'!A:E,3,0),0)</f>
        <v>0</v>
      </c>
      <c r="D50" s="205">
        <f>IFERROR(VLOOKUP(A:A,EJEC!A:G,5,0),0)</f>
        <v>0</v>
      </c>
      <c r="E50" s="205">
        <v>0</v>
      </c>
      <c r="F50" s="322" t="str">
        <f t="shared" si="2"/>
        <v/>
      </c>
      <c r="G50" s="225">
        <f t="shared" si="9"/>
        <v>0</v>
      </c>
      <c r="H50" s="204" t="s">
        <v>169</v>
      </c>
      <c r="I50" s="322" t="str">
        <f t="shared" si="3"/>
        <v/>
      </c>
      <c r="J50" s="543"/>
      <c r="K50" s="524"/>
      <c r="L50" s="524"/>
      <c r="M50" s="524"/>
    </row>
    <row r="51" spans="1:13" customFormat="1" ht="12.75" hidden="1" outlineLevel="1" x14ac:dyDescent="0.2">
      <c r="A51" s="176">
        <v>5105680000</v>
      </c>
      <c r="B51" s="207" t="s">
        <v>30</v>
      </c>
      <c r="C51" s="205">
        <f>IFERROR(VLOOKUP(A:A,'PPTO 2017'!A:E,3,0),0)</f>
        <v>51393.137814000002</v>
      </c>
      <c r="D51" s="205">
        <f>IFERROR(VLOOKUP(A:A,EJEC!A:G,5,0),0)</f>
        <v>33341.436999999998</v>
      </c>
      <c r="E51" s="205">
        <f t="shared" ref="E51:E56" si="10">+D51/8*12</f>
        <v>50012.155499999993</v>
      </c>
      <c r="F51" s="322">
        <f t="shared" si="2"/>
        <v>0.97312905238442526</v>
      </c>
      <c r="G51" s="226">
        <f>NOMINA!AM371/1000</f>
        <v>55402.139574000037</v>
      </c>
      <c r="H51" s="204">
        <f t="shared" si="5"/>
        <v>0.10777348066911552</v>
      </c>
      <c r="I51" s="322">
        <f t="shared" si="3"/>
        <v>0.10777348066911552</v>
      </c>
      <c r="J51" s="543"/>
      <c r="K51" s="524"/>
      <c r="L51" s="524"/>
      <c r="M51" s="524"/>
    </row>
    <row r="52" spans="1:13" customFormat="1" ht="12.75" hidden="1" outlineLevel="1" x14ac:dyDescent="0.2">
      <c r="A52" s="176">
        <v>5105690000</v>
      </c>
      <c r="B52" s="207" t="s">
        <v>31</v>
      </c>
      <c r="C52" s="205">
        <f>IFERROR(VLOOKUP(A:A,'PPTO 2017'!A:E,3,0),0)</f>
        <v>939251.75795111118</v>
      </c>
      <c r="D52" s="205">
        <f>IFERROR(VLOOKUP(A:A,EJEC!A:G,5,0),0)</f>
        <v>626153.33100000001</v>
      </c>
      <c r="E52" s="205">
        <f t="shared" si="10"/>
        <v>939229.99650000001</v>
      </c>
      <c r="F52" s="322">
        <f t="shared" si="2"/>
        <v>0.99997683107758173</v>
      </c>
      <c r="G52" s="226">
        <f>NOMINA!AK371/1000</f>
        <v>994226.94613888883</v>
      </c>
      <c r="H52" s="204">
        <f t="shared" si="5"/>
        <v>5.8555359010926677E-2</v>
      </c>
      <c r="I52" s="322">
        <f t="shared" si="3"/>
        <v>5.8555359010926677E-2</v>
      </c>
      <c r="J52" s="543"/>
      <c r="K52" s="524"/>
      <c r="L52" s="524"/>
      <c r="M52" s="524"/>
    </row>
    <row r="53" spans="1:13" customFormat="1" ht="12.75" hidden="1" outlineLevel="1" x14ac:dyDescent="0.2">
      <c r="A53" s="176">
        <v>5105700000</v>
      </c>
      <c r="B53" s="207" t="s">
        <v>32</v>
      </c>
      <c r="C53" s="205">
        <f>IFERROR(VLOOKUP(A:A,'PPTO 2017'!A:E,3,0),0)</f>
        <v>925593.30943333334</v>
      </c>
      <c r="D53" s="205">
        <f>IFERROR(VLOOKUP(A:A,EJEC!A:G,5,0),0)</f>
        <v>575650.95299999998</v>
      </c>
      <c r="E53" s="205">
        <f t="shared" si="10"/>
        <v>863476.42949999997</v>
      </c>
      <c r="F53" s="322">
        <f t="shared" si="2"/>
        <v>0.93288966190630462</v>
      </c>
      <c r="G53" s="1013">
        <f>(NOMINA!AL371/1000)</f>
        <v>973502.86044444446</v>
      </c>
      <c r="H53" s="204">
        <f t="shared" si="5"/>
        <v>0.12742262230383727</v>
      </c>
      <c r="I53" s="322">
        <f t="shared" si="3"/>
        <v>0.12742262230383727</v>
      </c>
      <c r="J53" s="543"/>
      <c r="K53" s="524"/>
      <c r="L53" s="524"/>
      <c r="M53" s="524"/>
    </row>
    <row r="54" spans="1:13" customFormat="1" ht="12.75" hidden="1" outlineLevel="1" x14ac:dyDescent="0.2">
      <c r="A54" s="176">
        <v>5105720000</v>
      </c>
      <c r="B54" s="207" t="s">
        <v>33</v>
      </c>
      <c r="C54" s="205">
        <f>IFERROR(VLOOKUP(A:A,'PPTO 2017'!A:E,3,0),0)</f>
        <v>388842.9565196177</v>
      </c>
      <c r="D54" s="205">
        <f>IFERROR(VLOOKUP(A:A,EJEC!A:G,5,0),0)</f>
        <v>269506.386</v>
      </c>
      <c r="E54" s="205">
        <f t="shared" si="10"/>
        <v>404259.57900000003</v>
      </c>
      <c r="F54" s="322">
        <f t="shared" si="2"/>
        <v>1.0396474263501403</v>
      </c>
      <c r="G54" s="226">
        <f>NOMINA!AN371/1000*0.444444</f>
        <v>418089.05502163811</v>
      </c>
      <c r="H54" s="204">
        <f t="shared" si="5"/>
        <v>3.4209395992167879E-2</v>
      </c>
      <c r="I54" s="322">
        <f t="shared" si="3"/>
        <v>3.4209395992167879E-2</v>
      </c>
      <c r="J54" s="543"/>
      <c r="K54" s="524"/>
      <c r="L54" s="524"/>
      <c r="M54" s="524"/>
    </row>
    <row r="55" spans="1:13" customFormat="1" ht="12.75" hidden="1" outlineLevel="1" x14ac:dyDescent="0.2">
      <c r="A55" s="176">
        <v>5105750000</v>
      </c>
      <c r="B55" s="207" t="s">
        <v>34</v>
      </c>
      <c r="C55" s="205">
        <f>IFERROR(VLOOKUP(A:A,'PPTO 2017'!A:E,3,0),0)</f>
        <v>291632.21738971327</v>
      </c>
      <c r="D55" s="205">
        <f>IFERROR(VLOOKUP(A:A,EJEC!A:G,5,0),0)</f>
        <v>202155.16399999999</v>
      </c>
      <c r="E55" s="205">
        <f t="shared" si="10"/>
        <v>303232.74599999998</v>
      </c>
      <c r="F55" s="322">
        <f t="shared" si="2"/>
        <v>1.0397779391938193</v>
      </c>
      <c r="G55" s="226">
        <f>NOMINA!AN371/1000*0.333333</f>
        <v>313566.79126622854</v>
      </c>
      <c r="H55" s="204">
        <f t="shared" si="5"/>
        <v>3.4079582111585571E-2</v>
      </c>
      <c r="I55" s="322">
        <f t="shared" si="3"/>
        <v>3.4079582111585571E-2</v>
      </c>
      <c r="J55" s="543"/>
      <c r="K55" s="524"/>
      <c r="L55" s="524"/>
      <c r="M55" s="524"/>
    </row>
    <row r="56" spans="1:13" customFormat="1" ht="12.75" hidden="1" outlineLevel="1" x14ac:dyDescent="0.2">
      <c r="A56" s="176">
        <v>5105780000</v>
      </c>
      <c r="B56" s="207" t="s">
        <v>35</v>
      </c>
      <c r="C56" s="205">
        <f>IFERROR(VLOOKUP(A:A,'PPTO 2017'!A:E,3,0),0)</f>
        <v>194421.47825980885</v>
      </c>
      <c r="D56" s="205">
        <f>IFERROR(VLOOKUP(A:A,EJEC!A:G,5,0),0)</f>
        <v>134794.03200000001</v>
      </c>
      <c r="E56" s="205">
        <f t="shared" si="10"/>
        <v>202191.04800000001</v>
      </c>
      <c r="F56" s="322">
        <f t="shared" si="2"/>
        <v>1.0399625072792038</v>
      </c>
      <c r="G56" s="226">
        <f>NOMINA!AN371/1000*0.222222</f>
        <v>209044.52751081905</v>
      </c>
      <c r="H56" s="204">
        <f t="shared" si="5"/>
        <v>3.3896058102528048E-2</v>
      </c>
      <c r="I56" s="322">
        <f t="shared" si="3"/>
        <v>3.3896058102528048E-2</v>
      </c>
      <c r="J56" s="543"/>
      <c r="K56" s="524"/>
      <c r="L56" s="524"/>
      <c r="M56" s="524"/>
    </row>
    <row r="57" spans="1:13" customFormat="1" ht="12.75" hidden="1" outlineLevel="1" x14ac:dyDescent="0.2">
      <c r="A57" s="176">
        <v>5105840000</v>
      </c>
      <c r="B57" s="207" t="s">
        <v>302</v>
      </c>
      <c r="C57" s="205">
        <f>IFERROR(VLOOKUP(A:A,'PPTO 2017'!A:E,3,0),0)</f>
        <v>0</v>
      </c>
      <c r="D57" s="205">
        <f>IFERROR(VLOOKUP(A:A,EJEC!A:G,5,0),0)</f>
        <v>0</v>
      </c>
      <c r="E57" s="205">
        <v>0</v>
      </c>
      <c r="F57" s="322" t="str">
        <f t="shared" si="2"/>
        <v/>
      </c>
      <c r="G57" s="225">
        <f t="shared" ref="G57:G60" si="11">+E57*$O$2</f>
        <v>0</v>
      </c>
      <c r="H57" s="204" t="s">
        <v>169</v>
      </c>
      <c r="I57" s="322" t="str">
        <f t="shared" si="3"/>
        <v/>
      </c>
      <c r="J57" s="543"/>
      <c r="K57" s="524"/>
      <c r="L57" s="524"/>
      <c r="M57" s="524"/>
    </row>
    <row r="58" spans="1:13" customFormat="1" ht="12.75" hidden="1" outlineLevel="1" x14ac:dyDescent="0.2">
      <c r="A58" s="176">
        <v>5105950100</v>
      </c>
      <c r="B58" s="207" t="s">
        <v>36</v>
      </c>
      <c r="C58" s="205">
        <f>IFERROR(VLOOKUP(A:A,'PPTO 2017'!A:E,3,0),0)</f>
        <v>0</v>
      </c>
      <c r="D58" s="205">
        <f>IFERROR(VLOOKUP(A:A,EJEC!A:G,5,0),0)</f>
        <v>0</v>
      </c>
      <c r="E58" s="205">
        <v>0</v>
      </c>
      <c r="F58" s="322" t="str">
        <f t="shared" si="2"/>
        <v/>
      </c>
      <c r="G58" s="225">
        <f t="shared" si="11"/>
        <v>0</v>
      </c>
      <c r="H58" s="204" t="s">
        <v>169</v>
      </c>
      <c r="I58" s="322" t="str">
        <f t="shared" si="3"/>
        <v/>
      </c>
      <c r="J58" s="543"/>
      <c r="K58" s="524"/>
      <c r="L58" s="524"/>
      <c r="M58" s="524"/>
    </row>
    <row r="59" spans="1:13" customFormat="1" ht="12.75" hidden="1" outlineLevel="1" x14ac:dyDescent="0.2">
      <c r="A59" s="176">
        <v>5105950200</v>
      </c>
      <c r="B59" s="207" t="s">
        <v>37</v>
      </c>
      <c r="C59" s="205">
        <f>IFERROR(VLOOKUP(A:A,'PPTO 2017'!A:E,3,0),0)</f>
        <v>0</v>
      </c>
      <c r="D59" s="205">
        <f>IFERROR(VLOOKUP(A:A,EJEC!A:G,5,0),0)</f>
        <v>0</v>
      </c>
      <c r="E59" s="205">
        <v>0</v>
      </c>
      <c r="F59" s="322" t="str">
        <f t="shared" si="2"/>
        <v/>
      </c>
      <c r="G59" s="225">
        <f t="shared" si="11"/>
        <v>0</v>
      </c>
      <c r="H59" s="204" t="s">
        <v>169</v>
      </c>
      <c r="I59" s="322" t="str">
        <f t="shared" si="3"/>
        <v/>
      </c>
      <c r="J59" s="543"/>
      <c r="K59" s="524"/>
      <c r="L59" s="524"/>
      <c r="M59" s="524"/>
    </row>
    <row r="60" spans="1:13" customFormat="1" ht="12.75" hidden="1" outlineLevel="1" x14ac:dyDescent="0.2">
      <c r="A60" s="176">
        <v>5105950300</v>
      </c>
      <c r="B60" s="207" t="s">
        <v>38</v>
      </c>
      <c r="C60" s="205">
        <f>IFERROR(VLOOKUP(A:A,'PPTO 2017'!A:E,3,0),0)</f>
        <v>0</v>
      </c>
      <c r="D60" s="205">
        <f>IFERROR(VLOOKUP(A:A,EJEC!A:G,5,0),0)</f>
        <v>0</v>
      </c>
      <c r="E60" s="205">
        <v>0</v>
      </c>
      <c r="F60" s="322" t="str">
        <f t="shared" si="2"/>
        <v/>
      </c>
      <c r="G60" s="225">
        <f t="shared" si="11"/>
        <v>0</v>
      </c>
      <c r="H60" s="204" t="s">
        <v>169</v>
      </c>
      <c r="I60" s="322" t="str">
        <f t="shared" si="3"/>
        <v/>
      </c>
      <c r="J60" s="543"/>
      <c r="K60" s="524"/>
      <c r="L60" s="524"/>
      <c r="M60" s="524"/>
    </row>
    <row r="61" spans="1:13" customFormat="1" ht="12.75" collapsed="1" x14ac:dyDescent="0.2">
      <c r="A61" s="176"/>
      <c r="B61" s="213" t="s">
        <v>303</v>
      </c>
      <c r="C61" s="214">
        <f>SUM(C33:C60)</f>
        <v>15411513.821346819</v>
      </c>
      <c r="D61" s="214">
        <f>SUM(D33:D60)</f>
        <v>10451414.469999999</v>
      </c>
      <c r="E61" s="214">
        <f>SUM(E33:E60)</f>
        <v>15660887.775</v>
      </c>
      <c r="F61" s="541">
        <f t="shared" si="2"/>
        <v>1.0161810161249551</v>
      </c>
      <c r="G61" s="214">
        <f>SUM(G33:G60)</f>
        <v>16743493.235245485</v>
      </c>
      <c r="H61" s="228">
        <f>(+G61/E61)-1</f>
        <v>6.9127975105835571E-2</v>
      </c>
      <c r="I61" s="322">
        <f t="shared" si="3"/>
        <v>6.9127975105835571E-2</v>
      </c>
      <c r="J61" s="543"/>
      <c r="K61" s="524"/>
      <c r="L61" s="524"/>
      <c r="M61" s="524"/>
    </row>
    <row r="62" spans="1:13" customFormat="1" ht="12.75" hidden="1" outlineLevel="1" x14ac:dyDescent="0.2">
      <c r="A62" s="176"/>
      <c r="B62" s="212" t="s">
        <v>304</v>
      </c>
      <c r="C62" s="205"/>
      <c r="D62" s="205"/>
      <c r="E62" s="205"/>
      <c r="F62" s="322" t="str">
        <f t="shared" si="2"/>
        <v/>
      </c>
      <c r="G62" s="208" t="s">
        <v>169</v>
      </c>
      <c r="H62" s="204" t="s">
        <v>169</v>
      </c>
      <c r="I62" s="322" t="str">
        <f t="shared" si="3"/>
        <v/>
      </c>
      <c r="J62" s="543"/>
      <c r="K62" s="524"/>
      <c r="L62" s="524"/>
      <c r="M62" s="524"/>
    </row>
    <row r="63" spans="1:13" customFormat="1" ht="12.75" hidden="1" outlineLevel="1" x14ac:dyDescent="0.2">
      <c r="A63" s="3">
        <v>5110100000</v>
      </c>
      <c r="B63" s="207" t="s">
        <v>307</v>
      </c>
      <c r="C63" s="205">
        <f>IFERROR(VLOOKUP(A:A,'PPTO 2017'!A:E,3,0),0)</f>
        <v>0</v>
      </c>
      <c r="D63" s="205">
        <f>IFERROR(VLOOKUP(A:A,EJEC!A:G,5,0),0)</f>
        <v>0</v>
      </c>
      <c r="E63" s="205">
        <v>0</v>
      </c>
      <c r="F63" s="322" t="str">
        <f t="shared" si="2"/>
        <v/>
      </c>
      <c r="G63" s="225">
        <f t="shared" ref="G63:G66" si="12">+E63*$O$2</f>
        <v>0</v>
      </c>
      <c r="H63" s="204" t="e">
        <f t="shared" ref="H63:H72" si="13">(+G63/E63)-1</f>
        <v>#DIV/0!</v>
      </c>
      <c r="I63" s="322" t="str">
        <f t="shared" si="3"/>
        <v/>
      </c>
      <c r="J63" s="543"/>
      <c r="K63" s="524"/>
      <c r="L63" s="524"/>
      <c r="M63" s="524"/>
    </row>
    <row r="64" spans="1:13" customFormat="1" ht="12.75" hidden="1" outlineLevel="1" x14ac:dyDescent="0.2">
      <c r="A64" s="3">
        <v>5110200000</v>
      </c>
      <c r="B64" s="207" t="s">
        <v>640</v>
      </c>
      <c r="C64" s="205">
        <f>IFERROR(VLOOKUP(A:A,'PPTO 2017'!A:E,3,0),0)</f>
        <v>0</v>
      </c>
      <c r="D64" s="205">
        <f>IFERROR(VLOOKUP(A:A,EJEC!A:G,5,0),0)</f>
        <v>0</v>
      </c>
      <c r="E64" s="205">
        <v>0</v>
      </c>
      <c r="F64" s="322" t="str">
        <f t="shared" si="2"/>
        <v/>
      </c>
      <c r="G64" s="225">
        <f t="shared" si="12"/>
        <v>0</v>
      </c>
      <c r="H64" s="204" t="e">
        <f t="shared" si="13"/>
        <v>#DIV/0!</v>
      </c>
      <c r="I64" s="322" t="str">
        <f t="shared" si="3"/>
        <v/>
      </c>
      <c r="J64" s="543"/>
      <c r="K64" s="524"/>
      <c r="L64" s="524"/>
      <c r="M64" s="524"/>
    </row>
    <row r="65" spans="1:13" customFormat="1" ht="12.75" hidden="1" outlineLevel="1" x14ac:dyDescent="0.2">
      <c r="A65" s="3">
        <v>5110250000</v>
      </c>
      <c r="B65" s="207" t="s">
        <v>308</v>
      </c>
      <c r="C65" s="205">
        <f>IFERROR(VLOOKUP(A:A,'PPTO 2017'!A:E,3,0),0)</f>
        <v>0</v>
      </c>
      <c r="D65" s="205">
        <f>IFERROR(VLOOKUP(A:A,EJEC!A:G,5,0),0)</f>
        <v>0</v>
      </c>
      <c r="E65" s="205">
        <v>0</v>
      </c>
      <c r="F65" s="322" t="str">
        <f t="shared" si="2"/>
        <v/>
      </c>
      <c r="G65" s="225">
        <f t="shared" si="12"/>
        <v>0</v>
      </c>
      <c r="H65" s="204" t="e">
        <f t="shared" si="13"/>
        <v>#DIV/0!</v>
      </c>
      <c r="I65" s="322" t="str">
        <f t="shared" si="3"/>
        <v/>
      </c>
      <c r="J65" s="543"/>
      <c r="K65" s="524"/>
      <c r="L65" s="524"/>
      <c r="M65" s="524"/>
    </row>
    <row r="66" spans="1:13" customFormat="1" ht="12.75" hidden="1" outlineLevel="1" x14ac:dyDescent="0.2">
      <c r="A66" s="608">
        <v>5110350000</v>
      </c>
      <c r="B66" s="207" t="s">
        <v>745</v>
      </c>
      <c r="C66" s="205">
        <f>IFERROR(VLOOKUP(A:A,'PPTO 2017'!A:E,3,0),0)</f>
        <v>0</v>
      </c>
      <c r="D66" s="205">
        <f>IFERROR(VLOOKUP(A:A,EJEC!A:G,5,0),0)</f>
        <v>0</v>
      </c>
      <c r="E66" s="205">
        <v>0</v>
      </c>
      <c r="F66" s="322" t="str">
        <f>IF(E66=0,"",IF(C66=0,"",(E66/C66)))</f>
        <v/>
      </c>
      <c r="G66" s="225">
        <f t="shared" si="12"/>
        <v>0</v>
      </c>
      <c r="H66" s="204" t="e">
        <f>(+G66/E66)-1</f>
        <v>#DIV/0!</v>
      </c>
      <c r="I66" s="322" t="str">
        <f>IF(G66=0,"",IF(E66=0,"",(G66/E66)-1))</f>
        <v/>
      </c>
      <c r="J66" s="543"/>
      <c r="K66" s="524"/>
      <c r="L66" s="524"/>
      <c r="M66" s="524"/>
    </row>
    <row r="67" spans="1:13" customFormat="1" ht="12.75" hidden="1" outlineLevel="1" x14ac:dyDescent="0.2">
      <c r="A67" s="176">
        <v>5110350100</v>
      </c>
      <c r="B67" s="577" t="s">
        <v>686</v>
      </c>
      <c r="C67" s="205">
        <f>IFERROR(VLOOKUP(A:A,'PPTO 2017'!A:E,3,0),0)</f>
        <v>333826.09399999998</v>
      </c>
      <c r="D67" s="205">
        <f>IFERROR(VLOOKUP(A:A,EJEC!A:G,5,0),0)</f>
        <v>87658.754000000001</v>
      </c>
      <c r="E67" s="205">
        <v>344500</v>
      </c>
      <c r="F67" s="322">
        <f t="shared" si="2"/>
        <v>1.0319744507450039</v>
      </c>
      <c r="G67" s="226">
        <f>(SUMIF(HONORARIOS!$B$27:$B$165,A67,HONORARIOS!$G$27:$G$165)+SUMIF(ASESOR.Y.CONSULT.!$A$7:$A$25,PRESUPUESTO!A67,ASESOR.Y.CONSULT.!$N$7:$N$25)+SUMIF('PROY INVEST.'!$A$5:$A$26,PRESUPUESTO!A67,'PROY INVEST.'!$N$5:$N$26)+SUMIF(P.PROY.SOCIAL!$A$5:$A$28,PRESUPUESTO!A67,P.PROY.SOCIAL!$N$5:$N$28)+SUMIF(GEST.REC.HUM.!$A$6:$A$39,PRESUPUESTO!A67,GEST.REC.HUM.!$N$6:$N$39)+SUMIF('OTRAS ACTIV.'!$A$6:$A$39,PRESUPUESTO!A67,'OTRAS ACTIV.'!$N$6:$N$39)+SUMIF('ADICIONALES PD'!A$6:$A23,PRESUPUESTO!A67,'ADICIONALES PD'!$N$6:$N$23)+SUMIF(SALIDAS!$A$6:$A$19,PRESUPUESTO!A67,SALIDAS!$AE$6:$AE$19)+SUMIF(BIBLIOTECA!$A$7:$A$41,PRESUPUESTO!A67,BIBLIOTECA!$F$5:$F$41)+SUMIF(AFILIACIONES!$A$5:$A$25,PRESUPUESTO!A67,AFILIACIONES!$E$5:$E$25)+SUMIF(IMPRESOS.PUBLIC!$A$7:$A$34,PRESUPUESTO!A67,IMPRESOS.PUBLIC!$D$7:$D$34)+SUMIF(MANTEN.EQUIP.!$A$7:$A$27,PRESUPUESTO!A67,MANTEN.EQUIP.!$D$7:$D$27)+SUMIF(INVER.EQUIPO.COMP!$A$7:$A$37,PRESUPUESTO!A67,INVER.EQUIPO.COMP!$E$7:$E$37)+SUMIF(INVER.OTROS.EQUIPOS!$A$7:$A$37,PRESUPUESTO!A67,INVER.OTROS.EQUIPOS!$E$7:$E$37)+SUMIF(INVER.MUEBLES!$A$7:$A$35,PRESUPUESTO!A67,INVER.MUEBLES!$E$7:$E$35)+SUMIF(ADECUAC.LOCATIVAS!$A$7:$A$29,PRESUPUESTO!A67,ADECUAC.LOCATIVAS!$E$7:$E$29))/1000</f>
        <v>303826.09399999998</v>
      </c>
      <c r="H67" s="204">
        <f t="shared" si="13"/>
        <v>-0.1180664905660378</v>
      </c>
      <c r="I67" s="322">
        <f t="shared" si="3"/>
        <v>-0.1180664905660378</v>
      </c>
      <c r="J67" s="543"/>
      <c r="K67" s="524"/>
      <c r="L67" s="524"/>
      <c r="M67" s="524"/>
    </row>
    <row r="68" spans="1:13" customFormat="1" ht="12.75" hidden="1" outlineLevel="1" x14ac:dyDescent="0.2">
      <c r="A68" s="176">
        <v>5110350300</v>
      </c>
      <c r="B68" s="207" t="s">
        <v>40</v>
      </c>
      <c r="C68" s="205">
        <f>IFERROR(VLOOKUP(A:A,'PPTO 2017'!A:E,3,0),0)</f>
        <v>0</v>
      </c>
      <c r="D68" s="205">
        <f>IFERROR(VLOOKUP(A:A,EJEC!A:G,5,0),0)</f>
        <v>0</v>
      </c>
      <c r="E68" s="205">
        <v>0</v>
      </c>
      <c r="F68" s="322" t="str">
        <f t="shared" si="2"/>
        <v/>
      </c>
      <c r="G68" s="225">
        <f t="shared" ref="G68:G69" si="14">+E68*$O$2</f>
        <v>0</v>
      </c>
      <c r="H68" s="204" t="e">
        <f t="shared" si="13"/>
        <v>#DIV/0!</v>
      </c>
      <c r="I68" s="322" t="str">
        <f t="shared" si="3"/>
        <v/>
      </c>
      <c r="J68" s="543"/>
      <c r="K68" s="524"/>
      <c r="L68" s="524"/>
      <c r="M68" s="524"/>
    </row>
    <row r="69" spans="1:13" customFormat="1" ht="12.75" hidden="1" outlineLevel="1" x14ac:dyDescent="0.2">
      <c r="A69" s="176">
        <v>5110350400</v>
      </c>
      <c r="B69" s="207" t="s">
        <v>41</v>
      </c>
      <c r="C69" s="205">
        <f>IFERROR(VLOOKUP(A:A,'PPTO 2017'!A:E,3,0),0)</f>
        <v>0</v>
      </c>
      <c r="D69" s="205">
        <f>IFERROR(VLOOKUP(A:A,EJEC!A:G,5,0),0)</f>
        <v>0</v>
      </c>
      <c r="E69" s="205">
        <v>0</v>
      </c>
      <c r="F69" s="322" t="str">
        <f t="shared" si="2"/>
        <v/>
      </c>
      <c r="G69" s="225">
        <f t="shared" si="14"/>
        <v>0</v>
      </c>
      <c r="H69" s="204" t="e">
        <f t="shared" si="13"/>
        <v>#DIV/0!</v>
      </c>
      <c r="I69" s="322" t="str">
        <f t="shared" si="3"/>
        <v/>
      </c>
      <c r="J69" s="543"/>
      <c r="K69" s="524"/>
      <c r="L69" s="524"/>
      <c r="M69" s="524"/>
    </row>
    <row r="70" spans="1:13" customFormat="1" ht="12.75" hidden="1" outlineLevel="1" x14ac:dyDescent="0.2">
      <c r="A70" s="176">
        <v>5110350600</v>
      </c>
      <c r="B70" s="207" t="s">
        <v>305</v>
      </c>
      <c r="C70" s="205">
        <f>IFERROR(VLOOKUP(A:A,'PPTO 2017'!A:E,3,0),0)</f>
        <v>53660.5</v>
      </c>
      <c r="D70" s="205">
        <f>IFERROR(VLOOKUP(A:A,EJEC!A:G,5,0),0)</f>
        <v>1200</v>
      </c>
      <c r="E70" s="205">
        <v>1200</v>
      </c>
      <c r="F70" s="322">
        <f t="shared" si="2"/>
        <v>2.2362818087792696E-2</v>
      </c>
      <c r="G70" s="225">
        <v>5000</v>
      </c>
      <c r="H70" s="204">
        <f t="shared" si="13"/>
        <v>3.166666666666667</v>
      </c>
      <c r="I70" s="322">
        <f t="shared" si="3"/>
        <v>3.166666666666667</v>
      </c>
      <c r="J70" s="543"/>
      <c r="K70" s="524"/>
      <c r="L70" s="524"/>
      <c r="M70" s="524"/>
    </row>
    <row r="71" spans="1:13" customFormat="1" ht="12.75" hidden="1" outlineLevel="1" x14ac:dyDescent="0.2">
      <c r="A71" s="176">
        <v>5110500000</v>
      </c>
      <c r="B71" s="207" t="s">
        <v>925</v>
      </c>
      <c r="C71" s="205">
        <f>IFERROR(VLOOKUP(A:A,'PPTO 2017'!A:E,3,0),0)</f>
        <v>0</v>
      </c>
      <c r="D71" s="205">
        <f>IFERROR(VLOOKUP(A:A,EJEC!A:G,5,0),0)</f>
        <v>166217.07500000001</v>
      </c>
      <c r="E71" s="205">
        <v>0</v>
      </c>
      <c r="F71" s="322" t="str">
        <f t="shared" ref="F71" si="15">IF(E71=0,"",IF(C71=0,"",(E71/C71)))</f>
        <v/>
      </c>
      <c r="G71" s="225">
        <f t="shared" ref="G71" si="16">+E71*$O$2</f>
        <v>0</v>
      </c>
      <c r="H71" s="204"/>
      <c r="I71" s="322"/>
      <c r="J71" s="543"/>
      <c r="K71" s="524"/>
      <c r="L71" s="524"/>
      <c r="M71" s="524"/>
    </row>
    <row r="72" spans="1:13" customFormat="1" ht="12.75" hidden="1" outlineLevel="1" x14ac:dyDescent="0.2">
      <c r="A72" s="176">
        <v>5110950000</v>
      </c>
      <c r="B72" s="207" t="s">
        <v>42</v>
      </c>
      <c r="C72" s="205">
        <f>IFERROR(VLOOKUP(A:A,'PPTO 2017'!A:E,3,0),0)</f>
        <v>5500</v>
      </c>
      <c r="D72" s="205">
        <f>IFERROR(VLOOKUP(A:A,EJEC!A:G,5,0),0)</f>
        <v>10501.672</v>
      </c>
      <c r="E72" s="205">
        <v>18500</v>
      </c>
      <c r="F72" s="322">
        <f t="shared" si="2"/>
        <v>3.3636363636363638</v>
      </c>
      <c r="G72" s="226">
        <f>(SUMIF(HONORARIOS!$B$27:$B$165,A72,HONORARIOS!$G$27:$G$165)+SUMIF(ASESOR.Y.CONSULT.!$A$7:$A$25,PRESUPUESTO!A72,ASESOR.Y.CONSULT.!$N$7:$N$25)+SUMIF('PROY INVEST.'!$A$5:$A$26,PRESUPUESTO!A72,'PROY INVEST.'!$N$5:$N$26)+SUMIF(P.PROY.SOCIAL!$A$5:$A$28,PRESUPUESTO!A72,P.PROY.SOCIAL!$N$5:$N$28)+SUMIF(GEST.REC.HUM.!$A$6:$A$39,PRESUPUESTO!A72,GEST.REC.HUM.!$N$6:$N$39)+SUMIF('OTRAS ACTIV.'!$A$6:$A$39,PRESUPUESTO!A72,'OTRAS ACTIV.'!$N$6:$N$39)+SUMIF('ADICIONALES PD'!A$6:$A23,PRESUPUESTO!A72,'ADICIONALES PD'!$N$6:$N$23)+SUMIF(SALIDAS!$A$6:$A$19,PRESUPUESTO!A72,SALIDAS!$AE$6:$AE$19)+SUMIF(BIBLIOTECA!$A$7:$A$41,PRESUPUESTO!A72,BIBLIOTECA!$F$5:$F$41)+SUMIF(AFILIACIONES!$A$5:$A$25,PRESUPUESTO!A72,AFILIACIONES!$E$5:$E$25)+SUMIF(IMPRESOS.PUBLIC!$A$7:$A$34,PRESUPUESTO!A72,IMPRESOS.PUBLIC!$D$7:$D$34)+SUMIF(MANTEN.EQUIP.!$A$7:$A$27,PRESUPUESTO!A72,MANTEN.EQUIP.!$D$7:$D$27)+SUMIF(INVER.EQUIPO.COMP!$A$7:$A$37,PRESUPUESTO!A72,INVER.EQUIPO.COMP!$E$7:$E$37)+SUMIF(INVER.OTROS.EQUIPOS!$A$7:$A$37,PRESUPUESTO!A72,INVER.OTROS.EQUIPOS!$E$7:$E$37)+SUMIF(INVER.MUEBLES!$A$7:$A$35,PRESUPUESTO!A72,INVER.MUEBLES!$E$7:$E$35)+SUMIF(ADECUAC.LOCATIVAS!$A$7:$A$29,PRESUPUESTO!A72,ADECUAC.LOCATIVAS!$E$7:$E$29))/1000</f>
        <v>3000</v>
      </c>
      <c r="H72" s="204">
        <f t="shared" si="13"/>
        <v>-0.83783783783783783</v>
      </c>
      <c r="I72" s="322">
        <f t="shared" si="3"/>
        <v>-0.83783783783783783</v>
      </c>
      <c r="J72" s="543"/>
      <c r="K72" s="524"/>
      <c r="L72" s="524"/>
      <c r="M72" s="524"/>
    </row>
    <row r="73" spans="1:13" customFormat="1" ht="12.75" collapsed="1" x14ac:dyDescent="0.2">
      <c r="A73" s="176"/>
      <c r="B73" s="213" t="s">
        <v>306</v>
      </c>
      <c r="C73" s="214">
        <f>SUM(C63:C72)</f>
        <v>392986.59399999998</v>
      </c>
      <c r="D73" s="214">
        <f>SUM(D63:D72)</f>
        <v>265577.50100000005</v>
      </c>
      <c r="E73" s="214">
        <f>SUM(E63:E72)</f>
        <v>364200</v>
      </c>
      <c r="F73" s="541">
        <f t="shared" si="2"/>
        <v>0.92674917048188166</v>
      </c>
      <c r="G73" s="214">
        <f>SUM(G63:G72)</f>
        <v>311826.09399999998</v>
      </c>
      <c r="H73" s="228">
        <f>(+G73/E73)-1</f>
        <v>-0.14380534321801208</v>
      </c>
      <c r="I73" s="322">
        <f t="shared" si="3"/>
        <v>-0.14380534321801208</v>
      </c>
      <c r="J73" s="543"/>
      <c r="K73" s="524"/>
      <c r="L73" s="524"/>
      <c r="M73" s="524"/>
    </row>
    <row r="74" spans="1:13" customFormat="1" ht="12.75" hidden="1" customHeight="1" outlineLevel="1" x14ac:dyDescent="0.2">
      <c r="A74" s="176"/>
      <c r="B74" s="212" t="s">
        <v>506</v>
      </c>
      <c r="C74" s="205"/>
      <c r="D74" s="205"/>
      <c r="E74" s="205"/>
      <c r="F74" s="322" t="str">
        <f t="shared" si="2"/>
        <v/>
      </c>
      <c r="G74" s="208"/>
      <c r="H74" s="204"/>
      <c r="I74" s="322" t="str">
        <f t="shared" si="3"/>
        <v/>
      </c>
      <c r="J74" s="543"/>
      <c r="K74" s="524"/>
      <c r="L74" s="524"/>
      <c r="M74" s="524"/>
    </row>
    <row r="75" spans="1:13" customFormat="1" ht="12.75" hidden="1" outlineLevel="1" x14ac:dyDescent="0.2">
      <c r="A75" s="176">
        <v>5110350200</v>
      </c>
      <c r="B75" s="207" t="s">
        <v>507</v>
      </c>
      <c r="C75" s="205">
        <f>IFERROR(VLOOKUP(A:A,'PPTO 2017'!A:E,3,0),0)</f>
        <v>2431721.0660000001</v>
      </c>
      <c r="D75" s="205">
        <f>IFERROR(VLOOKUP(A:A,EJEC!A:G,5,0),0)</f>
        <v>1488228.9509999999</v>
      </c>
      <c r="E75" s="205">
        <v>2910000</v>
      </c>
      <c r="F75" s="322">
        <f t="shared" si="2"/>
        <v>1.1966833041368241</v>
      </c>
      <c r="G75" s="226">
        <v>2975430</v>
      </c>
      <c r="H75" s="204">
        <f>(+G75/E75)-1</f>
        <v>2.2484536082474138E-2</v>
      </c>
      <c r="I75" s="322">
        <f t="shared" si="3"/>
        <v>2.2484536082474138E-2</v>
      </c>
      <c r="J75" s="543"/>
      <c r="K75" s="524"/>
      <c r="L75" s="524"/>
      <c r="M75" s="524"/>
    </row>
    <row r="76" spans="1:13" customFormat="1" ht="12.75" customHeight="1" collapsed="1" x14ac:dyDescent="0.2">
      <c r="A76" s="176"/>
      <c r="B76" s="213" t="s">
        <v>523</v>
      </c>
      <c r="C76" s="214">
        <f>+C75</f>
        <v>2431721.0660000001</v>
      </c>
      <c r="D76" s="214">
        <f>+D75</f>
        <v>1488228.9509999999</v>
      </c>
      <c r="E76" s="214">
        <f>+E75</f>
        <v>2910000</v>
      </c>
      <c r="F76" s="541">
        <f t="shared" si="2"/>
        <v>1.1966833041368241</v>
      </c>
      <c r="G76" s="214">
        <f>+G75</f>
        <v>2975430</v>
      </c>
      <c r="H76" s="204"/>
      <c r="I76" s="322">
        <f t="shared" si="3"/>
        <v>2.2484536082474138E-2</v>
      </c>
      <c r="J76" s="543"/>
      <c r="K76" s="524"/>
      <c r="L76" s="524"/>
      <c r="M76" s="524"/>
    </row>
    <row r="77" spans="1:13" customFormat="1" ht="12.75" hidden="1" outlineLevel="1" x14ac:dyDescent="0.2">
      <c r="A77" s="176"/>
      <c r="B77" s="212" t="s">
        <v>44</v>
      </c>
      <c r="C77" s="205"/>
      <c r="D77" s="205"/>
      <c r="E77" s="205"/>
      <c r="F77" s="322" t="str">
        <f t="shared" si="2"/>
        <v/>
      </c>
      <c r="G77" s="208" t="s">
        <v>169</v>
      </c>
      <c r="H77" s="204" t="s">
        <v>169</v>
      </c>
      <c r="I77" s="322" t="str">
        <f t="shared" si="3"/>
        <v/>
      </c>
      <c r="J77" s="543"/>
      <c r="K77" s="524"/>
      <c r="L77" s="524"/>
      <c r="M77" s="524"/>
    </row>
    <row r="78" spans="1:13" customFormat="1" ht="12.75" hidden="1" outlineLevel="1" x14ac:dyDescent="0.2">
      <c r="A78" s="176"/>
      <c r="B78" s="212" t="s">
        <v>508</v>
      </c>
      <c r="C78" s="205"/>
      <c r="D78" s="205"/>
      <c r="E78" s="205"/>
      <c r="F78" s="322" t="str">
        <f t="shared" si="2"/>
        <v/>
      </c>
      <c r="G78" s="208"/>
      <c r="H78" s="204"/>
      <c r="I78" s="322" t="str">
        <f t="shared" ref="I78:I137" si="17">IF(G78=0,"",IF(E78=0,"",(G78/E78)-1))</f>
        <v/>
      </c>
      <c r="J78" s="543"/>
      <c r="K78" s="524"/>
      <c r="L78" s="524"/>
      <c r="M78" s="524"/>
    </row>
    <row r="79" spans="1:13" customFormat="1" ht="12.75" hidden="1" outlineLevel="1" x14ac:dyDescent="0.2">
      <c r="A79" s="3">
        <v>5115050000</v>
      </c>
      <c r="B79" s="207" t="s">
        <v>309</v>
      </c>
      <c r="C79" s="205">
        <f>IFERROR(VLOOKUP(A:A,'PPTO 2017'!A:E,3,0),0)</f>
        <v>0</v>
      </c>
      <c r="D79" s="205">
        <f>IFERROR(VLOOKUP(A:A,EJEC!A:G,5,0),0)</f>
        <v>0</v>
      </c>
      <c r="E79" s="205">
        <v>0</v>
      </c>
      <c r="F79" s="322" t="str">
        <f t="shared" si="2"/>
        <v/>
      </c>
      <c r="G79" s="225">
        <f t="shared" ref="G79:G83" si="18">+E79*$O$2</f>
        <v>0</v>
      </c>
      <c r="H79" s="204" t="e">
        <f t="shared" ref="H79:H140" si="19">(+G79/E79)-1</f>
        <v>#DIV/0!</v>
      </c>
      <c r="I79" s="322" t="str">
        <f t="shared" si="17"/>
        <v/>
      </c>
      <c r="J79" s="543"/>
      <c r="K79" s="524"/>
      <c r="L79" s="524"/>
      <c r="M79" s="524"/>
    </row>
    <row r="80" spans="1:13" customFormat="1" ht="12.75" hidden="1" outlineLevel="1" x14ac:dyDescent="0.2">
      <c r="A80" s="3">
        <v>5115150000</v>
      </c>
      <c r="B80" s="207" t="s">
        <v>310</v>
      </c>
      <c r="C80" s="205">
        <f>IFERROR(VLOOKUP(A:A,'PPTO 2017'!A:E,3,0),0)</f>
        <v>0</v>
      </c>
      <c r="D80" s="205">
        <f>IFERROR(VLOOKUP(A:A,EJEC!A:G,5,0),0)</f>
        <v>0</v>
      </c>
      <c r="E80" s="205">
        <v>0</v>
      </c>
      <c r="F80" s="322" t="str">
        <f t="shared" ref="F80:F139" si="20">IF(E80=0,"",IF(C80=0,"",(E80/C80)))</f>
        <v/>
      </c>
      <c r="G80" s="225">
        <f t="shared" si="18"/>
        <v>0</v>
      </c>
      <c r="H80" s="204" t="e">
        <f t="shared" si="19"/>
        <v>#DIV/0!</v>
      </c>
      <c r="I80" s="322" t="str">
        <f t="shared" si="17"/>
        <v/>
      </c>
      <c r="J80" s="543"/>
      <c r="K80" s="524"/>
      <c r="L80" s="524"/>
      <c r="M80" s="524"/>
    </row>
    <row r="81" spans="1:13" customFormat="1" ht="12.75" hidden="1" outlineLevel="1" x14ac:dyDescent="0.2">
      <c r="A81" s="608">
        <v>5115250000</v>
      </c>
      <c r="B81" s="207" t="s">
        <v>746</v>
      </c>
      <c r="C81" s="205">
        <f>IFERROR(VLOOKUP(A:A,'PPTO 2017'!A:E,3,0),0)</f>
        <v>0</v>
      </c>
      <c r="D81" s="205">
        <f>IFERROR(VLOOKUP(A:A,EJEC!A:G,5,0),0)</f>
        <v>0</v>
      </c>
      <c r="E81" s="205">
        <v>0</v>
      </c>
      <c r="F81" s="322" t="str">
        <f>IF(E81=0,"",IF(C81=0,"",(E81/C81)))</f>
        <v/>
      </c>
      <c r="G81" s="225">
        <f t="shared" si="18"/>
        <v>0</v>
      </c>
      <c r="H81" s="204" t="e">
        <f>(+G81/E81)-1</f>
        <v>#DIV/0!</v>
      </c>
      <c r="I81" s="322" t="str">
        <f>IF(G81=0,"",IF(E81=0,"",(G81/E81)-1))</f>
        <v/>
      </c>
      <c r="J81" s="543"/>
      <c r="K81" s="524"/>
      <c r="L81" s="524"/>
      <c r="M81" s="524"/>
    </row>
    <row r="82" spans="1:13" customFormat="1" ht="12.75" hidden="1" outlineLevel="1" x14ac:dyDescent="0.2">
      <c r="A82" s="3">
        <v>5115950200</v>
      </c>
      <c r="B82" s="207" t="s">
        <v>311</v>
      </c>
      <c r="C82" s="205">
        <f>IFERROR(VLOOKUP(A:A,'PPTO 2017'!A:E,3,0),0)</f>
        <v>0</v>
      </c>
      <c r="D82" s="205">
        <f>IFERROR(VLOOKUP(A:A,EJEC!A:G,5,0),0)</f>
        <v>0</v>
      </c>
      <c r="E82" s="205">
        <v>0</v>
      </c>
      <c r="F82" s="322" t="str">
        <f t="shared" si="20"/>
        <v/>
      </c>
      <c r="G82" s="225">
        <f t="shared" si="18"/>
        <v>0</v>
      </c>
      <c r="H82" s="204" t="e">
        <f t="shared" si="19"/>
        <v>#DIV/0!</v>
      </c>
      <c r="I82" s="322" t="str">
        <f t="shared" si="17"/>
        <v/>
      </c>
      <c r="J82" s="543"/>
      <c r="K82" s="524"/>
      <c r="L82" s="524"/>
      <c r="M82" s="524"/>
    </row>
    <row r="83" spans="1:13" customFormat="1" ht="12.75" hidden="1" outlineLevel="1" x14ac:dyDescent="0.2">
      <c r="A83" s="608">
        <v>5115950500</v>
      </c>
      <c r="B83" s="207" t="s">
        <v>747</v>
      </c>
      <c r="C83" s="205">
        <f>IFERROR(VLOOKUP(A:A,'PPTO 2017'!A:E,3,0),0)</f>
        <v>0</v>
      </c>
      <c r="D83" s="205">
        <f>IFERROR(VLOOKUP(A:A,EJEC!A:G,5,0),0)</f>
        <v>0</v>
      </c>
      <c r="E83" s="205">
        <v>0</v>
      </c>
      <c r="F83" s="322" t="str">
        <f>IF(E83=0,"",IF(C83=0,"",(E83/C83)))</f>
        <v/>
      </c>
      <c r="G83" s="225">
        <f t="shared" si="18"/>
        <v>0</v>
      </c>
      <c r="H83" s="204" t="e">
        <f>(+G83/E83)-1</f>
        <v>#DIV/0!</v>
      </c>
      <c r="I83" s="322" t="str">
        <f>IF(G83=0,"",IF(E83=0,"",(G83/E83)-1))</f>
        <v/>
      </c>
      <c r="J83" s="543"/>
      <c r="K83" s="524"/>
      <c r="L83" s="524"/>
      <c r="M83" s="524"/>
    </row>
    <row r="84" spans="1:13" customFormat="1" ht="12.75" hidden="1" outlineLevel="1" x14ac:dyDescent="0.2">
      <c r="A84" s="3"/>
      <c r="B84" s="212" t="s">
        <v>446</v>
      </c>
      <c r="C84" s="205"/>
      <c r="D84" s="205"/>
      <c r="E84" s="205"/>
      <c r="F84" s="322" t="str">
        <f t="shared" si="20"/>
        <v/>
      </c>
      <c r="G84" s="225"/>
      <c r="H84" s="204"/>
      <c r="I84" s="322" t="str">
        <f t="shared" si="17"/>
        <v/>
      </c>
      <c r="J84" s="543"/>
      <c r="K84" s="524"/>
      <c r="L84" s="524"/>
      <c r="M84" s="524"/>
    </row>
    <row r="85" spans="1:13" customFormat="1" ht="12.75" hidden="1" outlineLevel="1" x14ac:dyDescent="0.2">
      <c r="A85" s="3">
        <v>5120100000</v>
      </c>
      <c r="B85" s="207" t="s">
        <v>772</v>
      </c>
      <c r="C85" s="205">
        <f>IFERROR(VLOOKUP(A:A,'PPTO 2017'!A:E,3,0),0)</f>
        <v>0</v>
      </c>
      <c r="D85" s="205">
        <f>IFERROR(VLOOKUP(A:A,EJEC!A:G,5,0),0)</f>
        <v>0</v>
      </c>
      <c r="E85" s="205">
        <v>0</v>
      </c>
      <c r="F85" s="322" t="str">
        <f t="shared" si="20"/>
        <v/>
      </c>
      <c r="G85" s="226">
        <f>(SUMIF(HONORARIOS!$B$27:$B$165,A85,HONORARIOS!$G$27:$G$165)+SUMIF(ASESOR.Y.CONSULT.!$A$7:$A$25,PRESUPUESTO!A85,ASESOR.Y.CONSULT.!$N$7:$N$25)+SUMIF('PROY INVEST.'!$A$5:$A$26,PRESUPUESTO!A85,'PROY INVEST.'!$N$5:$N$26)+SUMIF(P.PROY.SOCIAL!$A$5:$A$28,PRESUPUESTO!A85,P.PROY.SOCIAL!$N$5:$N$28)+SUMIF(GEST.REC.HUM.!$A$6:$A$39,PRESUPUESTO!A85,GEST.REC.HUM.!$N$6:$N$39)+SUMIF('OTRAS ACTIV.'!$A$6:$A$39,PRESUPUESTO!A85,'OTRAS ACTIV.'!$N$6:$N$39)+SUMIF('ADICIONALES PD'!A$6:$A23,PRESUPUESTO!A85,'ADICIONALES PD'!$N$6:$N$23)+SUMIF(SALIDAS!$A$6:$A$19,PRESUPUESTO!A85,SALIDAS!$AE$6:$AE$19)+SUMIF(BIBLIOTECA!$A$7:$A$41,PRESUPUESTO!A85,BIBLIOTECA!$F$5:$F$41)+SUMIF(AFILIACIONES!$A$5:$A$25,PRESUPUESTO!A85,AFILIACIONES!$E$5:$E$25)+SUMIF(IMPRESOS.PUBLIC!$A$7:$A$34,PRESUPUESTO!A85,IMPRESOS.PUBLIC!$D$7:$D$34)+SUMIF(MANTEN.EQUIP.!$A$7:$A$27,PRESUPUESTO!A85,MANTEN.EQUIP.!$D$7:$D$27)+SUMIF(INVER.EQUIPO.COMP!$A$7:$A$37,PRESUPUESTO!A85,INVER.EQUIPO.COMP!$E$7:$E$37)+SUMIF(INVER.OTROS.EQUIPOS!$A$7:$A$37,PRESUPUESTO!A85,INVER.OTROS.EQUIPOS!$E$7:$E$37)+SUMIF(INVER.MUEBLES!$A$7:$A$35,PRESUPUESTO!A85,INVER.MUEBLES!$E$7:$E$35)+SUMIF(ADECUAC.LOCATIVAS!$A$7:$A$29,PRESUPUESTO!A85,ADECUAC.LOCATIVAS!$E$7:$E$29))/1000</f>
        <v>0</v>
      </c>
      <c r="H85" s="204" t="e">
        <f t="shared" si="19"/>
        <v>#DIV/0!</v>
      </c>
      <c r="I85" s="322" t="str">
        <f t="shared" si="17"/>
        <v/>
      </c>
      <c r="J85" s="543"/>
      <c r="K85" s="524"/>
      <c r="L85" s="524"/>
      <c r="M85" s="524"/>
    </row>
    <row r="86" spans="1:13" customFormat="1" ht="12.75" hidden="1" outlineLevel="1" x14ac:dyDescent="0.2">
      <c r="A86" s="3">
        <v>5120250000</v>
      </c>
      <c r="B86" s="207" t="s">
        <v>312</v>
      </c>
      <c r="C86" s="205">
        <f>IFERROR(VLOOKUP(A:A,'PPTO 2017'!A:E,3,0),0)</f>
        <v>918.06000000000006</v>
      </c>
      <c r="D86" s="205">
        <f>IFERROR(VLOOKUP(A:A,EJEC!A:G,5,0),0)</f>
        <v>0</v>
      </c>
      <c r="E86" s="205">
        <v>0</v>
      </c>
      <c r="F86" s="322" t="str">
        <f t="shared" si="20"/>
        <v/>
      </c>
      <c r="G86" s="225">
        <f t="shared" ref="G86:G88" si="21">+E86*$O$2</f>
        <v>0</v>
      </c>
      <c r="H86" s="204" t="e">
        <f t="shared" si="19"/>
        <v>#DIV/0!</v>
      </c>
      <c r="I86" s="322" t="str">
        <f t="shared" si="17"/>
        <v/>
      </c>
      <c r="J86" s="543"/>
      <c r="K86" s="524"/>
      <c r="L86" s="524"/>
      <c r="M86" s="524"/>
    </row>
    <row r="87" spans="1:13" customFormat="1" ht="12.75" hidden="1" outlineLevel="1" x14ac:dyDescent="0.2">
      <c r="A87" s="3">
        <v>5120300000</v>
      </c>
      <c r="B87" s="207" t="s">
        <v>313</v>
      </c>
      <c r="C87" s="205">
        <f>IFERROR(VLOOKUP(A:A,'PPTO 2017'!A:E,3,0),0)</f>
        <v>0</v>
      </c>
      <c r="D87" s="205">
        <f>IFERROR(VLOOKUP(A:A,EJEC!A:G,5,0),0)</f>
        <v>0</v>
      </c>
      <c r="E87" s="205">
        <v>0</v>
      </c>
      <c r="F87" s="322" t="str">
        <f t="shared" si="20"/>
        <v/>
      </c>
      <c r="G87" s="225">
        <f t="shared" si="21"/>
        <v>0</v>
      </c>
      <c r="H87" s="204" t="e">
        <f t="shared" si="19"/>
        <v>#DIV/0!</v>
      </c>
      <c r="I87" s="322" t="str">
        <f t="shared" si="17"/>
        <v/>
      </c>
      <c r="J87" s="543"/>
      <c r="K87" s="524"/>
      <c r="L87" s="524"/>
      <c r="M87" s="524"/>
    </row>
    <row r="88" spans="1:13" customFormat="1" ht="12.75" hidden="1" outlineLevel="1" x14ac:dyDescent="0.2">
      <c r="A88" s="3">
        <v>5120950000</v>
      </c>
      <c r="B88" s="207" t="s">
        <v>45</v>
      </c>
      <c r="C88" s="205">
        <f>IFERROR(VLOOKUP(A:A,'PPTO 2017'!A:E,3,0),0)</f>
        <v>0</v>
      </c>
      <c r="D88" s="205">
        <f>IFERROR(VLOOKUP(A:A,EJEC!A:G,5,0),0)</f>
        <v>0</v>
      </c>
      <c r="E88" s="205">
        <v>0</v>
      </c>
      <c r="F88" s="322" t="str">
        <f t="shared" si="20"/>
        <v/>
      </c>
      <c r="G88" s="225">
        <f t="shared" si="21"/>
        <v>0</v>
      </c>
      <c r="H88" s="204" t="e">
        <f t="shared" si="19"/>
        <v>#DIV/0!</v>
      </c>
      <c r="I88" s="322" t="str">
        <f t="shared" si="17"/>
        <v/>
      </c>
      <c r="J88" s="543"/>
      <c r="K88" s="524"/>
      <c r="L88" s="524"/>
      <c r="M88" s="524"/>
    </row>
    <row r="89" spans="1:13" customFormat="1" ht="12.75" hidden="1" outlineLevel="1" x14ac:dyDescent="0.2">
      <c r="A89" s="3"/>
      <c r="B89" s="212" t="s">
        <v>509</v>
      </c>
      <c r="C89" s="205"/>
      <c r="D89" s="205"/>
      <c r="E89" s="205"/>
      <c r="F89" s="322" t="str">
        <f t="shared" si="20"/>
        <v/>
      </c>
      <c r="G89" s="225" t="s">
        <v>169</v>
      </c>
      <c r="H89" s="204"/>
      <c r="I89" s="322" t="str">
        <f t="shared" si="17"/>
        <v/>
      </c>
      <c r="J89" s="543"/>
      <c r="K89" s="524"/>
      <c r="L89" s="524"/>
      <c r="M89" s="524"/>
    </row>
    <row r="90" spans="1:13" customFormat="1" ht="12.75" hidden="1" outlineLevel="1" x14ac:dyDescent="0.2">
      <c r="A90" s="3">
        <v>5125100000</v>
      </c>
      <c r="B90" s="207" t="s">
        <v>46</v>
      </c>
      <c r="C90" s="205">
        <f>IFERROR(VLOOKUP(A:A,'PPTO 2017'!A:E,3,0),0)</f>
        <v>30000</v>
      </c>
      <c r="D90" s="205">
        <f>IFERROR(VLOOKUP(A:A,EJEC!A:G,5,0),0)</f>
        <v>11065.754999999999</v>
      </c>
      <c r="E90" s="205">
        <v>29800</v>
      </c>
      <c r="F90" s="322">
        <f t="shared" si="20"/>
        <v>0.99333333333333329</v>
      </c>
      <c r="G90" s="226">
        <f>(SUMIF(HONORARIOS!$B$27:$B$165,A90,HONORARIOS!$G$27:$G$165)+SUMIF(ASESOR.Y.CONSULT.!$A$7:$A$25,PRESUPUESTO!A90,ASESOR.Y.CONSULT.!$N$7:$N$25)+SUMIF('PROY INVEST.'!$A$5:$A$26,PRESUPUESTO!A90,'PROY INVEST.'!$N$5:$N$26)+SUMIF(P.PROY.SOCIAL!$A$5:$A$28,PRESUPUESTO!A90,P.PROY.SOCIAL!$N$5:$N$28)+SUMIF(GEST.REC.HUM.!$A$6:$A$39,PRESUPUESTO!A90,GEST.REC.HUM.!$N$6:$N$39)+SUMIF('OTRAS ACTIV.'!$A$6:$A$39,PRESUPUESTO!A90,'OTRAS ACTIV.'!$N$6:$N$39)+SUMIF('ADICIONALES PD'!A$6:$A23,PRESUPUESTO!A90,'ADICIONALES PD'!$N$6:$N$23)+SUMIF(SALIDAS!$A$6:$A$19,PRESUPUESTO!A90,SALIDAS!$AE$6:$AE$19)+SUMIF(BIBLIOTECA!$A$7:$A$41,PRESUPUESTO!A90,BIBLIOTECA!$F$5:$F$41)+SUMIF(AFILIACIONES!$A$5:$A$25,PRESUPUESTO!A90,AFILIACIONES!$E$5:$E$25)+SUMIF(IMPRESOS.PUBLIC!$A$7:$A$34,PRESUPUESTO!A90,IMPRESOS.PUBLIC!$D$7:$D$34)+SUMIF(MANTEN.EQUIP.!$A$7:$A$27,PRESUPUESTO!A90,MANTEN.EQUIP.!$D$7:$D$27)+SUMIF(INVER.EQUIPO.COMP!$A$7:$A$37,PRESUPUESTO!A90,INVER.EQUIPO.COMP!$E$7:$E$37)+SUMIF(INVER.OTROS.EQUIPOS!$A$7:$A$37,PRESUPUESTO!A90,INVER.OTROS.EQUIPOS!$E$7:$E$37)+SUMIF(INVER.MUEBLES!$A$7:$A$35,PRESUPUESTO!A90,INVER.MUEBLES!$E$7:$E$35)+SUMIF(ADECUAC.LOCATIVAS!$A$7:$A$29,PRESUPUESTO!A90,ADECUAC.LOCATIVAS!$E$7:$E$29))/1000</f>
        <v>12000</v>
      </c>
      <c r="H90" s="204">
        <f t="shared" si="19"/>
        <v>-0.59731543624161076</v>
      </c>
      <c r="I90" s="322">
        <f t="shared" si="17"/>
        <v>-0.59731543624161076</v>
      </c>
      <c r="J90" s="543"/>
      <c r="K90" s="524"/>
      <c r="L90" s="524"/>
      <c r="M90" s="524"/>
    </row>
    <row r="91" spans="1:13" customFormat="1" ht="12.75" hidden="1" outlineLevel="1" x14ac:dyDescent="0.2">
      <c r="A91" s="3"/>
      <c r="B91" s="212" t="s">
        <v>510</v>
      </c>
      <c r="C91" s="205"/>
      <c r="D91" s="205"/>
      <c r="E91" s="205"/>
      <c r="F91" s="322" t="str">
        <f t="shared" si="20"/>
        <v/>
      </c>
      <c r="G91" s="225" t="s">
        <v>169</v>
      </c>
      <c r="H91" s="204"/>
      <c r="I91" s="322" t="str">
        <f t="shared" si="17"/>
        <v/>
      </c>
      <c r="J91" s="543"/>
      <c r="K91" s="524"/>
      <c r="L91" s="524"/>
      <c r="M91" s="524"/>
    </row>
    <row r="92" spans="1:13" customFormat="1" ht="12.75" hidden="1" outlineLevel="1" x14ac:dyDescent="0.2">
      <c r="A92" s="3">
        <v>5130100000</v>
      </c>
      <c r="B92" s="207" t="s">
        <v>47</v>
      </c>
      <c r="C92" s="205">
        <f>IFERROR(VLOOKUP(A:A,'PPTO 2017'!A:E,3,0),0)</f>
        <v>0</v>
      </c>
      <c r="D92" s="205">
        <f>IFERROR(VLOOKUP(A:A,EJEC!A:G,5,0),0)</f>
        <v>0</v>
      </c>
      <c r="E92" s="205">
        <v>0</v>
      </c>
      <c r="F92" s="322" t="str">
        <f t="shared" si="20"/>
        <v/>
      </c>
      <c r="G92" s="226">
        <f>(SUMIF(HONORARIOS!$B$27:$B$165,A92,HONORARIOS!$G$27:$G$165)+SUMIF(ASESOR.Y.CONSULT.!$A$7:$A$25,PRESUPUESTO!A92,ASESOR.Y.CONSULT.!$N$7:$N$25)+SUMIF('PROY INVEST.'!$A$5:$A$26,PRESUPUESTO!A92,'PROY INVEST.'!$N$5:$N$26)+SUMIF(P.PROY.SOCIAL!$A$5:$A$28,PRESUPUESTO!A92,P.PROY.SOCIAL!$N$5:$N$28)+SUMIF(GEST.REC.HUM.!$A$6:$A$39,PRESUPUESTO!A92,GEST.REC.HUM.!$N$6:$N$39)+SUMIF('OTRAS ACTIV.'!$A$6:$A$39,PRESUPUESTO!A92,'OTRAS ACTIV.'!$N$6:$N$39)+SUMIF('ADICIONALES PD'!A$6:$A23,PRESUPUESTO!A92,'ADICIONALES PD'!$N$6:$N$23)+SUMIF(SALIDAS!$A$6:$A$19,PRESUPUESTO!A92,SALIDAS!$AE$6:$AE$19)+SUMIF(BIBLIOTECA!$A$7:$A$41,PRESUPUESTO!A92,BIBLIOTECA!$F$5:$F$41)+SUMIF(AFILIACIONES!$A$5:$A$25,PRESUPUESTO!A92,AFILIACIONES!$E$5:$E$25)+SUMIF(IMPRESOS.PUBLIC!$A$7:$A$34,PRESUPUESTO!A92,IMPRESOS.PUBLIC!$D$7:$D$34)+SUMIF(MANTEN.EQUIP.!$A$7:$A$27,PRESUPUESTO!A92,MANTEN.EQUIP.!$D$7:$D$27)+SUMIF(INVER.EQUIPO.COMP!$A$7:$A$37,PRESUPUESTO!A92,INVER.EQUIPO.COMP!$E$7:$E$37)+SUMIF(INVER.OTROS.EQUIPOS!$A$7:$A$37,PRESUPUESTO!A92,INVER.OTROS.EQUIPOS!$E$7:$E$37)+SUMIF(INVER.MUEBLES!$A$7:$A$35,PRESUPUESTO!A92,INVER.MUEBLES!$E$7:$E$35)+SUMIF(ADECUAC.LOCATIVAS!$A$7:$A$29,PRESUPUESTO!A92,ADECUAC.LOCATIVAS!$E$7:$E$29))/1000</f>
        <v>0</v>
      </c>
      <c r="H92" s="204" t="e">
        <f t="shared" si="19"/>
        <v>#DIV/0!</v>
      </c>
      <c r="I92" s="322" t="str">
        <f t="shared" si="17"/>
        <v/>
      </c>
      <c r="J92" s="543"/>
      <c r="K92" s="524"/>
      <c r="L92" s="524"/>
      <c r="M92" s="524"/>
    </row>
    <row r="93" spans="1:13" customFormat="1" ht="12.75" hidden="1" outlineLevel="1" x14ac:dyDescent="0.2">
      <c r="A93" s="3">
        <v>5130600000</v>
      </c>
      <c r="B93" s="207" t="s">
        <v>48</v>
      </c>
      <c r="C93" s="205">
        <f>IFERROR(VLOOKUP(A:A,'PPTO 2017'!A:E,3,0),0)</f>
        <v>2075.8000000000002</v>
      </c>
      <c r="D93" s="205">
        <f>IFERROR(VLOOKUP(A:A,EJEC!A:G,5,0),0)</f>
        <v>5170.0320000000002</v>
      </c>
      <c r="E93" s="205">
        <v>6800</v>
      </c>
      <c r="F93" s="322">
        <f t="shared" si="20"/>
        <v>3.2758454571731379</v>
      </c>
      <c r="G93" s="225">
        <f t="shared" ref="G93:G94" si="22">+E93*$O$2</f>
        <v>7140</v>
      </c>
      <c r="H93" s="204">
        <f t="shared" si="19"/>
        <v>5.0000000000000044E-2</v>
      </c>
      <c r="I93" s="322">
        <f t="shared" si="17"/>
        <v>5.0000000000000044E-2</v>
      </c>
      <c r="J93" s="543"/>
      <c r="K93" s="524"/>
      <c r="L93" s="524"/>
      <c r="M93" s="524"/>
    </row>
    <row r="94" spans="1:13" customFormat="1" ht="12.75" hidden="1" outlineLevel="1" x14ac:dyDescent="0.2">
      <c r="A94" s="3">
        <v>5130950200</v>
      </c>
      <c r="B94" s="207" t="s">
        <v>314</v>
      </c>
      <c r="C94" s="205">
        <f>IFERROR(VLOOKUP(A:A,'PPTO 2017'!A:E,3,0),0)</f>
        <v>0</v>
      </c>
      <c r="D94" s="205">
        <f>IFERROR(VLOOKUP(A:A,EJEC!A:G,5,0),0)</f>
        <v>0</v>
      </c>
      <c r="E94" s="205">
        <v>0</v>
      </c>
      <c r="F94" s="322" t="str">
        <f t="shared" si="20"/>
        <v/>
      </c>
      <c r="G94" s="225">
        <f t="shared" si="22"/>
        <v>0</v>
      </c>
      <c r="H94" s="204" t="e">
        <f t="shared" si="19"/>
        <v>#DIV/0!</v>
      </c>
      <c r="I94" s="322" t="str">
        <f t="shared" si="17"/>
        <v/>
      </c>
      <c r="J94" s="543"/>
      <c r="K94" s="524"/>
      <c r="L94" s="524"/>
      <c r="M94" s="524"/>
    </row>
    <row r="95" spans="1:13" customFormat="1" ht="12.75" hidden="1" outlineLevel="1" x14ac:dyDescent="0.2">
      <c r="A95" s="3">
        <v>5130950300</v>
      </c>
      <c r="B95" s="207" t="s">
        <v>49</v>
      </c>
      <c r="C95" s="205">
        <f>IFERROR(VLOOKUP(A:A,'PPTO 2017'!A:E,3,0),0)</f>
        <v>8985.1298708142676</v>
      </c>
      <c r="D95" s="205">
        <f>IFERROR(VLOOKUP(A:A,EJEC!A:G,5,0),0)</f>
        <v>6688.3249999999998</v>
      </c>
      <c r="E95" s="205">
        <v>9800</v>
      </c>
      <c r="F95" s="322">
        <f t="shared" si="20"/>
        <v>1.0906909684002024</v>
      </c>
      <c r="G95" s="316">
        <v>6032</v>
      </c>
      <c r="H95" s="204">
        <f t="shared" si="19"/>
        <v>-0.38448979591836729</v>
      </c>
      <c r="I95" s="322">
        <f t="shared" si="17"/>
        <v>-0.38448979591836729</v>
      </c>
      <c r="J95" s="543"/>
      <c r="K95" s="524"/>
      <c r="L95" s="524"/>
      <c r="M95" s="524"/>
    </row>
    <row r="96" spans="1:13" customFormat="1" ht="12.75" hidden="1" outlineLevel="1" x14ac:dyDescent="0.2">
      <c r="A96" s="608">
        <v>5130950400</v>
      </c>
      <c r="B96" s="207" t="s">
        <v>748</v>
      </c>
      <c r="C96" s="205">
        <f>IFERROR(VLOOKUP(A:A,'PPTO 2017'!A:E,3,0),0)</f>
        <v>0</v>
      </c>
      <c r="D96" s="205">
        <f>IFERROR(VLOOKUP(A:A,EJEC!A:G,5,0),0)</f>
        <v>0</v>
      </c>
      <c r="E96" s="205"/>
      <c r="F96" s="322" t="str">
        <f>IF(E96=0,"",IF(C96=0,"",(E96/C96)))</f>
        <v/>
      </c>
      <c r="G96" s="607">
        <f>+E96*$O$2</f>
        <v>0</v>
      </c>
      <c r="H96" s="204" t="e">
        <f>(+G96/E96)-1</f>
        <v>#DIV/0!</v>
      </c>
      <c r="I96" s="322" t="str">
        <f>IF(G96=0,"",IF(E96=0,"",(G96/E96)-1))</f>
        <v/>
      </c>
      <c r="J96" s="543"/>
      <c r="K96" s="524"/>
      <c r="L96" s="524"/>
      <c r="M96" s="524"/>
    </row>
    <row r="97" spans="1:13" customFormat="1" ht="12.75" hidden="1" outlineLevel="1" x14ac:dyDescent="0.2">
      <c r="A97" s="3"/>
      <c r="B97" s="212" t="s">
        <v>511</v>
      </c>
      <c r="C97" s="205"/>
      <c r="D97" s="205"/>
      <c r="E97" s="205"/>
      <c r="F97" s="322" t="str">
        <f t="shared" si="20"/>
        <v/>
      </c>
      <c r="G97" s="225" t="s">
        <v>169</v>
      </c>
      <c r="H97" s="204"/>
      <c r="I97" s="322" t="str">
        <f t="shared" si="17"/>
        <v/>
      </c>
      <c r="J97" s="543"/>
      <c r="K97" s="524"/>
      <c r="L97" s="524"/>
      <c r="M97" s="524"/>
    </row>
    <row r="98" spans="1:13" customFormat="1" ht="12.75" hidden="1" outlineLevel="1" x14ac:dyDescent="0.2">
      <c r="A98" s="3">
        <v>5135050100</v>
      </c>
      <c r="B98" s="207" t="s">
        <v>315</v>
      </c>
      <c r="C98" s="205">
        <f>IFERROR(VLOOKUP(A:A,'PPTO 2017'!A:E,3,0),0)</f>
        <v>0</v>
      </c>
      <c r="D98" s="205">
        <f>IFERROR(VLOOKUP(A:A,EJEC!A:G,5,0),0)</f>
        <v>0</v>
      </c>
      <c r="E98" s="205">
        <v>0</v>
      </c>
      <c r="F98" s="322" t="str">
        <f t="shared" si="20"/>
        <v/>
      </c>
      <c r="G98" s="225">
        <f t="shared" ref="G98:G103" si="23">+E98*$O$2</f>
        <v>0</v>
      </c>
      <c r="H98" s="204" t="e">
        <f t="shared" si="19"/>
        <v>#DIV/0!</v>
      </c>
      <c r="I98" s="322" t="str">
        <f t="shared" si="17"/>
        <v/>
      </c>
      <c r="J98" s="543"/>
      <c r="K98" s="524"/>
      <c r="L98" s="524"/>
      <c r="M98" s="524"/>
    </row>
    <row r="99" spans="1:13" customFormat="1" ht="12.75" hidden="1" outlineLevel="1" x14ac:dyDescent="0.2">
      <c r="A99" s="3">
        <v>5135050200</v>
      </c>
      <c r="B99" s="207" t="s">
        <v>316</v>
      </c>
      <c r="C99" s="205">
        <f>IFERROR(VLOOKUP(A:A,'PPTO 2017'!A:E,3,0),0)</f>
        <v>0</v>
      </c>
      <c r="D99" s="205">
        <f>IFERROR(VLOOKUP(A:A,EJEC!A:G,5,0),0)</f>
        <v>0</v>
      </c>
      <c r="E99" s="205">
        <v>0</v>
      </c>
      <c r="F99" s="322" t="str">
        <f t="shared" si="20"/>
        <v/>
      </c>
      <c r="G99" s="225">
        <f t="shared" si="23"/>
        <v>0</v>
      </c>
      <c r="H99" s="204" t="e">
        <f t="shared" si="19"/>
        <v>#DIV/0!</v>
      </c>
      <c r="I99" s="322" t="str">
        <f t="shared" si="17"/>
        <v/>
      </c>
      <c r="J99" s="543"/>
      <c r="K99" s="524"/>
      <c r="L99" s="524"/>
      <c r="M99" s="524"/>
    </row>
    <row r="100" spans="1:13" customFormat="1" ht="12.75" hidden="1" outlineLevel="1" x14ac:dyDescent="0.2">
      <c r="A100" s="3">
        <v>5135150000</v>
      </c>
      <c r="B100" s="207" t="s">
        <v>317</v>
      </c>
      <c r="C100" s="205">
        <f>IFERROR(VLOOKUP(A:A,'PPTO 2017'!A:E,3,0),0)</f>
        <v>0</v>
      </c>
      <c r="D100" s="205">
        <f>IFERROR(VLOOKUP(A:A,EJEC!A:G,5,0),0)</f>
        <v>0</v>
      </c>
      <c r="E100" s="205">
        <v>0</v>
      </c>
      <c r="F100" s="322" t="str">
        <f t="shared" si="20"/>
        <v/>
      </c>
      <c r="G100" s="225">
        <f t="shared" si="23"/>
        <v>0</v>
      </c>
      <c r="H100" s="204" t="e">
        <f t="shared" si="19"/>
        <v>#DIV/0!</v>
      </c>
      <c r="I100" s="322" t="str">
        <f t="shared" si="17"/>
        <v/>
      </c>
      <c r="J100" s="543"/>
      <c r="K100" s="524"/>
      <c r="L100" s="524"/>
      <c r="M100" s="524"/>
    </row>
    <row r="101" spans="1:13" customFormat="1" ht="12.75" hidden="1" outlineLevel="1" x14ac:dyDescent="0.2">
      <c r="A101" s="3">
        <v>5135250000</v>
      </c>
      <c r="B101" s="207" t="s">
        <v>318</v>
      </c>
      <c r="C101" s="205">
        <f>IFERROR(VLOOKUP(A:A,'PPTO 2017'!A:E,3,0),0)</f>
        <v>0</v>
      </c>
      <c r="D101" s="205">
        <f>IFERROR(VLOOKUP(A:A,EJEC!A:G,5,0),0)</f>
        <v>0</v>
      </c>
      <c r="E101" s="205">
        <v>0</v>
      </c>
      <c r="F101" s="322" t="str">
        <f t="shared" si="20"/>
        <v/>
      </c>
      <c r="G101" s="225">
        <f t="shared" si="23"/>
        <v>0</v>
      </c>
      <c r="H101" s="204" t="e">
        <f t="shared" si="19"/>
        <v>#DIV/0!</v>
      </c>
      <c r="I101" s="322" t="str">
        <f t="shared" si="17"/>
        <v/>
      </c>
      <c r="J101" s="543"/>
      <c r="K101" s="524"/>
      <c r="L101" s="524"/>
      <c r="M101" s="524"/>
    </row>
    <row r="102" spans="1:13" customFormat="1" ht="12.75" hidden="1" outlineLevel="1" x14ac:dyDescent="0.2">
      <c r="A102" s="3">
        <v>5135300000</v>
      </c>
      <c r="B102" s="207" t="s">
        <v>319</v>
      </c>
      <c r="C102" s="205">
        <f>IFERROR(VLOOKUP(A:A,'PPTO 2017'!A:E,3,0),0)</f>
        <v>0</v>
      </c>
      <c r="D102" s="205">
        <f>IFERROR(VLOOKUP(A:A,EJEC!A:G,5,0),0)</f>
        <v>0</v>
      </c>
      <c r="E102" s="205">
        <v>0</v>
      </c>
      <c r="F102" s="322" t="str">
        <f t="shared" si="20"/>
        <v/>
      </c>
      <c r="G102" s="225">
        <f t="shared" si="23"/>
        <v>0</v>
      </c>
      <c r="H102" s="204" t="e">
        <f t="shared" si="19"/>
        <v>#DIV/0!</v>
      </c>
      <c r="I102" s="322" t="str">
        <f t="shared" si="17"/>
        <v/>
      </c>
      <c r="J102" s="543"/>
      <c r="K102" s="524"/>
      <c r="L102" s="524"/>
      <c r="M102" s="524"/>
    </row>
    <row r="103" spans="1:13" customFormat="1" ht="12.75" hidden="1" outlineLevel="1" x14ac:dyDescent="0.2">
      <c r="A103" s="3">
        <v>5135350000</v>
      </c>
      <c r="B103" s="207" t="s">
        <v>50</v>
      </c>
      <c r="C103" s="205">
        <f>IFERROR(VLOOKUP(A:A,'PPTO 2017'!A:E,3,0),0)</f>
        <v>0</v>
      </c>
      <c r="D103" s="205">
        <f>IFERROR(VLOOKUP(A:A,EJEC!A:G,5,0),0)</f>
        <v>0</v>
      </c>
      <c r="E103" s="205">
        <v>0</v>
      </c>
      <c r="F103" s="322" t="str">
        <f t="shared" si="20"/>
        <v/>
      </c>
      <c r="G103" s="225">
        <f t="shared" si="23"/>
        <v>0</v>
      </c>
      <c r="H103" s="204" t="e">
        <f t="shared" si="19"/>
        <v>#DIV/0!</v>
      </c>
      <c r="I103" s="322" t="str">
        <f t="shared" si="17"/>
        <v/>
      </c>
      <c r="J103" s="543"/>
      <c r="K103" s="524"/>
      <c r="L103" s="524"/>
      <c r="M103" s="524"/>
    </row>
    <row r="104" spans="1:13" customFormat="1" ht="12.75" hidden="1" outlineLevel="1" x14ac:dyDescent="0.2">
      <c r="A104" s="3">
        <v>5135400000</v>
      </c>
      <c r="B104" s="207" t="s">
        <v>51</v>
      </c>
      <c r="C104" s="205">
        <f>IFERROR(VLOOKUP(A:A,'PPTO 2017'!A:E,3,0),0)</f>
        <v>2710.31</v>
      </c>
      <c r="D104" s="205">
        <f>IFERROR(VLOOKUP(A:A,EJEC!A:G,5,0),0)</f>
        <v>1380.8130000000001</v>
      </c>
      <c r="E104" s="205">
        <v>2650</v>
      </c>
      <c r="F104" s="322">
        <f t="shared" si="20"/>
        <v>0.97774793289328532</v>
      </c>
      <c r="G104" s="226">
        <f>E104*$O$2+(SUMIF(HONORARIOS!$B$27:$B$165,A104,HONORARIOS!$G$27:$G$165)+SUMIF(ASESOR.Y.CONSULT.!$A$7:$A$25,PRESUPUESTO!A104,ASESOR.Y.CONSULT.!$N$7:$N$25)+SUMIF('PROY INVEST.'!$A$5:$A$26,PRESUPUESTO!A104,'PROY INVEST.'!$N$5:$N$26)+SUMIF(P.PROY.SOCIAL!$A$5:$A$28,PRESUPUESTO!A104,P.PROY.SOCIAL!$N$5:$N$28)+SUMIF(GEST.REC.HUM.!$A$6:$A$39,PRESUPUESTO!A104,GEST.REC.HUM.!$N$6:$N$39)+SUMIF('OTRAS ACTIV.'!$A$6:$A$39,PRESUPUESTO!A104,'OTRAS ACTIV.'!$N$6:$N$39)+SUMIF('ADICIONALES PD'!A$6:$A23,PRESUPUESTO!A104,'ADICIONALES PD'!$N$6:$N$23)+SUMIF(SALIDAS!$A$6:$A$19,PRESUPUESTO!A104,SALIDAS!$AE$6:$AE$19)+SUMIF(BIBLIOTECA!$A$7:$A$41,PRESUPUESTO!A104,BIBLIOTECA!$F$5:$F$41)+SUMIF(AFILIACIONES!$A$5:$A$25,PRESUPUESTO!A104,AFILIACIONES!$E$5:$E$25)+SUMIF(IMPRESOS.PUBLIC!$A$7:$A$34,PRESUPUESTO!A104,IMPRESOS.PUBLIC!$D$7:$D$34)+SUMIF(MANTEN.EQUIP.!$A$7:$A$27,PRESUPUESTO!A104,MANTEN.EQUIP.!$D$7:$D$27)+SUMIF(INVER.EQUIPO.COMP!$A$7:$A$37,PRESUPUESTO!A104,INVER.EQUIPO.COMP!$E$7:$E$37)+SUMIF(INVER.OTROS.EQUIPOS!$A$7:$A$37,PRESUPUESTO!A104,INVER.OTROS.EQUIPOS!$E$7:$E$37)+SUMIF(INVER.MUEBLES!$A$7:$A$35,PRESUPUESTO!A104,INVER.MUEBLES!$E$7:$E$35)+SUMIF(ADECUAC.LOCATIVAS!$A$7:$A$29,PRESUPUESTO!A104,ADECUAC.LOCATIVAS!$E$7:$E$29))/1000</f>
        <v>2782.5</v>
      </c>
      <c r="H104" s="204">
        <f t="shared" si="19"/>
        <v>5.0000000000000044E-2</v>
      </c>
      <c r="I104" s="322">
        <f t="shared" si="17"/>
        <v>5.0000000000000044E-2</v>
      </c>
      <c r="J104" s="543"/>
      <c r="K104" s="524"/>
      <c r="L104" s="524"/>
      <c r="M104" s="524"/>
    </row>
    <row r="105" spans="1:13" customFormat="1" ht="12.75" hidden="1" outlineLevel="1" x14ac:dyDescent="0.2">
      <c r="A105" s="3">
        <v>5135500000</v>
      </c>
      <c r="B105" s="207" t="s">
        <v>52</v>
      </c>
      <c r="C105" s="205">
        <f>IFERROR(VLOOKUP(A:A,'PPTO 2017'!A:E,3,0),0)</f>
        <v>10.700000000000001</v>
      </c>
      <c r="D105" s="205">
        <f>IFERROR(VLOOKUP(A:A,EJEC!A:G,5,0),0)</f>
        <v>210</v>
      </c>
      <c r="E105" s="205">
        <v>450</v>
      </c>
      <c r="F105" s="322">
        <f t="shared" si="20"/>
        <v>42.056074766355138</v>
      </c>
      <c r="G105" s="225">
        <f t="shared" ref="G105:G138" si="24">+E105*$O$2</f>
        <v>472.5</v>
      </c>
      <c r="H105" s="204">
        <f t="shared" si="19"/>
        <v>5.0000000000000044E-2</v>
      </c>
      <c r="I105" s="322">
        <f t="shared" si="17"/>
        <v>5.0000000000000044E-2</v>
      </c>
      <c r="J105" s="543"/>
      <c r="K105" s="524"/>
      <c r="L105" s="524"/>
      <c r="M105" s="524"/>
    </row>
    <row r="106" spans="1:13" customFormat="1" ht="12.75" hidden="1" outlineLevel="1" x14ac:dyDescent="0.2">
      <c r="A106" s="3">
        <v>5135550000</v>
      </c>
      <c r="B106" s="207" t="s">
        <v>641</v>
      </c>
      <c r="C106" s="205">
        <f>IFERROR(VLOOKUP(A:A,'PPTO 2017'!A:E,3,0),0)</f>
        <v>0</v>
      </c>
      <c r="D106" s="205">
        <f>IFERROR(VLOOKUP(A:A,EJEC!A:G,5,0),0)</f>
        <v>0</v>
      </c>
      <c r="E106" s="205">
        <v>0</v>
      </c>
      <c r="F106" s="322" t="str">
        <f t="shared" si="20"/>
        <v/>
      </c>
      <c r="G106" s="225">
        <f t="shared" si="24"/>
        <v>0</v>
      </c>
      <c r="H106" s="204"/>
      <c r="I106" s="322" t="str">
        <f t="shared" si="17"/>
        <v/>
      </c>
      <c r="J106" s="543"/>
      <c r="K106" s="524"/>
      <c r="L106" s="524"/>
      <c r="M106" s="524"/>
    </row>
    <row r="107" spans="1:13" customFormat="1" ht="12.75" hidden="1" outlineLevel="1" x14ac:dyDescent="0.2">
      <c r="A107" s="3">
        <v>5135950100</v>
      </c>
      <c r="B107" s="207" t="s">
        <v>53</v>
      </c>
      <c r="C107" s="205">
        <f>IFERROR(VLOOKUP(A:A,'PPTO 2017'!A:E,3,0),0)</f>
        <v>0</v>
      </c>
      <c r="D107" s="205">
        <f>IFERROR(VLOOKUP(A:A,EJEC!A:G,5,0),0)</f>
        <v>0</v>
      </c>
      <c r="E107" s="205">
        <v>0</v>
      </c>
      <c r="F107" s="322" t="str">
        <f t="shared" si="20"/>
        <v/>
      </c>
      <c r="G107" s="225">
        <f t="shared" si="24"/>
        <v>0</v>
      </c>
      <c r="H107" s="204" t="e">
        <f t="shared" si="19"/>
        <v>#DIV/0!</v>
      </c>
      <c r="I107" s="322" t="str">
        <f t="shared" si="17"/>
        <v/>
      </c>
      <c r="J107" s="543"/>
      <c r="K107" s="524"/>
      <c r="L107" s="524"/>
      <c r="M107" s="524"/>
    </row>
    <row r="108" spans="1:13" customFormat="1" ht="12.75" hidden="1" outlineLevel="1" x14ac:dyDescent="0.2">
      <c r="A108" s="3">
        <v>5135950200</v>
      </c>
      <c r="B108" s="207" t="s">
        <v>320</v>
      </c>
      <c r="C108" s="205">
        <f>IFERROR(VLOOKUP(A:A,'PPTO 2017'!A:E,3,0),0)</f>
        <v>0</v>
      </c>
      <c r="D108" s="205">
        <f>IFERROR(VLOOKUP(A:A,EJEC!A:G,5,0),0)</f>
        <v>0</v>
      </c>
      <c r="E108" s="205">
        <v>0</v>
      </c>
      <c r="F108" s="322" t="str">
        <f t="shared" si="20"/>
        <v/>
      </c>
      <c r="G108" s="225">
        <f t="shared" si="24"/>
        <v>0</v>
      </c>
      <c r="H108" s="204" t="e">
        <f t="shared" si="19"/>
        <v>#DIV/0!</v>
      </c>
      <c r="I108" s="322" t="str">
        <f t="shared" si="17"/>
        <v/>
      </c>
      <c r="J108" s="543"/>
      <c r="K108" s="524"/>
      <c r="L108" s="524"/>
      <c r="M108" s="524"/>
    </row>
    <row r="109" spans="1:13" customFormat="1" ht="12.75" hidden="1" outlineLevel="1" x14ac:dyDescent="0.2">
      <c r="A109" s="3">
        <v>5135950300</v>
      </c>
      <c r="B109" s="207" t="s">
        <v>321</v>
      </c>
      <c r="C109" s="205">
        <f>IFERROR(VLOOKUP(A:A,'PPTO 2017'!A:E,3,0),0)</f>
        <v>408.74</v>
      </c>
      <c r="D109" s="205">
        <f>IFERROR(VLOOKUP(A:A,EJEC!A:G,5,0),0)</f>
        <v>0</v>
      </c>
      <c r="E109" s="205">
        <v>0</v>
      </c>
      <c r="F109" s="322" t="str">
        <f t="shared" si="20"/>
        <v/>
      </c>
      <c r="G109" s="225">
        <f t="shared" si="24"/>
        <v>0</v>
      </c>
      <c r="H109" s="204" t="e">
        <f t="shared" si="19"/>
        <v>#DIV/0!</v>
      </c>
      <c r="I109" s="322" t="str">
        <f t="shared" si="17"/>
        <v/>
      </c>
      <c r="J109" s="543"/>
      <c r="K109" s="524"/>
      <c r="L109" s="524"/>
      <c r="M109" s="524"/>
    </row>
    <row r="110" spans="1:13" customFormat="1" ht="12.75" hidden="1" outlineLevel="1" x14ac:dyDescent="0.2">
      <c r="A110" s="3">
        <v>5135950400</v>
      </c>
      <c r="B110" s="207" t="s">
        <v>54</v>
      </c>
      <c r="C110" s="205">
        <f>IFERROR(VLOOKUP(A:A,'PPTO 2017'!A:E,3,0),0)</f>
        <v>0</v>
      </c>
      <c r="D110" s="205">
        <f>IFERROR(VLOOKUP(A:A,EJEC!A:G,5,0),0)</f>
        <v>0</v>
      </c>
      <c r="E110" s="205">
        <v>0</v>
      </c>
      <c r="F110" s="322" t="str">
        <f t="shared" si="20"/>
        <v/>
      </c>
      <c r="G110" s="225">
        <f t="shared" si="24"/>
        <v>0</v>
      </c>
      <c r="H110" s="204" t="e">
        <f t="shared" si="19"/>
        <v>#DIV/0!</v>
      </c>
      <c r="I110" s="322" t="str">
        <f t="shared" si="17"/>
        <v/>
      </c>
      <c r="J110" s="543"/>
      <c r="K110" s="524"/>
      <c r="L110" s="524"/>
      <c r="M110" s="524"/>
    </row>
    <row r="111" spans="1:13" customFormat="1" ht="12.75" hidden="1" outlineLevel="1" x14ac:dyDescent="0.2">
      <c r="A111" s="3">
        <v>5135950500</v>
      </c>
      <c r="B111" s="207" t="s">
        <v>322</v>
      </c>
      <c r="C111" s="205">
        <f>IFERROR(VLOOKUP(A:A,'PPTO 2017'!A:E,3,0),0)</f>
        <v>0</v>
      </c>
      <c r="D111" s="205">
        <f>IFERROR(VLOOKUP(A:A,EJEC!A:G,5,0),0)</f>
        <v>0</v>
      </c>
      <c r="E111" s="205">
        <v>0</v>
      </c>
      <c r="F111" s="322" t="str">
        <f t="shared" si="20"/>
        <v/>
      </c>
      <c r="G111" s="316">
        <f>+E111*$O$2+(SUMIF(HONORARIOS!$B$27:$B$165,A111,HONORARIOS!$G$27:$G$165)+SUMIF(ASESOR.Y.CONSULT.!$A$7:$A$25,PRESUPUESTO!A111,ASESOR.Y.CONSULT.!$N$7:$N$25)+SUMIF('PROY INVEST.'!$A$5:$A$26,PRESUPUESTO!A111,'PROY INVEST.'!$N$5:$N$26)+SUMIF(P.PROY.SOCIAL!$A$5:$A$28,PRESUPUESTO!A111,P.PROY.SOCIAL!$N$5:$N$28)+SUMIF(GEST.REC.HUM.!$A$6:$A$39,PRESUPUESTO!A111,GEST.REC.HUM.!$N$6:$N$39)+SUMIF('OTRAS ACTIV.'!$A$6:$A$39,PRESUPUESTO!A111,'OTRAS ACTIV.'!$N$6:$N$39)+SUMIF('ADICIONALES PD'!A$6:$A23,PRESUPUESTO!A111,'ADICIONALES PD'!$N$6:$N$23)+SUMIF(SALIDAS!$A$6:$A$19,PRESUPUESTO!A111,SALIDAS!$AE$6:$AE$19)+SUMIF(BIBLIOTECA!$A$7:$A$41,PRESUPUESTO!A111,BIBLIOTECA!$F$5:$F$41)+SUMIF(AFILIACIONES!$A$5:$A$25,PRESUPUESTO!A111,AFILIACIONES!$E$5:$E$25)+SUMIF(IMPRESOS.PUBLIC!$A$7:$A$34,PRESUPUESTO!A111,IMPRESOS.PUBLIC!$D$7:$D$34)+SUMIF(MANTEN.EQUIP.!$A$7:$A$27,PRESUPUESTO!A111,MANTEN.EQUIP.!$D$7:$D$27)+SUMIF(INVER.EQUIPO.COMP!$A$7:$A$37,PRESUPUESTO!A111,INVER.EQUIPO.COMP!$E$7:$E$37)+SUMIF(INVER.OTROS.EQUIPOS!$A$7:$A$37,PRESUPUESTO!A111,INVER.OTROS.EQUIPOS!$E$7:$E$37)+SUMIF(INVER.MUEBLES!$A$7:$A$35,PRESUPUESTO!A111,INVER.MUEBLES!$E$7:$E$35)+SUMIF(ADECUAC.LOCATIVAS!$A$7:$A$29,PRESUPUESTO!A111,ADECUAC.LOCATIVAS!$E$7:$E$29))/1000</f>
        <v>0</v>
      </c>
      <c r="H111" s="204" t="e">
        <f t="shared" si="19"/>
        <v>#DIV/0!</v>
      </c>
      <c r="I111" s="322" t="str">
        <f t="shared" si="17"/>
        <v/>
      </c>
      <c r="J111" s="543"/>
      <c r="K111" s="524"/>
      <c r="L111" s="524"/>
      <c r="M111" s="524"/>
    </row>
    <row r="112" spans="1:13" customFormat="1" ht="12.75" hidden="1" outlineLevel="1" x14ac:dyDescent="0.2">
      <c r="A112" s="3">
        <v>5135950600</v>
      </c>
      <c r="B112" s="207" t="s">
        <v>55</v>
      </c>
      <c r="C112" s="205">
        <f>IFERROR(VLOOKUP(A:A,'PPTO 2017'!A:E,3,0),0)</f>
        <v>0</v>
      </c>
      <c r="D112" s="205">
        <f>IFERROR(VLOOKUP(A:A,EJEC!A:G,5,0),0)</f>
        <v>0</v>
      </c>
      <c r="E112" s="205">
        <v>0</v>
      </c>
      <c r="F112" s="322" t="str">
        <f t="shared" si="20"/>
        <v/>
      </c>
      <c r="G112" s="225">
        <f t="shared" si="24"/>
        <v>0</v>
      </c>
      <c r="H112" s="204" t="e">
        <f t="shared" si="19"/>
        <v>#DIV/0!</v>
      </c>
      <c r="I112" s="322" t="str">
        <f t="shared" si="17"/>
        <v/>
      </c>
      <c r="J112" s="543"/>
      <c r="K112" s="524"/>
      <c r="L112" s="524"/>
      <c r="M112" s="524"/>
    </row>
    <row r="113" spans="1:13" customFormat="1" ht="12.75" hidden="1" outlineLevel="1" x14ac:dyDescent="0.2">
      <c r="A113" s="3">
        <v>5135950700</v>
      </c>
      <c r="B113" s="207" t="s">
        <v>56</v>
      </c>
      <c r="C113" s="205">
        <f>IFERROR(VLOOKUP(A:A,'PPTO 2017'!A:E,3,0),0)</f>
        <v>400561.08</v>
      </c>
      <c r="D113" s="205">
        <f>IFERROR(VLOOKUP(A:A,EJEC!A:G,5,0),0)</f>
        <v>601821.06900000002</v>
      </c>
      <c r="E113" s="205">
        <v>625000</v>
      </c>
      <c r="F113" s="322">
        <f t="shared" si="20"/>
        <v>1.5603113512675768</v>
      </c>
      <c r="G113" s="226">
        <f>E113*$O$2+(SUMIF(HONORARIOS!$B$27:$B$165,A113,HONORARIOS!$G$27:$G$165)+SUMIF(ASESOR.Y.CONSULT.!$A$7:$A$25,PRESUPUESTO!A113,ASESOR.Y.CONSULT.!$N$7:$N$25)+SUMIF('PROY INVEST.'!$A$5:$A$26,PRESUPUESTO!A113,'PROY INVEST.'!$N$5:$N$26)+SUMIF(P.PROY.SOCIAL!$A$5:$A$28,PRESUPUESTO!A113,P.PROY.SOCIAL!$N$5:$N$28)+SUMIF(GEST.REC.HUM.!$A$6:$A$39,PRESUPUESTO!A113,GEST.REC.HUM.!$N$6:$N$39)+SUMIF('OTRAS ACTIV.'!$A$6:$A$39,PRESUPUESTO!A113,'OTRAS ACTIV.'!$N$6:$N$39)+SUMIF('ADICIONALES PD'!A$6:$A23,PRESUPUESTO!A113,'ADICIONALES PD'!$N$6:$N$23)+SUMIF(SALIDAS!$A$6:$A$19,PRESUPUESTO!A113,SALIDAS!$AE$6:$AE$19)+SUMIF(BIBLIOTECA!$A$7:$A$41,PRESUPUESTO!A113,BIBLIOTECA!$F$5:$F$41)+SUMIF(AFILIACIONES!$A$5:$A$25,PRESUPUESTO!A113,AFILIACIONES!$E$5:$E$25)+SUMIF(IMPRESOS.PUBLIC!$A$7:$A$34,PRESUPUESTO!A113,IMPRESOS.PUBLIC!$D$7:$D$34)+SUMIF(MANTEN.EQUIP.!$A$7:$A$27,PRESUPUESTO!A113,MANTEN.EQUIP.!$D$7:$D$27)+SUMIF(INVER.EQUIPO.COMP!$A$7:$A$37,PRESUPUESTO!A113,INVER.EQUIPO.COMP!$E$7:$E$37)+SUMIF(INVER.OTROS.EQUIPOS!$A$7:$A$37,PRESUPUESTO!A113,INVER.OTROS.EQUIPOS!$E$7:$E$37)+SUMIF(INVER.MUEBLES!$A$7:$A$35,PRESUPUESTO!A113,INVER.MUEBLES!$E$7:$E$35)+SUMIF(ADECUAC.LOCATIVAS!$A$7:$A$29,PRESUPUESTO!A113,ADECUAC.LOCATIVAS!$E$7:$E$29))/1000</f>
        <v>656250</v>
      </c>
      <c r="H113" s="204">
        <f t="shared" si="19"/>
        <v>5.0000000000000044E-2</v>
      </c>
      <c r="I113" s="322">
        <f t="shared" si="17"/>
        <v>5.0000000000000044E-2</v>
      </c>
      <c r="J113" s="543"/>
      <c r="K113" s="524"/>
      <c r="L113" s="524"/>
      <c r="M113" s="524"/>
    </row>
    <row r="114" spans="1:13" customFormat="1" ht="12.75" hidden="1" outlineLevel="1" x14ac:dyDescent="0.2">
      <c r="A114" s="3">
        <v>5135950900</v>
      </c>
      <c r="B114" s="207" t="s">
        <v>323</v>
      </c>
      <c r="C114" s="205">
        <f>IFERROR(VLOOKUP(A:A,'PPTO 2017'!A:E,3,0),0)</f>
        <v>0</v>
      </c>
      <c r="D114" s="205">
        <f>IFERROR(VLOOKUP(A:A,EJEC!A:G,5,0),0)</f>
        <v>0</v>
      </c>
      <c r="E114" s="205">
        <v>0</v>
      </c>
      <c r="F114" s="322" t="str">
        <f t="shared" si="20"/>
        <v/>
      </c>
      <c r="G114" s="225">
        <f t="shared" si="24"/>
        <v>0</v>
      </c>
      <c r="H114" s="204" t="e">
        <f t="shared" si="19"/>
        <v>#DIV/0!</v>
      </c>
      <c r="I114" s="322" t="str">
        <f t="shared" si="17"/>
        <v/>
      </c>
      <c r="J114" s="543"/>
      <c r="K114" s="524"/>
      <c r="L114" s="524"/>
      <c r="M114" s="524"/>
    </row>
    <row r="115" spans="1:13" customFormat="1" ht="12.75" hidden="1" outlineLevel="1" x14ac:dyDescent="0.2">
      <c r="A115" s="3">
        <v>5135951000</v>
      </c>
      <c r="B115" s="207" t="s">
        <v>57</v>
      </c>
      <c r="C115" s="205">
        <f>IFERROR(VLOOKUP(A:A,'PPTO 2017'!A:E,3,0),0)</f>
        <v>0</v>
      </c>
      <c r="D115" s="205">
        <f>IFERROR(VLOOKUP(A:A,EJEC!A:G,5,0),0)</f>
        <v>48.597999999999999</v>
      </c>
      <c r="E115" s="205">
        <v>60</v>
      </c>
      <c r="F115" s="322" t="str">
        <f t="shared" si="20"/>
        <v/>
      </c>
      <c r="G115" s="225">
        <f t="shared" si="24"/>
        <v>63</v>
      </c>
      <c r="H115" s="204">
        <f t="shared" si="19"/>
        <v>5.0000000000000044E-2</v>
      </c>
      <c r="I115" s="322">
        <f t="shared" si="17"/>
        <v>5.0000000000000044E-2</v>
      </c>
      <c r="J115" s="543"/>
      <c r="K115" s="524"/>
      <c r="L115" s="524"/>
      <c r="M115" s="524"/>
    </row>
    <row r="116" spans="1:13" customFormat="1" ht="12.75" hidden="1" outlineLevel="1" x14ac:dyDescent="0.2">
      <c r="A116" s="3">
        <v>5135951100</v>
      </c>
      <c r="B116" s="207" t="s">
        <v>58</v>
      </c>
      <c r="C116" s="205">
        <f>IFERROR(VLOOKUP(A:A,'PPTO 2017'!A:E,3,0),0)</f>
        <v>11330</v>
      </c>
      <c r="D116" s="205">
        <f>IFERROR(VLOOKUP(A:A,EJEC!A:G,5,0),0)</f>
        <v>2798.2</v>
      </c>
      <c r="E116" s="205">
        <v>11200</v>
      </c>
      <c r="F116" s="322">
        <f t="shared" si="20"/>
        <v>0.98852603706972642</v>
      </c>
      <c r="G116" s="225">
        <v>8660</v>
      </c>
      <c r="H116" s="204">
        <f t="shared" si="19"/>
        <v>-0.22678571428571426</v>
      </c>
      <c r="I116" s="322">
        <f t="shared" si="17"/>
        <v>-0.22678571428571426</v>
      </c>
      <c r="J116" s="543"/>
      <c r="K116" s="524"/>
      <c r="L116" s="524"/>
      <c r="M116" s="524"/>
    </row>
    <row r="117" spans="1:13" customFormat="1" ht="12.75" hidden="1" outlineLevel="1" x14ac:dyDescent="0.2">
      <c r="A117" s="3">
        <v>5135951300</v>
      </c>
      <c r="B117" s="207" t="s">
        <v>59</v>
      </c>
      <c r="C117" s="205">
        <f>IFERROR(VLOOKUP(A:A,'PPTO 2017'!A:E,3,0),0)</f>
        <v>19636.64</v>
      </c>
      <c r="D117" s="205">
        <f>IFERROR(VLOOKUP(A:A,EJEC!A:G,5,0),0)</f>
        <v>128.86600000000001</v>
      </c>
      <c r="E117" s="205">
        <v>18500</v>
      </c>
      <c r="F117" s="322">
        <f t="shared" si="20"/>
        <v>0.94211637021404881</v>
      </c>
      <c r="G117" s="225">
        <f t="shared" si="24"/>
        <v>19425</v>
      </c>
      <c r="H117" s="204">
        <f t="shared" si="19"/>
        <v>5.0000000000000044E-2</v>
      </c>
      <c r="I117" s="322">
        <f t="shared" si="17"/>
        <v>5.0000000000000044E-2</v>
      </c>
      <c r="J117" s="543"/>
      <c r="K117" s="524"/>
      <c r="L117" s="524"/>
      <c r="M117" s="524"/>
    </row>
    <row r="118" spans="1:13" customFormat="1" ht="12.75" hidden="1" outlineLevel="1" x14ac:dyDescent="0.2">
      <c r="A118" s="3">
        <v>5135951600</v>
      </c>
      <c r="B118" s="207" t="s">
        <v>324</v>
      </c>
      <c r="C118" s="205">
        <f>IFERROR(VLOOKUP(A:A,'PPTO 2017'!A:E,3,0),0)</f>
        <v>0</v>
      </c>
      <c r="D118" s="205">
        <f>IFERROR(VLOOKUP(A:A,EJEC!A:G,5,0),0)</f>
        <v>0</v>
      </c>
      <c r="E118" s="205">
        <v>0</v>
      </c>
      <c r="F118" s="322" t="str">
        <f t="shared" si="20"/>
        <v/>
      </c>
      <c r="G118" s="225">
        <f t="shared" si="24"/>
        <v>0</v>
      </c>
      <c r="H118" s="204" t="e">
        <f t="shared" si="19"/>
        <v>#DIV/0!</v>
      </c>
      <c r="I118" s="322" t="str">
        <f t="shared" si="17"/>
        <v/>
      </c>
      <c r="J118" s="543"/>
      <c r="K118" s="524"/>
      <c r="L118" s="524"/>
      <c r="M118" s="524"/>
    </row>
    <row r="119" spans="1:13" customFormat="1" ht="12.75" hidden="1" outlineLevel="1" x14ac:dyDescent="0.2">
      <c r="A119" s="3">
        <v>5135951700</v>
      </c>
      <c r="B119" s="207" t="s">
        <v>325</v>
      </c>
      <c r="C119" s="205">
        <f>IFERROR(VLOOKUP(A:A,'PPTO 2017'!A:E,3,0),0)</f>
        <v>0</v>
      </c>
      <c r="D119" s="205">
        <f>IFERROR(VLOOKUP(A:A,EJEC!A:G,5,0),0)</f>
        <v>0</v>
      </c>
      <c r="E119" s="205">
        <v>0</v>
      </c>
      <c r="F119" s="322" t="str">
        <f t="shared" si="20"/>
        <v/>
      </c>
      <c r="G119" s="225">
        <f t="shared" si="24"/>
        <v>0</v>
      </c>
      <c r="H119" s="204" t="e">
        <f t="shared" si="19"/>
        <v>#DIV/0!</v>
      </c>
      <c r="I119" s="322" t="str">
        <f t="shared" si="17"/>
        <v/>
      </c>
      <c r="J119" s="543"/>
      <c r="K119" s="524"/>
      <c r="L119" s="524"/>
      <c r="M119" s="524"/>
    </row>
    <row r="120" spans="1:13" customFormat="1" ht="12.75" hidden="1" outlineLevel="1" x14ac:dyDescent="0.2">
      <c r="A120" s="3">
        <v>5135951900</v>
      </c>
      <c r="B120" s="207" t="s">
        <v>642</v>
      </c>
      <c r="C120" s="205">
        <f>IFERROR(VLOOKUP(A:A,'PPTO 2017'!A:E,3,0),0)</f>
        <v>96.300000000000011</v>
      </c>
      <c r="D120" s="205">
        <f>IFERROR(VLOOKUP(A:A,EJEC!A:G,5,0),0)</f>
        <v>0</v>
      </c>
      <c r="E120" s="205">
        <v>0</v>
      </c>
      <c r="F120" s="322" t="str">
        <f t="shared" si="20"/>
        <v/>
      </c>
      <c r="G120" s="225">
        <f t="shared" si="24"/>
        <v>0</v>
      </c>
      <c r="H120" s="204"/>
      <c r="I120" s="322" t="str">
        <f t="shared" si="17"/>
        <v/>
      </c>
      <c r="J120" s="543"/>
      <c r="K120" s="524"/>
      <c r="L120" s="524"/>
      <c r="M120" s="524"/>
    </row>
    <row r="121" spans="1:13" customFormat="1" ht="12.75" hidden="1" outlineLevel="1" x14ac:dyDescent="0.2">
      <c r="A121" s="608">
        <v>5135953000</v>
      </c>
      <c r="B121" s="207" t="s">
        <v>749</v>
      </c>
      <c r="C121" s="205">
        <f>IFERROR(VLOOKUP(A:A,'PPTO 2017'!A:E,3,0),0)</f>
        <v>0</v>
      </c>
      <c r="D121" s="205">
        <f>IFERROR(VLOOKUP(A:A,EJEC!A:G,5,0),0)</f>
        <v>0</v>
      </c>
      <c r="E121" s="205">
        <v>0</v>
      </c>
      <c r="F121" s="322" t="str">
        <f>IF(E121=0,"",IF(C121=0,"",(E121/C121)))</f>
        <v/>
      </c>
      <c r="G121" s="225">
        <f t="shared" si="24"/>
        <v>0</v>
      </c>
      <c r="H121" s="204"/>
      <c r="I121" s="322" t="str">
        <f>IF(G121=0,"",IF(E121=0,"",(G121/E121)-1))</f>
        <v/>
      </c>
      <c r="J121" s="543"/>
      <c r="K121" s="524"/>
      <c r="L121" s="524"/>
      <c r="M121" s="524"/>
    </row>
    <row r="122" spans="1:13" customFormat="1" ht="12.75" hidden="1" outlineLevel="1" x14ac:dyDescent="0.2">
      <c r="A122" s="3">
        <v>5135955000</v>
      </c>
      <c r="B122" s="207" t="s">
        <v>60</v>
      </c>
      <c r="C122" s="205">
        <f>IFERROR(VLOOKUP(A:A,'PPTO 2017'!A:E,3,0),0)</f>
        <v>2112.1800000000003</v>
      </c>
      <c r="D122" s="205">
        <f>IFERROR(VLOOKUP(A:A,EJEC!A:G,5,0),0)</f>
        <v>504.25900000000001</v>
      </c>
      <c r="E122" s="205">
        <v>2050</v>
      </c>
      <c r="F122" s="322">
        <f t="shared" si="20"/>
        <v>0.97056122110804932</v>
      </c>
      <c r="G122" s="225">
        <f t="shared" si="24"/>
        <v>2152.5</v>
      </c>
      <c r="H122" s="204">
        <f t="shared" si="19"/>
        <v>5.0000000000000044E-2</v>
      </c>
      <c r="I122" s="322">
        <f t="shared" si="17"/>
        <v>5.0000000000000044E-2</v>
      </c>
      <c r="J122" s="543"/>
      <c r="K122" s="524"/>
      <c r="L122" s="524"/>
      <c r="M122" s="524"/>
    </row>
    <row r="123" spans="1:13" customFormat="1" ht="12.75" hidden="1" outlineLevel="1" x14ac:dyDescent="0.2">
      <c r="A123" s="3">
        <v>5135956900</v>
      </c>
      <c r="B123" s="207" t="s">
        <v>326</v>
      </c>
      <c r="C123" s="205">
        <f>IFERROR(VLOOKUP(A:A,'PPTO 2017'!A:E,3,0),0)</f>
        <v>0</v>
      </c>
      <c r="D123" s="205">
        <f>IFERROR(VLOOKUP(A:A,EJEC!A:G,5,0),0)</f>
        <v>0</v>
      </c>
      <c r="E123" s="205">
        <v>0</v>
      </c>
      <c r="F123" s="322" t="str">
        <f t="shared" si="20"/>
        <v/>
      </c>
      <c r="G123" s="225">
        <f t="shared" si="24"/>
        <v>0</v>
      </c>
      <c r="H123" s="204" t="e">
        <f t="shared" si="19"/>
        <v>#DIV/0!</v>
      </c>
      <c r="I123" s="322" t="str">
        <f t="shared" si="17"/>
        <v/>
      </c>
      <c r="J123" s="543"/>
      <c r="K123" s="524"/>
      <c r="L123" s="524"/>
      <c r="M123" s="524"/>
    </row>
    <row r="124" spans="1:13" customFormat="1" ht="12.75" hidden="1" outlineLevel="1" x14ac:dyDescent="0.2">
      <c r="A124" s="608">
        <v>5135957000</v>
      </c>
      <c r="B124" s="207" t="s">
        <v>750</v>
      </c>
      <c r="C124" s="205">
        <f>IFERROR(VLOOKUP(A:A,'PPTO 2017'!A:E,3,0),0)</f>
        <v>0</v>
      </c>
      <c r="D124" s="205">
        <f>IFERROR(VLOOKUP(A:A,EJEC!A:G,5,0),0)</f>
        <v>0</v>
      </c>
      <c r="E124" s="205">
        <v>0</v>
      </c>
      <c r="F124" s="322" t="str">
        <f>IF(E124=0,"",IF(C124=0,"",(E124/C124)))</f>
        <v/>
      </c>
      <c r="G124" s="225">
        <f t="shared" si="24"/>
        <v>0</v>
      </c>
      <c r="H124" s="204" t="e">
        <f>(+G124/E124)-1</f>
        <v>#DIV/0!</v>
      </c>
      <c r="I124" s="322" t="str">
        <f>IF(G124=0,"",IF(E124=0,"",(G124/E124)-1))</f>
        <v/>
      </c>
      <c r="J124" s="543"/>
      <c r="K124" s="524"/>
      <c r="L124" s="524"/>
      <c r="M124" s="524"/>
    </row>
    <row r="125" spans="1:13" customFormat="1" ht="12.75" hidden="1" outlineLevel="1" x14ac:dyDescent="0.2">
      <c r="A125" s="3"/>
      <c r="B125" s="212" t="s">
        <v>512</v>
      </c>
      <c r="C125" s="205"/>
      <c r="D125" s="205"/>
      <c r="E125" s="205"/>
      <c r="F125" s="322" t="str">
        <f t="shared" si="20"/>
        <v/>
      </c>
      <c r="G125" s="225" t="s">
        <v>169</v>
      </c>
      <c r="H125" s="204"/>
      <c r="I125" s="322" t="str">
        <f t="shared" si="17"/>
        <v/>
      </c>
      <c r="J125" s="543"/>
      <c r="K125" s="524"/>
      <c r="L125" s="524"/>
      <c r="M125" s="524"/>
    </row>
    <row r="126" spans="1:13" customFormat="1" ht="12.75" hidden="1" outlineLevel="1" x14ac:dyDescent="0.2">
      <c r="A126" s="3">
        <v>5140050000</v>
      </c>
      <c r="B126" s="207" t="s">
        <v>327</v>
      </c>
      <c r="C126" s="205">
        <f>IFERROR(VLOOKUP(A:A,'PPTO 2017'!A:E,3,0),0)</f>
        <v>0</v>
      </c>
      <c r="D126" s="205">
        <f>IFERROR(VLOOKUP(A:A,EJEC!A:G,5,0),0)</f>
        <v>0</v>
      </c>
      <c r="E126" s="205">
        <v>0</v>
      </c>
      <c r="F126" s="322" t="str">
        <f t="shared" si="20"/>
        <v/>
      </c>
      <c r="G126" s="225">
        <f t="shared" si="24"/>
        <v>0</v>
      </c>
      <c r="H126" s="204" t="e">
        <f t="shared" si="19"/>
        <v>#DIV/0!</v>
      </c>
      <c r="I126" s="322" t="str">
        <f t="shared" si="17"/>
        <v/>
      </c>
      <c r="J126" s="543"/>
      <c r="K126" s="524"/>
      <c r="L126" s="524"/>
      <c r="M126" s="524"/>
    </row>
    <row r="127" spans="1:13" customFormat="1" ht="12.75" hidden="1" outlineLevel="1" x14ac:dyDescent="0.2">
      <c r="A127" s="3">
        <v>5140150000</v>
      </c>
      <c r="B127" s="207" t="s">
        <v>328</v>
      </c>
      <c r="C127" s="205">
        <f>IFERROR(VLOOKUP(A:A,'PPTO 2017'!A:E,3,0),0)</f>
        <v>3.21</v>
      </c>
      <c r="D127" s="205">
        <f>IFERROR(VLOOKUP(A:A,EJEC!A:G,5,0),0)</f>
        <v>0</v>
      </c>
      <c r="E127" s="205">
        <v>0</v>
      </c>
      <c r="F127" s="322" t="str">
        <f t="shared" si="20"/>
        <v/>
      </c>
      <c r="G127" s="225">
        <f t="shared" si="24"/>
        <v>0</v>
      </c>
      <c r="H127" s="204" t="e">
        <f t="shared" si="19"/>
        <v>#DIV/0!</v>
      </c>
      <c r="I127" s="322" t="str">
        <f t="shared" si="17"/>
        <v/>
      </c>
      <c r="J127" s="543"/>
      <c r="K127" s="524"/>
      <c r="L127" s="524"/>
      <c r="M127" s="524"/>
    </row>
    <row r="128" spans="1:13" customFormat="1" ht="12.75" hidden="1" outlineLevel="1" x14ac:dyDescent="0.2">
      <c r="A128" s="608">
        <v>5140200000</v>
      </c>
      <c r="B128" s="207" t="s">
        <v>751</v>
      </c>
      <c r="C128" s="205">
        <f>IFERROR(VLOOKUP(A:A,'PPTO 2017'!A:E,3,0),0)</f>
        <v>0</v>
      </c>
      <c r="D128" s="205">
        <f>IFERROR(VLOOKUP(A:A,EJEC!A:G,5,0),0)</f>
        <v>0</v>
      </c>
      <c r="E128" s="205">
        <v>0</v>
      </c>
      <c r="F128" s="322" t="str">
        <f>IF(E128=0,"",IF(C128=0,"",(E128/C128)))</f>
        <v/>
      </c>
      <c r="G128" s="225">
        <f t="shared" si="24"/>
        <v>0</v>
      </c>
      <c r="H128" s="204" t="e">
        <f>(+G128/E128)-1</f>
        <v>#DIV/0!</v>
      </c>
      <c r="I128" s="322" t="str">
        <f>IF(G128=0,"",IF(E128=0,"",(G128/E128)-1))</f>
        <v/>
      </c>
      <c r="J128" s="543"/>
      <c r="K128" s="524"/>
      <c r="L128" s="524"/>
      <c r="M128" s="524"/>
    </row>
    <row r="129" spans="1:13" customFormat="1" ht="12.75" hidden="1" outlineLevel="1" x14ac:dyDescent="0.2">
      <c r="A129" s="608">
        <v>5140210000</v>
      </c>
      <c r="B129" s="207" t="s">
        <v>752</v>
      </c>
      <c r="C129" s="205">
        <f>IFERROR(VLOOKUP(A:A,'PPTO 2017'!A:E,3,0),0)</f>
        <v>0</v>
      </c>
      <c r="D129" s="205">
        <f>IFERROR(VLOOKUP(A:A,EJEC!A:G,5,0),0)</f>
        <v>0</v>
      </c>
      <c r="E129" s="205">
        <v>0</v>
      </c>
      <c r="F129" s="322" t="str">
        <f>IF(E129=0,"",IF(C129=0,"",(E129/C129)))</f>
        <v/>
      </c>
      <c r="G129" s="225">
        <f t="shared" si="24"/>
        <v>0</v>
      </c>
      <c r="H129" s="204" t="e">
        <f>(+G129/E129)-1</f>
        <v>#DIV/0!</v>
      </c>
      <c r="I129" s="322" t="str">
        <f>IF(G129=0,"",IF(E129=0,"",(G129/E129)-1))</f>
        <v/>
      </c>
      <c r="J129" s="543"/>
      <c r="K129" s="524"/>
      <c r="L129" s="524"/>
      <c r="M129" s="524"/>
    </row>
    <row r="130" spans="1:13" customFormat="1" ht="12.75" hidden="1" outlineLevel="1" x14ac:dyDescent="0.2">
      <c r="A130" s="3">
        <v>5140950200</v>
      </c>
      <c r="B130" s="207" t="s">
        <v>329</v>
      </c>
      <c r="C130" s="205">
        <f>IFERROR(VLOOKUP(A:A,'PPTO 2017'!A:E,3,0),0)</f>
        <v>0</v>
      </c>
      <c r="D130" s="205">
        <f>IFERROR(VLOOKUP(A:A,EJEC!A:G,5,0),0)</f>
        <v>0</v>
      </c>
      <c r="E130" s="205">
        <v>0</v>
      </c>
      <c r="F130" s="322" t="str">
        <f t="shared" si="20"/>
        <v/>
      </c>
      <c r="G130" s="225">
        <f t="shared" si="24"/>
        <v>0</v>
      </c>
      <c r="H130" s="204" t="e">
        <f t="shared" si="19"/>
        <v>#DIV/0!</v>
      </c>
      <c r="I130" s="322" t="str">
        <f t="shared" si="17"/>
        <v/>
      </c>
      <c r="J130" s="543"/>
      <c r="K130" s="524"/>
      <c r="L130" s="524"/>
      <c r="M130" s="524"/>
    </row>
    <row r="131" spans="1:13" customFormat="1" ht="12.75" hidden="1" outlineLevel="1" x14ac:dyDescent="0.2">
      <c r="A131" s="3"/>
      <c r="B131" s="212" t="s">
        <v>513</v>
      </c>
      <c r="C131" s="205"/>
      <c r="D131" s="205"/>
      <c r="E131" s="205"/>
      <c r="F131" s="322" t="str">
        <f t="shared" si="20"/>
        <v/>
      </c>
      <c r="G131" s="225" t="s">
        <v>169</v>
      </c>
      <c r="H131" s="204"/>
      <c r="I131" s="322" t="str">
        <f t="shared" si="17"/>
        <v/>
      </c>
      <c r="J131" s="543"/>
      <c r="K131" s="524"/>
      <c r="L131" s="524"/>
      <c r="M131" s="524"/>
    </row>
    <row r="132" spans="1:13" customFormat="1" ht="12.75" hidden="1" outlineLevel="1" x14ac:dyDescent="0.2">
      <c r="A132" s="3">
        <v>5145100000</v>
      </c>
      <c r="B132" s="207" t="s">
        <v>330</v>
      </c>
      <c r="C132" s="205">
        <f>IFERROR(VLOOKUP(A:A,'PPTO 2017'!A:E,3,0),0)</f>
        <v>0</v>
      </c>
      <c r="D132" s="205">
        <f>IFERROR(VLOOKUP(A:A,EJEC!A:G,5,0),0)</f>
        <v>0</v>
      </c>
      <c r="E132" s="205">
        <v>0</v>
      </c>
      <c r="F132" s="322" t="str">
        <f t="shared" si="20"/>
        <v/>
      </c>
      <c r="G132" s="225">
        <f t="shared" si="24"/>
        <v>0</v>
      </c>
      <c r="H132" s="204" t="e">
        <f t="shared" si="19"/>
        <v>#DIV/0!</v>
      </c>
      <c r="I132" s="322" t="str">
        <f t="shared" si="17"/>
        <v/>
      </c>
      <c r="J132" s="543"/>
      <c r="K132" s="524"/>
      <c r="L132" s="524"/>
      <c r="M132" s="524"/>
    </row>
    <row r="133" spans="1:13" customFormat="1" ht="12.75" hidden="1" outlineLevel="1" x14ac:dyDescent="0.2">
      <c r="A133" s="3">
        <v>5145150200</v>
      </c>
      <c r="B133" s="207" t="s">
        <v>494</v>
      </c>
      <c r="C133" s="205">
        <f>IFERROR(VLOOKUP(A:A,'PPTO 2017'!A:E,3,0),0)</f>
        <v>0</v>
      </c>
      <c r="D133" s="205">
        <f>IFERROR(VLOOKUP(A:A,EJEC!A:G,5,0),0)</f>
        <v>0</v>
      </c>
      <c r="E133" s="205">
        <v>0</v>
      </c>
      <c r="F133" s="322" t="str">
        <f t="shared" si="20"/>
        <v/>
      </c>
      <c r="G133" s="225">
        <f t="shared" si="24"/>
        <v>0</v>
      </c>
      <c r="H133" s="204" t="e">
        <f t="shared" si="19"/>
        <v>#DIV/0!</v>
      </c>
      <c r="I133" s="322" t="str">
        <f t="shared" si="17"/>
        <v/>
      </c>
      <c r="J133" s="543"/>
      <c r="K133" s="524"/>
      <c r="L133" s="524"/>
      <c r="M133" s="524"/>
    </row>
    <row r="134" spans="1:13" customFormat="1" ht="12.75" hidden="1" outlineLevel="1" x14ac:dyDescent="0.2">
      <c r="A134" s="3">
        <v>5145150300</v>
      </c>
      <c r="B134" s="207" t="s">
        <v>495</v>
      </c>
      <c r="C134" s="205">
        <f>IFERROR(VLOOKUP(A:A,'PPTO 2017'!A:E,3,0),0)</f>
        <v>0</v>
      </c>
      <c r="D134" s="205">
        <f>IFERROR(VLOOKUP(A:A,EJEC!A:G,5,0),0)</f>
        <v>0</v>
      </c>
      <c r="E134" s="205">
        <v>0</v>
      </c>
      <c r="F134" s="322" t="str">
        <f t="shared" si="20"/>
        <v/>
      </c>
      <c r="G134" s="225">
        <f t="shared" si="24"/>
        <v>0</v>
      </c>
      <c r="H134" s="204" t="e">
        <f t="shared" si="19"/>
        <v>#DIV/0!</v>
      </c>
      <c r="I134" s="322" t="str">
        <f t="shared" si="17"/>
        <v/>
      </c>
      <c r="J134" s="543"/>
      <c r="K134" s="524"/>
      <c r="L134" s="524"/>
      <c r="M134" s="524"/>
    </row>
    <row r="135" spans="1:13" customFormat="1" ht="12.75" hidden="1" outlineLevel="1" x14ac:dyDescent="0.2">
      <c r="A135" s="3">
        <v>5145150400</v>
      </c>
      <c r="B135" s="207" t="s">
        <v>496</v>
      </c>
      <c r="C135" s="205">
        <f>IFERROR(VLOOKUP(A:A,'PPTO 2017'!A:E,3,0),0)</f>
        <v>0</v>
      </c>
      <c r="D135" s="205">
        <f>IFERROR(VLOOKUP(A:A,EJEC!A:G,5,0),0)</f>
        <v>0</v>
      </c>
      <c r="E135" s="205">
        <v>0</v>
      </c>
      <c r="F135" s="322" t="str">
        <f t="shared" si="20"/>
        <v/>
      </c>
      <c r="G135" s="225">
        <f t="shared" si="24"/>
        <v>0</v>
      </c>
      <c r="H135" s="204" t="s">
        <v>169</v>
      </c>
      <c r="I135" s="322" t="str">
        <f t="shared" si="17"/>
        <v/>
      </c>
      <c r="J135" s="543"/>
      <c r="K135" s="524"/>
      <c r="L135" s="524"/>
      <c r="M135" s="524"/>
    </row>
    <row r="136" spans="1:13" customFormat="1" ht="12.75" hidden="1" outlineLevel="1" x14ac:dyDescent="0.2">
      <c r="A136" s="3">
        <v>5145250000</v>
      </c>
      <c r="B136" s="207" t="s">
        <v>497</v>
      </c>
      <c r="C136" s="205">
        <f>IFERROR(VLOOKUP(A:A,'PPTO 2017'!A:E,3,0),0)</f>
        <v>0</v>
      </c>
      <c r="D136" s="205">
        <f>IFERROR(VLOOKUP(A:A,EJEC!A:G,5,0),0)</f>
        <v>0</v>
      </c>
      <c r="E136" s="205">
        <v>0</v>
      </c>
      <c r="F136" s="322" t="str">
        <f t="shared" si="20"/>
        <v/>
      </c>
      <c r="G136" s="225">
        <f t="shared" si="24"/>
        <v>0</v>
      </c>
      <c r="H136" s="204" t="s">
        <v>169</v>
      </c>
      <c r="I136" s="322" t="str">
        <f t="shared" si="17"/>
        <v/>
      </c>
      <c r="J136" s="543"/>
      <c r="K136" s="524"/>
      <c r="L136" s="524"/>
      <c r="M136" s="524"/>
    </row>
    <row r="137" spans="1:13" customFormat="1" ht="12.75" hidden="1" outlineLevel="1" x14ac:dyDescent="0.2">
      <c r="A137" s="3">
        <v>5145300000</v>
      </c>
      <c r="B137" s="207" t="s">
        <v>498</v>
      </c>
      <c r="C137" s="205">
        <f>IFERROR(VLOOKUP(A:A,'PPTO 2017'!A:E,3,0),0)</f>
        <v>0</v>
      </c>
      <c r="D137" s="205">
        <f>IFERROR(VLOOKUP(A:A,EJEC!A:G,5,0),0)</f>
        <v>0</v>
      </c>
      <c r="E137" s="205">
        <v>0</v>
      </c>
      <c r="F137" s="322" t="str">
        <f t="shared" si="20"/>
        <v/>
      </c>
      <c r="G137" s="316">
        <f>(SUMIF(HONORARIOS!$B$27:$B$165,A137,HONORARIOS!$G$27:$G$165)+SUMIF(ASESOR.Y.CONSULT.!$A$7:$A$25,PRESUPUESTO!A137,ASESOR.Y.CONSULT.!$N$7:$N$25)+SUMIF('PROY INVEST.'!$A$5:$A$26,PRESUPUESTO!A137,'PROY INVEST.'!$N$5:$N$26)+SUMIF(P.PROY.SOCIAL!$A$5:$A$28,PRESUPUESTO!A137,P.PROY.SOCIAL!$N$5:$N$28)+SUMIF(GEST.REC.HUM.!$A$6:$A$39,PRESUPUESTO!A137,GEST.REC.HUM.!$N$6:$N$39)+SUMIF('OTRAS ACTIV.'!$A$6:$A$39,PRESUPUESTO!A137,'OTRAS ACTIV.'!$N$6:$N$39)+SUMIF('ADICIONALES PD'!A$6:$A23,PRESUPUESTO!A137,'ADICIONALES PD'!$N$6:$N$23)+SUMIF(SALIDAS!$A$6:$A$19,PRESUPUESTO!A137,SALIDAS!$AE$6:$AE$19)+SUMIF(BIBLIOTECA!$A$7:$A$41,PRESUPUESTO!A137,BIBLIOTECA!$F$5:$F$41)+SUMIF(AFILIACIONES!$A$5:$A$25,PRESUPUESTO!A137,AFILIACIONES!$E$5:$E$25)+SUMIF(IMPRESOS.PUBLIC!$A$7:$A$34,PRESUPUESTO!A137,IMPRESOS.PUBLIC!$D$7:$D$34)+SUMIF(MANTEN.EQUIP.!$A$7:$A$27,PRESUPUESTO!A137,MANTEN.EQUIP.!$D$7:$D$27)+SUMIF(INVER.EQUIPO.COMP!$A$7:$A$37,PRESUPUESTO!A137,INVER.EQUIPO.COMP!$E$7:$E$37)+SUMIF(INVER.OTROS.EQUIPOS!$A$7:$A$37,PRESUPUESTO!A137,INVER.OTROS.EQUIPOS!$E$7:$E$37)+SUMIF(INVER.MUEBLES!$A$7:$A$35,PRESUPUESTO!A137,INVER.MUEBLES!$E$7:$E$35)+SUMIF(ADECUAC.LOCATIVAS!$A$7:$A$29,PRESUPUESTO!A137,ADECUAC.LOCATIVAS!$E$7:$E$29))/1000</f>
        <v>0</v>
      </c>
      <c r="H137" s="204" t="s">
        <v>169</v>
      </c>
      <c r="I137" s="322" t="str">
        <f t="shared" si="17"/>
        <v/>
      </c>
      <c r="J137" s="543"/>
      <c r="K137" s="524"/>
      <c r="L137" s="524"/>
      <c r="M137" s="524"/>
    </row>
    <row r="138" spans="1:13" customFormat="1" ht="12.75" hidden="1" outlineLevel="1" x14ac:dyDescent="0.2">
      <c r="A138" s="3">
        <v>5150950000</v>
      </c>
      <c r="B138" s="207" t="s">
        <v>331</v>
      </c>
      <c r="C138" s="205">
        <f>IFERROR(VLOOKUP(A:A,'PPTO 2017'!A:E,3,0),0)</f>
        <v>2660.02</v>
      </c>
      <c r="D138" s="205">
        <f>IFERROR(VLOOKUP(A:A,EJEC!A:G,5,0),0)</f>
        <v>2146.7600000000002</v>
      </c>
      <c r="E138" s="205">
        <v>2147</v>
      </c>
      <c r="F138" s="322">
        <f t="shared" si="20"/>
        <v>0.80713678844519965</v>
      </c>
      <c r="G138" s="225">
        <f t="shared" si="24"/>
        <v>2254.35</v>
      </c>
      <c r="H138" s="204">
        <f t="shared" si="19"/>
        <v>5.0000000000000044E-2</v>
      </c>
      <c r="I138" s="322">
        <f t="shared" ref="I138:I200" si="25">IF(G138=0,"",IF(E138=0,"",(G138/E138)-1))</f>
        <v>5.0000000000000044E-2</v>
      </c>
      <c r="J138" s="543"/>
      <c r="K138" s="524"/>
      <c r="L138" s="524"/>
      <c r="M138" s="524"/>
    </row>
    <row r="139" spans="1:13" customFormat="1" ht="12.75" hidden="1" outlineLevel="1" x14ac:dyDescent="0.2">
      <c r="A139" s="3"/>
      <c r="B139" s="212" t="s">
        <v>514</v>
      </c>
      <c r="C139" s="205"/>
      <c r="D139" s="205"/>
      <c r="E139" s="205"/>
      <c r="F139" s="322" t="str">
        <f t="shared" si="20"/>
        <v/>
      </c>
      <c r="G139" s="225"/>
      <c r="H139" s="204"/>
      <c r="I139" s="322" t="str">
        <f t="shared" si="25"/>
        <v/>
      </c>
      <c r="J139" s="543"/>
      <c r="K139" s="524"/>
      <c r="L139" s="524"/>
      <c r="M139" s="524"/>
    </row>
    <row r="140" spans="1:13" customFormat="1" ht="12.75" hidden="1" outlineLevel="1" x14ac:dyDescent="0.2">
      <c r="A140" s="3">
        <v>5155050000</v>
      </c>
      <c r="B140" s="207" t="s">
        <v>61</v>
      </c>
      <c r="C140" s="205">
        <f>IFERROR(VLOOKUP(A:A,'PPTO 2017'!A:E,3,0),0)</f>
        <v>1599.3600000000006</v>
      </c>
      <c r="D140" s="205">
        <f>IFERROR(VLOOKUP(A:A,EJEC!A:G,5,0),0)</f>
        <v>0</v>
      </c>
      <c r="E140" s="205">
        <v>1520</v>
      </c>
      <c r="F140" s="322">
        <f t="shared" ref="F140:F202" si="26">IF(E140=0,"",IF(C140=0,"",(E140/C140)))</f>
        <v>0.95038015206082394</v>
      </c>
      <c r="G140" s="226">
        <f>-20000+(SUMIF(HONORARIOS!$B$27:$B$165,A140,HONORARIOS!$G$27:$G$165)+SUMIF(ASESOR.Y.CONSULT.!$A$7:$A$25,PRESUPUESTO!A140,ASESOR.Y.CONSULT.!$N$7:$N$25)+SUMIF('PROY INVEST.'!$A$5:$A$26,PRESUPUESTO!A140,'PROY INVEST.'!$N$5:$N$26)+SUMIF(P.PROY.SOCIAL!$A$5:$A$28,PRESUPUESTO!A140,P.PROY.SOCIAL!$N$5:$N$28)+SUMIF(GEST.REC.HUM.!$A$6:$A$39,PRESUPUESTO!A140,GEST.REC.HUM.!$N$6:$N$39)+SUMIF('OTRAS ACTIV.'!$A$6:$A$39,PRESUPUESTO!A140,'OTRAS ACTIV.'!$N$6:$N$39)+SUMIF('ADICIONALES PD'!A$6:$A23,PRESUPUESTO!A140,'ADICIONALES PD'!$N$6:$N$23)+SUMIF(SALIDAS!$A$6:$A$19,PRESUPUESTO!A140,SALIDAS!$AE$6:$AE$19)+SUMIF(BIBLIOTECA!$A$7:$A$41,PRESUPUESTO!A140,BIBLIOTECA!$F$5:$F$41)+SUMIF(AFILIACIONES!$A$5:$A$25,PRESUPUESTO!A140,AFILIACIONES!$E$5:$E$25)+SUMIF(IMPRESOS.PUBLIC!$A$7:$A$34,PRESUPUESTO!A140,IMPRESOS.PUBLIC!$D$7:$D$34)+SUMIF(MANTEN.EQUIP.!$A$7:$A$27,PRESUPUESTO!A140,MANTEN.EQUIP.!$D$7:$D$27)+SUMIF(INVER.EQUIPO.COMP!$A$7:$A$37,PRESUPUESTO!A140,INVER.EQUIPO.COMP!$E$7:$E$37)+SUMIF(INVER.OTROS.EQUIPOS!$A$7:$A$37,PRESUPUESTO!A140,INVER.OTROS.EQUIPOS!$E$7:$E$37)+SUMIF(INVER.MUEBLES!$A$7:$A$35,PRESUPUESTO!A140,INVER.MUEBLES!$E$7:$E$35)+SUMIF(ADECUAC.LOCATIVAS!$A$7:$A$29,PRESUPUESTO!A140,ADECUAC.LOCATIVAS!$E$7:$E$29))/1000</f>
        <v>1500</v>
      </c>
      <c r="H140" s="204">
        <f t="shared" si="19"/>
        <v>-1.3157894736842146E-2</v>
      </c>
      <c r="I140" s="322">
        <f t="shared" si="25"/>
        <v>-1.3157894736842146E-2</v>
      </c>
      <c r="J140" s="543"/>
      <c r="K140" s="524"/>
      <c r="L140" s="524"/>
      <c r="M140" s="524"/>
    </row>
    <row r="141" spans="1:13" customFormat="1" ht="12.75" hidden="1" outlineLevel="1" x14ac:dyDescent="0.2">
      <c r="A141" s="3">
        <v>5155150000</v>
      </c>
      <c r="B141" s="207" t="s">
        <v>62</v>
      </c>
      <c r="C141" s="205">
        <f>IFERROR(VLOOKUP(A:A,'PPTO 2017'!A:E,3,0),0)</f>
        <v>284.25</v>
      </c>
      <c r="D141" s="205">
        <f>IFERROR(VLOOKUP(A:A,EJEC!A:G,5,0),0)</f>
        <v>1608.4290000000001</v>
      </c>
      <c r="E141" s="205">
        <v>2600</v>
      </c>
      <c r="F141" s="322">
        <f t="shared" si="26"/>
        <v>9.1468777484608612</v>
      </c>
      <c r="G141" s="226">
        <f>-20000+(SUMIF(HONORARIOS!$B$27:$B$165,A141,HONORARIOS!$G$27:$G$165)+SUMIF(ASESOR.Y.CONSULT.!$A$7:$A$25,PRESUPUESTO!A141,ASESOR.Y.CONSULT.!$N$7:$N$25)+SUMIF('PROY INVEST.'!$A$5:$A$26,PRESUPUESTO!A141,'PROY INVEST.'!$N$5:$N$26)+SUMIF(P.PROY.SOCIAL!$A$5:$A$28,PRESUPUESTO!A141,P.PROY.SOCIAL!$N$5:$N$28)+SUMIF(GEST.REC.HUM.!$A$6:$A$39,PRESUPUESTO!A141,GEST.REC.HUM.!$N$6:$N$39)+SUMIF('OTRAS ACTIV.'!$A$6:$A$39,PRESUPUESTO!A141,'OTRAS ACTIV.'!$N$6:$N$39)+SUMIF('ADICIONALES PD'!A$6:$A23,PRESUPUESTO!A141,'ADICIONALES PD'!$N$6:$N$23)+SUMIF(SALIDAS!$A$6:$A$19,PRESUPUESTO!A141,SALIDAS!$AE$6:$AE$19)+SUMIF(BIBLIOTECA!$A$7:$A$41,PRESUPUESTO!A141,BIBLIOTECA!$F$5:$F$41)+SUMIF(AFILIACIONES!$A$5:$A$25,PRESUPUESTO!A141,AFILIACIONES!$E$5:$E$25)+SUMIF(IMPRESOS.PUBLIC!$A$7:$A$34,PRESUPUESTO!A141,IMPRESOS.PUBLIC!$D$7:$D$34)+SUMIF(MANTEN.EQUIP.!$A$7:$A$27,PRESUPUESTO!A141,MANTEN.EQUIP.!$D$7:$D$27)+SUMIF(INVER.EQUIPO.COMP!$A$7:$A$37,PRESUPUESTO!A141,INVER.EQUIPO.COMP!$E$7:$E$37)+SUMIF(INVER.OTROS.EQUIPOS!$A$7:$A$37,PRESUPUESTO!A141,INVER.OTROS.EQUIPOS!$E$7:$E$37)+SUMIF(INVER.MUEBLES!$A$7:$A$35,PRESUPUESTO!A141,INVER.MUEBLES!$E$7:$E$35)+SUMIF(ADECUAC.LOCATIVAS!$A$7:$A$29,PRESUPUESTO!A141,ADECUAC.LOCATIVAS!$E$7:$E$29))/1000</f>
        <v>52500</v>
      </c>
      <c r="H141" s="204">
        <f t="shared" ref="H141:H175" si="27">(+G141/E141)-1</f>
        <v>19.192307692307693</v>
      </c>
      <c r="I141" s="322">
        <f t="shared" si="25"/>
        <v>19.192307692307693</v>
      </c>
      <c r="J141" s="543"/>
      <c r="K141" s="524"/>
      <c r="L141" s="524"/>
      <c r="M141" s="524"/>
    </row>
    <row r="142" spans="1:13" customFormat="1" ht="12.75" hidden="1" outlineLevel="1" x14ac:dyDescent="0.2">
      <c r="A142" s="3">
        <v>5155200000</v>
      </c>
      <c r="B142" s="207" t="s">
        <v>63</v>
      </c>
      <c r="C142" s="205">
        <f>IFERROR(VLOOKUP(A:A,'PPTO 2017'!A:E,3,0),0)</f>
        <v>0</v>
      </c>
      <c r="D142" s="205">
        <f>IFERROR(VLOOKUP(A:A,EJEC!A:G,5,0),0)</f>
        <v>0</v>
      </c>
      <c r="E142" s="205">
        <v>0</v>
      </c>
      <c r="F142" s="322" t="str">
        <f t="shared" si="26"/>
        <v/>
      </c>
      <c r="G142" s="225">
        <v>0</v>
      </c>
      <c r="H142" s="204" t="e">
        <f t="shared" si="27"/>
        <v>#DIV/0!</v>
      </c>
      <c r="I142" s="322" t="str">
        <f t="shared" si="25"/>
        <v/>
      </c>
      <c r="J142" s="543"/>
      <c r="K142" s="524"/>
      <c r="L142" s="524"/>
      <c r="M142" s="524"/>
    </row>
    <row r="143" spans="1:13" customFormat="1" ht="12.75" hidden="1" outlineLevel="1" x14ac:dyDescent="0.2">
      <c r="A143" s="3">
        <v>5155950100</v>
      </c>
      <c r="B143" s="207" t="s">
        <v>285</v>
      </c>
      <c r="C143" s="205">
        <f>IFERROR(VLOOKUP(A:A,'PPTO 2017'!A:E,3,0),0)</f>
        <v>400</v>
      </c>
      <c r="D143" s="205">
        <f>IFERROR(VLOOKUP(A:A,EJEC!A:G,5,0),0)</f>
        <v>550</v>
      </c>
      <c r="E143" s="205">
        <v>550</v>
      </c>
      <c r="F143" s="322">
        <f t="shared" si="26"/>
        <v>1.375</v>
      </c>
      <c r="G143" s="316">
        <f>SALIDAS!AE17/1000</f>
        <v>0</v>
      </c>
      <c r="H143" s="204">
        <f t="shared" si="27"/>
        <v>-1</v>
      </c>
      <c r="I143" s="322" t="str">
        <f t="shared" si="25"/>
        <v/>
      </c>
      <c r="J143" s="543"/>
      <c r="K143" s="524"/>
      <c r="L143" s="524"/>
      <c r="M143" s="524"/>
    </row>
    <row r="144" spans="1:13" customFormat="1" ht="12.75" hidden="1" outlineLevel="1" x14ac:dyDescent="0.2">
      <c r="A144" s="3">
        <v>5155950200</v>
      </c>
      <c r="B144" s="207" t="s">
        <v>286</v>
      </c>
      <c r="C144" s="205">
        <f>IFERROR(VLOOKUP(A:A,'PPTO 2017'!A:E,3,0),0)</f>
        <v>0</v>
      </c>
      <c r="D144" s="205">
        <f>IFERROR(VLOOKUP(A:A,EJEC!A:G,5,0),0)</f>
        <v>0</v>
      </c>
      <c r="E144" s="205">
        <v>0</v>
      </c>
      <c r="F144" s="322" t="str">
        <f t="shared" si="26"/>
        <v/>
      </c>
      <c r="G144" s="225">
        <f t="shared" ref="G144" si="28">+E144*$O$2</f>
        <v>0</v>
      </c>
      <c r="H144" s="204" t="e">
        <f t="shared" si="27"/>
        <v>#DIV/0!</v>
      </c>
      <c r="I144" s="322" t="str">
        <f t="shared" si="25"/>
        <v/>
      </c>
      <c r="J144" s="543"/>
      <c r="K144" s="524"/>
      <c r="L144" s="524"/>
      <c r="M144" s="524"/>
    </row>
    <row r="145" spans="1:13" customFormat="1" ht="12.75" hidden="1" outlineLevel="1" x14ac:dyDescent="0.2">
      <c r="A145" s="3"/>
      <c r="B145" s="318" t="s">
        <v>515</v>
      </c>
      <c r="C145" s="205"/>
      <c r="D145" s="205"/>
      <c r="E145" s="205"/>
      <c r="F145" s="322" t="str">
        <f t="shared" si="26"/>
        <v/>
      </c>
      <c r="G145" s="225"/>
      <c r="H145" s="204"/>
      <c r="I145" s="322" t="str">
        <f t="shared" si="25"/>
        <v/>
      </c>
      <c r="J145" s="543"/>
      <c r="K145" s="524"/>
      <c r="L145" s="524"/>
      <c r="M145" s="524"/>
    </row>
    <row r="146" spans="1:13" customFormat="1" ht="12.75" hidden="1" outlineLevel="1" x14ac:dyDescent="0.2">
      <c r="A146" s="3">
        <v>5165951000</v>
      </c>
      <c r="B146" s="317" t="s">
        <v>93</v>
      </c>
      <c r="C146" s="205">
        <f>IFERROR(VLOOKUP(A:A,'PPTO 2017'!A:E,3,0),0)</f>
        <v>10000</v>
      </c>
      <c r="D146" s="205">
        <f>IFERROR(VLOOKUP(A:A,EJEC!A:G,5,0),0)</f>
        <v>882</v>
      </c>
      <c r="E146" s="205">
        <v>8900</v>
      </c>
      <c r="F146" s="322">
        <f t="shared" si="26"/>
        <v>0.89</v>
      </c>
      <c r="G146" s="226">
        <f>+BIBLIOTECA!F41/1000</f>
        <v>111000</v>
      </c>
      <c r="H146" s="204">
        <f t="shared" si="27"/>
        <v>11.47191011235955</v>
      </c>
      <c r="I146" s="322">
        <f t="shared" si="25"/>
        <v>11.47191011235955</v>
      </c>
      <c r="J146" s="543"/>
      <c r="K146" s="524"/>
      <c r="L146" s="524"/>
      <c r="M146" s="524"/>
    </row>
    <row r="147" spans="1:13" customFormat="1" ht="12.75" hidden="1" outlineLevel="1" x14ac:dyDescent="0.2">
      <c r="A147" s="3"/>
      <c r="B147" s="318" t="s">
        <v>516</v>
      </c>
      <c r="C147" s="205"/>
      <c r="D147" s="205"/>
      <c r="E147" s="205"/>
      <c r="F147" s="322" t="str">
        <f t="shared" si="26"/>
        <v/>
      </c>
      <c r="G147" s="225"/>
      <c r="H147" s="204"/>
      <c r="I147" s="322" t="str">
        <f t="shared" si="25"/>
        <v/>
      </c>
      <c r="J147" s="543"/>
      <c r="K147" s="524"/>
      <c r="L147" s="524"/>
      <c r="M147" s="524"/>
    </row>
    <row r="148" spans="1:13" customFormat="1" ht="12.75" hidden="1" outlineLevel="1" x14ac:dyDescent="0.2">
      <c r="A148" s="3">
        <v>5195100000</v>
      </c>
      <c r="B148" s="207" t="s">
        <v>65</v>
      </c>
      <c r="C148" s="205">
        <f>IFERROR(VLOOKUP(A:A,'PPTO 2017'!A:E,3,0),0)</f>
        <v>23190.11</v>
      </c>
      <c r="D148" s="205">
        <f>IFERROR(VLOOKUP(A:A,EJEC!A:G,5,0),0)</f>
        <v>84415.593999999997</v>
      </c>
      <c r="E148" s="205">
        <v>84416</v>
      </c>
      <c r="F148" s="322">
        <f t="shared" si="26"/>
        <v>3.6401724700745275</v>
      </c>
      <c r="G148" s="225">
        <f t="shared" ref="G148" si="29">+E148*$O$2</f>
        <v>88636.800000000003</v>
      </c>
      <c r="H148" s="204">
        <f t="shared" si="27"/>
        <v>5.0000000000000044E-2</v>
      </c>
      <c r="I148" s="322">
        <f t="shared" si="25"/>
        <v>5.0000000000000044E-2</v>
      </c>
      <c r="J148" s="543"/>
      <c r="K148" s="524"/>
      <c r="L148" s="524"/>
      <c r="M148" s="524"/>
    </row>
    <row r="149" spans="1:13" customFormat="1" ht="12.75" hidden="1" outlineLevel="1" x14ac:dyDescent="0.2">
      <c r="A149" s="3">
        <v>5195200000</v>
      </c>
      <c r="B149" s="207" t="s">
        <v>66</v>
      </c>
      <c r="C149" s="205">
        <f>IFERROR(VLOOKUP(A:A,'PPTO 2017'!A:E,3,0),0)</f>
        <v>6117</v>
      </c>
      <c r="D149" s="205">
        <f>IFERROR(VLOOKUP(A:A,EJEC!A:G,5,0),0)</f>
        <v>10350.887000000001</v>
      </c>
      <c r="E149" s="205">
        <v>19800</v>
      </c>
      <c r="F149" s="322">
        <f t="shared" si="26"/>
        <v>3.2368808239333005</v>
      </c>
      <c r="G149" s="226">
        <f>+E149*1.05+(SUMIF(HONORARIOS!$B$27:$B$165,A149,HONORARIOS!$G$27:$G$165)+SUMIF(ASESOR.Y.CONSULT.!$A$7:$A$25,PRESUPUESTO!A149,ASESOR.Y.CONSULT.!$N$7:$N$25)+SUMIF('PROY INVEST.'!$A$5:$A$26,PRESUPUESTO!A149,'PROY INVEST.'!$N$5:$N$26)+SUMIF(P.PROY.SOCIAL!$A$5:$A$28,PRESUPUESTO!A149,P.PROY.SOCIAL!$N$5:$N$28)+SUMIF(GEST.REC.HUM.!$A$6:$A$39,PRESUPUESTO!A149,GEST.REC.HUM.!$N$6:$N$39)+SUMIF('OTRAS ACTIV.'!$A$6:$A$39,PRESUPUESTO!A149,'OTRAS ACTIV.'!$N$6:$N$39)+SUMIF('ADICIONALES PD'!A$6:$A23,PRESUPUESTO!A149,'ADICIONALES PD'!$N$6:$N$23)+SUMIF(SALIDAS!$A$6:$A$19,PRESUPUESTO!A149,SALIDAS!$AE$6:$AE$19)+SUMIF(BIBLIOTECA!$A$7:$A$41,PRESUPUESTO!A149,BIBLIOTECA!$F$5:$F$41)+SUMIF(AFILIACIONES!$A$5:$A$25,PRESUPUESTO!A149,AFILIACIONES!$E$5:$E$25)+SUMIF(IMPRESOS.PUBLIC!$A$7:$A$34,PRESUPUESTO!A149,IMPRESOS.PUBLIC!$D$7:$D$34)+SUMIF(MANTEN.EQUIP.!$A$7:$A$27,PRESUPUESTO!A149,MANTEN.EQUIP.!$D$7:$D$27)+SUMIF(INVER.EQUIPO.COMP!$A$7:$A$37,PRESUPUESTO!A149,INVER.EQUIPO.COMP!$E$7:$E$37)+SUMIF(INVER.OTROS.EQUIPOS!$A$7:$A$37,PRESUPUESTO!A149,INVER.OTROS.EQUIPOS!$E$7:$E$37)+SUMIF(INVER.MUEBLES!$A$7:$A$35,PRESUPUESTO!A149,INVER.MUEBLES!$E$7:$E$35)+SUMIF(ADECUAC.LOCATIVAS!$A$7:$A$29,PRESUPUESTO!A149,ADECUAC.LOCATIVAS!$E$7:$E$29))/1000</f>
        <v>20790</v>
      </c>
      <c r="H149" s="204">
        <f t="shared" si="27"/>
        <v>5.0000000000000044E-2</v>
      </c>
      <c r="I149" s="322">
        <f t="shared" si="25"/>
        <v>5.0000000000000044E-2</v>
      </c>
      <c r="J149" s="543"/>
      <c r="K149" s="524"/>
      <c r="L149" s="524"/>
      <c r="M149" s="524"/>
    </row>
    <row r="150" spans="1:13" customFormat="1" ht="12.75" hidden="1" outlineLevel="1" x14ac:dyDescent="0.2">
      <c r="A150" s="3">
        <v>5195250000</v>
      </c>
      <c r="B150" s="207" t="s">
        <v>67</v>
      </c>
      <c r="C150" s="205">
        <f>IFERROR(VLOOKUP(A:A,'PPTO 2017'!A:E,3,0),0)</f>
        <v>5321.1100000000006</v>
      </c>
      <c r="D150" s="205">
        <f>IFERROR(VLOOKUP(A:A,EJEC!A:G,5,0),0)</f>
        <v>5162.335</v>
      </c>
      <c r="E150" s="205">
        <v>7800</v>
      </c>
      <c r="F150" s="322">
        <f t="shared" si="26"/>
        <v>1.4658595668948771</v>
      </c>
      <c r="G150" s="225">
        <f t="shared" ref="G150" si="30">+E150*$O$2</f>
        <v>8190</v>
      </c>
      <c r="H150" s="204">
        <f t="shared" si="27"/>
        <v>5.0000000000000044E-2</v>
      </c>
      <c r="I150" s="322">
        <f t="shared" si="25"/>
        <v>5.0000000000000044E-2</v>
      </c>
      <c r="J150" s="543"/>
      <c r="K150" s="524"/>
      <c r="L150" s="524"/>
      <c r="M150" s="524"/>
    </row>
    <row r="151" spans="1:13" customFormat="1" ht="12.75" hidden="1" outlineLevel="1" x14ac:dyDescent="0.2">
      <c r="A151" s="3">
        <v>5195300000</v>
      </c>
      <c r="B151" s="207" t="s">
        <v>68</v>
      </c>
      <c r="C151" s="205">
        <f>IFERROR(VLOOKUP(A:A,'PPTO 2017'!A:E,3,0),0)</f>
        <v>19379.79</v>
      </c>
      <c r="D151" s="205">
        <f>IFERROR(VLOOKUP(A:A,EJEC!A:G,5,0),0)</f>
        <v>9853.1479999999992</v>
      </c>
      <c r="E151" s="205">
        <v>19200</v>
      </c>
      <c r="F151" s="322">
        <f t="shared" si="26"/>
        <v>0.99072280968988824</v>
      </c>
      <c r="G151" s="226">
        <f>E151*$O$2+(SUMIF(HONORARIOS!$B$27:$B$165,A151,HONORARIOS!$G$27:$G$165)+SUMIF(ASESOR.Y.CONSULT.!$A$7:$A$25,PRESUPUESTO!A151,ASESOR.Y.CONSULT.!$N$7:$N$25)+SUMIF('PROY INVEST.'!$A$5:$A$26,PRESUPUESTO!A151,'PROY INVEST.'!$N$5:$N$26)+SUMIF(P.PROY.SOCIAL!$A$5:$A$28,PRESUPUESTO!A151,P.PROY.SOCIAL!$N$5:$N$28)+SUMIF(GEST.REC.HUM.!$A$6:$A$39,PRESUPUESTO!A151,GEST.REC.HUM.!$N$6:$N$39)+SUMIF('OTRAS ACTIV.'!$A$6:$A$39,PRESUPUESTO!A151,'OTRAS ACTIV.'!$N$6:$N$39)+SUMIF('ADICIONALES PD'!A$6:$A23,PRESUPUESTO!A151,'ADICIONALES PD'!$N$6:$N$23)+SUMIF(SALIDAS!$A$6:$A$19,PRESUPUESTO!A151,SALIDAS!$AE$6:$AE$19)+SUMIF(BIBLIOTECA!$A$7:$A$41,PRESUPUESTO!A151,BIBLIOTECA!$F$5:$F$41)+SUMIF(AFILIACIONES!$A$5:$A$25,PRESUPUESTO!A151,AFILIACIONES!$E$5:$E$25)+SUMIF(IMPRESOS.PUBLIC!$A$7:$A$34,PRESUPUESTO!A151,IMPRESOS.PUBLIC!$D$7:$D$34)+SUMIF(MANTEN.EQUIP.!$A$7:$A$27,PRESUPUESTO!A151,MANTEN.EQUIP.!$D$7:$D$27)+SUMIF(INVER.EQUIPO.COMP!$A$7:$A$37,PRESUPUESTO!A151,INVER.EQUIPO.COMP!$E$7:$E$37)+SUMIF(INVER.OTROS.EQUIPOS!$A$7:$A$37,PRESUPUESTO!A151,INVER.OTROS.EQUIPOS!$E$7:$E$37)+SUMIF(INVER.MUEBLES!$A$7:$A$35,PRESUPUESTO!A151,INVER.MUEBLES!$E$7:$E$35)+SUMIF(ADECUAC.LOCATIVAS!$A$7:$A$29,PRESUPUESTO!A151,ADECUAC.LOCATIVAS!$E$7:$E$29))/1000</f>
        <v>20160</v>
      </c>
      <c r="H151" s="204">
        <f t="shared" si="27"/>
        <v>5.0000000000000044E-2</v>
      </c>
      <c r="I151" s="322">
        <f t="shared" si="25"/>
        <v>5.0000000000000044E-2</v>
      </c>
      <c r="J151" s="543"/>
      <c r="K151" s="524"/>
      <c r="L151" s="524"/>
      <c r="M151" s="524"/>
    </row>
    <row r="152" spans="1:13" customFormat="1" ht="12.75" hidden="1" outlineLevel="1" x14ac:dyDescent="0.2">
      <c r="A152" s="3">
        <v>5195350000</v>
      </c>
      <c r="B152" s="207" t="s">
        <v>287</v>
      </c>
      <c r="C152" s="205">
        <f>IFERROR(VLOOKUP(A:A,'PPTO 2017'!A:E,3,0),0)</f>
        <v>0</v>
      </c>
      <c r="D152" s="205">
        <f>IFERROR(VLOOKUP(A:A,EJEC!A:G,5,0),0)</f>
        <v>0</v>
      </c>
      <c r="E152" s="205">
        <v>0</v>
      </c>
      <c r="F152" s="322" t="str">
        <f t="shared" si="26"/>
        <v/>
      </c>
      <c r="G152" s="225">
        <f t="shared" ref="G152" si="31">+E152*$O$2</f>
        <v>0</v>
      </c>
      <c r="H152" s="204" t="e">
        <f t="shared" si="27"/>
        <v>#DIV/0!</v>
      </c>
      <c r="I152" s="322" t="str">
        <f t="shared" si="25"/>
        <v/>
      </c>
      <c r="J152" s="543"/>
      <c r="K152" s="524"/>
      <c r="L152" s="524"/>
      <c r="M152" s="524"/>
    </row>
    <row r="153" spans="1:13" customFormat="1" ht="12.75" hidden="1" outlineLevel="1" x14ac:dyDescent="0.2">
      <c r="A153" s="3">
        <v>5195450000</v>
      </c>
      <c r="B153" s="207" t="s">
        <v>69</v>
      </c>
      <c r="C153" s="205">
        <f>IFERROR(VLOOKUP(A:A,'PPTO 2017'!A:E,3,0),0)</f>
        <v>35950</v>
      </c>
      <c r="D153" s="205">
        <f>IFERROR(VLOOKUP(A:A,EJEC!A:G,5,0),0)</f>
        <v>6170.9639999999999</v>
      </c>
      <c r="E153" s="205">
        <v>22500</v>
      </c>
      <c r="F153" s="322">
        <f t="shared" si="26"/>
        <v>0.62586926286509037</v>
      </c>
      <c r="G153" s="226">
        <f>(E153*$O$2)-10000+(SUMIF(HONORARIOS!$B$27:$B$165,A153,HONORARIOS!$G$27:$G$165)+SUMIF(ASESOR.Y.CONSULT.!$A$7:$A$25,PRESUPUESTO!A153,ASESOR.Y.CONSULT.!$N$7:$N$25)+SUMIF('PROY INVEST.'!$A$5:$A$26,PRESUPUESTO!A153,'PROY INVEST.'!$N$5:$N$26)+SUMIF(P.PROY.SOCIAL!$A$5:$A$28,PRESUPUESTO!A153,P.PROY.SOCIAL!$N$5:$N$28)+SUMIF(GEST.REC.HUM.!$A$6:$A$39,PRESUPUESTO!A153,GEST.REC.HUM.!$N$6:$N$39)+SUMIF('OTRAS ACTIV.'!$A$6:$A$39,PRESUPUESTO!A153,'OTRAS ACTIV.'!$N$6:$N$39)+SUMIF('ADICIONALES PD'!A$6:$A23,PRESUPUESTO!A153,'ADICIONALES PD'!$N$6:$N$23)+SUMIF(SALIDAS!$A$6:$A$19,PRESUPUESTO!A153,SALIDAS!$AE$6:$AE$19)+SUMIF(BIBLIOTECA!$A$7:$A$41,PRESUPUESTO!A153,BIBLIOTECA!$F$5:$F$41)+SUMIF(AFILIACIONES!$A$5:$A$25,PRESUPUESTO!A153,AFILIACIONES!$E$5:$E$25)+SUMIF(IMPRESOS.PUBLIC!$A$7:$A$34,PRESUPUESTO!A153,IMPRESOS.PUBLIC!$D$7:$D$34)+SUMIF(MANTEN.EQUIP.!$A$7:$A$27,PRESUPUESTO!A153,MANTEN.EQUIP.!$D$7:$D$27)+SUMIF(INVER.EQUIPO.COMP!$A$7:$A$37,PRESUPUESTO!A153,INVER.EQUIPO.COMP!$E$7:$E$37)+SUMIF(INVER.OTROS.EQUIPOS!$A$7:$A$37,PRESUPUESTO!A153,INVER.OTROS.EQUIPOS!$E$7:$E$37)+SUMIF(INVER.MUEBLES!$A$7:$A$35,PRESUPUESTO!A153,INVER.MUEBLES!$E$7:$E$35)+SUMIF(ADECUAC.LOCATIVAS!$A$7:$A$29,PRESUPUESTO!A153,ADECUAC.LOCATIVAS!$E$7:$E$29))/1000</f>
        <v>20125</v>
      </c>
      <c r="H153" s="204">
        <f t="shared" si="27"/>
        <v>-0.10555555555555551</v>
      </c>
      <c r="I153" s="322">
        <f t="shared" si="25"/>
        <v>-0.10555555555555551</v>
      </c>
      <c r="J153" s="543"/>
      <c r="K153" s="524"/>
      <c r="L153" s="524"/>
      <c r="M153" s="524"/>
    </row>
    <row r="154" spans="1:13" customFormat="1" ht="12.75" hidden="1" outlineLevel="1" x14ac:dyDescent="0.2">
      <c r="A154" s="3">
        <v>5195500000</v>
      </c>
      <c r="B154" s="207" t="s">
        <v>332</v>
      </c>
      <c r="C154" s="205">
        <f>IFERROR(VLOOKUP(A:A,'PPTO 2017'!A:E,3,0),0)</f>
        <v>0</v>
      </c>
      <c r="D154" s="205">
        <f>IFERROR(VLOOKUP(A:A,EJEC!A:G,5,0),0)</f>
        <v>0</v>
      </c>
      <c r="E154" s="205">
        <v>0</v>
      </c>
      <c r="F154" s="322" t="str">
        <f t="shared" si="26"/>
        <v/>
      </c>
      <c r="G154" s="225">
        <f t="shared" ref="G154:G155" si="32">+E154*$O$2</f>
        <v>0</v>
      </c>
      <c r="H154" s="204" t="e">
        <f t="shared" si="27"/>
        <v>#DIV/0!</v>
      </c>
      <c r="I154" s="322" t="str">
        <f t="shared" si="25"/>
        <v/>
      </c>
      <c r="J154" s="543"/>
      <c r="K154" s="524"/>
      <c r="L154" s="524"/>
      <c r="M154" s="524"/>
    </row>
    <row r="155" spans="1:13" customFormat="1" ht="12.75" hidden="1" outlineLevel="1" x14ac:dyDescent="0.2">
      <c r="A155" s="3">
        <v>5195650000</v>
      </c>
      <c r="B155" s="207" t="s">
        <v>333</v>
      </c>
      <c r="C155" s="205">
        <f>IFERROR(VLOOKUP(A:A,'PPTO 2017'!A:E,3,0),0)</f>
        <v>0</v>
      </c>
      <c r="D155" s="205">
        <f>IFERROR(VLOOKUP(A:A,EJEC!A:G,5,0),0)</f>
        <v>0</v>
      </c>
      <c r="E155" s="205">
        <v>0</v>
      </c>
      <c r="F155" s="322" t="str">
        <f t="shared" si="26"/>
        <v/>
      </c>
      <c r="G155" s="225">
        <f t="shared" si="32"/>
        <v>0</v>
      </c>
      <c r="H155" s="204" t="e">
        <f t="shared" si="27"/>
        <v>#DIV/0!</v>
      </c>
      <c r="I155" s="322" t="str">
        <f t="shared" si="25"/>
        <v/>
      </c>
      <c r="J155" s="543"/>
      <c r="K155" s="524"/>
      <c r="L155" s="524"/>
      <c r="M155" s="524"/>
    </row>
    <row r="156" spans="1:13" customFormat="1" ht="12.75" hidden="1" outlineLevel="1" x14ac:dyDescent="0.2">
      <c r="A156" s="3">
        <v>5195950100</v>
      </c>
      <c r="B156" s="207" t="s">
        <v>54</v>
      </c>
      <c r="C156" s="205">
        <f>IFERROR(VLOOKUP(A:A,'PPTO 2017'!A:E,3,0),0)</f>
        <v>69000</v>
      </c>
      <c r="D156" s="205">
        <f>IFERROR(VLOOKUP(A:A,EJEC!A:G,5,0),0)</f>
        <v>16192.448</v>
      </c>
      <c r="E156" s="205">
        <v>66192</v>
      </c>
      <c r="F156" s="322">
        <f t="shared" si="26"/>
        <v>0.95930434782608698</v>
      </c>
      <c r="G156" s="226">
        <f>(SUMIF(HONORARIOS!$B$27:$B$165,A156,HONORARIOS!$G$27:$G$165)+SUMIF(ASESOR.Y.CONSULT.!$A$7:$A$25,PRESUPUESTO!A156,ASESOR.Y.CONSULT.!$N$7:$N$25)+SUMIF('PROY INVEST.'!$A$5:$A$26,PRESUPUESTO!A156,'PROY INVEST.'!$N$5:$N$26)+SUMIF(P.PROY.SOCIAL!$A$5:$A$28,PRESUPUESTO!A156,P.PROY.SOCIAL!$N$5:$N$28)+SUMIF(GEST.REC.HUM.!$A$6:$A$39,PRESUPUESTO!A156,GEST.REC.HUM.!$N$6:$N$39)+SUMIF('OTRAS ACTIV.'!$A$6:$A$39,PRESUPUESTO!A156,'OTRAS ACTIV.'!$N$6:$N$39)+SUMIF('ADICIONALES PD'!A$6:$A23,PRESUPUESTO!A156,'ADICIONALES PD'!$N$6:$N$23)+SUMIF(SALIDAS!$A$6:$A$19,PRESUPUESTO!A156,SALIDAS!$AE$6:$AE$19)+SUMIF(BIBLIOTECA!$A$7:$A$41,PRESUPUESTO!A156,BIBLIOTECA!$F$5:$F$41)+SUMIF(AFILIACIONES!$A$5:$A$25,PRESUPUESTO!A156,AFILIACIONES!$E$5:$E$25)+SUMIF(IMPRESOS.PUBLIC!$A$7:$A$34,PRESUPUESTO!A156,IMPRESOS.PUBLIC!$D$7:$D$34)+SUMIF(MANTEN.EQUIP.!$A$7:$A$27,PRESUPUESTO!A156,MANTEN.EQUIP.!$D$7:$D$27)+SUMIF(INVER.EQUIPO.COMP!$A$7:$A$37,PRESUPUESTO!A156,INVER.EQUIPO.COMP!$E$7:$E$37)+SUMIF(INVER.OTROS.EQUIPOS!$A$7:$A$37,PRESUPUESTO!A156,INVER.OTROS.EQUIPOS!$E$7:$E$37)+SUMIF(INVER.MUEBLES!$A$7:$A$35,PRESUPUESTO!A156,INVER.MUEBLES!$E$7:$E$35)+SUMIF(ADECUAC.LOCATIVAS!$A$7:$A$29,PRESUPUESTO!A156,ADECUAC.LOCATIVAS!$E$7:$E$29))/1000</f>
        <v>80000</v>
      </c>
      <c r="H156" s="204">
        <f t="shared" si="27"/>
        <v>0.20860526951897507</v>
      </c>
      <c r="I156" s="322">
        <f t="shared" si="25"/>
        <v>0.20860526951897507</v>
      </c>
      <c r="J156" s="543"/>
      <c r="K156" s="524"/>
      <c r="L156" s="524"/>
      <c r="M156" s="524"/>
    </row>
    <row r="157" spans="1:13" customFormat="1" ht="12.75" hidden="1" outlineLevel="1" x14ac:dyDescent="0.2">
      <c r="A157" s="3">
        <v>5195950200</v>
      </c>
      <c r="B157" s="207" t="s">
        <v>70</v>
      </c>
      <c r="C157" s="205">
        <f>IFERROR(VLOOKUP(A:A,'PPTO 2017'!A:E,3,0),0)</f>
        <v>33461.040000000001</v>
      </c>
      <c r="D157" s="205">
        <f>IFERROR(VLOOKUP(A:A,EJEC!A:G,5,0),0)</f>
        <v>54066.402000000002</v>
      </c>
      <c r="E157" s="205">
        <v>64200</v>
      </c>
      <c r="F157" s="322">
        <f t="shared" si="26"/>
        <v>1.918649270913277</v>
      </c>
      <c r="G157" s="226">
        <f>E157*$O$2+(SUMIF(HONORARIOS!$B$27:$B$165,A157,HONORARIOS!$G$27:$G$165)+SUMIF(ASESOR.Y.CONSULT.!$A$7:$A$25,PRESUPUESTO!A157,ASESOR.Y.CONSULT.!$N$7:$N$25)+SUMIF('PROY INVEST.'!$A$5:$A$26,PRESUPUESTO!A157,'PROY INVEST.'!$N$5:$N$26)+SUMIF(P.PROY.SOCIAL!$A$5:$A$28,PRESUPUESTO!A157,P.PROY.SOCIAL!$N$5:$N$28)+SUMIF(GEST.REC.HUM.!$A$6:$A$39,PRESUPUESTO!A157,GEST.REC.HUM.!$N$6:$N$39)+SUMIF('OTRAS ACTIV.'!$A$6:$A$39,PRESUPUESTO!A157,'OTRAS ACTIV.'!$N$6:$N$39)+SUMIF('ADICIONALES PD'!A$6:$A23,PRESUPUESTO!A157,'ADICIONALES PD'!$N$6:$N$23)+SUMIF(SALIDAS!$A$6:$A$19,PRESUPUESTO!A157,SALIDAS!$AE$6:$AE$19)+SUMIF(BIBLIOTECA!$A$7:$A$41,PRESUPUESTO!A157,BIBLIOTECA!$F$5:$F$41)+SUMIF(AFILIACIONES!$A$5:$A$25,PRESUPUESTO!A157,AFILIACIONES!$E$5:$E$25)+SUMIF(IMPRESOS.PUBLIC!$A$7:$A$34,PRESUPUESTO!A157,IMPRESOS.PUBLIC!$D$7:$D$34)+SUMIF(MANTEN.EQUIP.!$A$7:$A$27,PRESUPUESTO!A157,MANTEN.EQUIP.!$D$7:$D$27)+SUMIF(INVER.EQUIPO.COMP!$A$7:$A$37,PRESUPUESTO!A157,INVER.EQUIPO.COMP!$E$7:$E$37)+SUMIF(INVER.OTROS.EQUIPOS!$A$7:$A$37,PRESUPUESTO!A157,INVER.OTROS.EQUIPOS!$E$7:$E$37)+SUMIF(INVER.MUEBLES!$A$7:$A$35,PRESUPUESTO!A157,INVER.MUEBLES!$E$7:$E$35)+SUMIF(ADECUAC.LOCATIVAS!$A$7:$A$29,PRESUPUESTO!A157,ADECUAC.LOCATIVAS!$E$7:$E$29))/1000</f>
        <v>67410</v>
      </c>
      <c r="H157" s="204">
        <f t="shared" si="27"/>
        <v>5.0000000000000044E-2</v>
      </c>
      <c r="I157" s="322">
        <f t="shared" si="25"/>
        <v>5.0000000000000044E-2</v>
      </c>
      <c r="J157" s="543"/>
      <c r="K157" s="524"/>
      <c r="L157" s="524"/>
      <c r="M157" s="524"/>
    </row>
    <row r="158" spans="1:13" customFormat="1" ht="12.75" hidden="1" outlineLevel="1" x14ac:dyDescent="0.2">
      <c r="A158" s="3">
        <v>5195950300</v>
      </c>
      <c r="B158" s="207" t="s">
        <v>71</v>
      </c>
      <c r="C158" s="205">
        <f>IFERROR(VLOOKUP(A:A,'PPTO 2017'!A:E,3,0),0)</f>
        <v>83.460000000000008</v>
      </c>
      <c r="D158" s="205">
        <f>IFERROR(VLOOKUP(A:A,EJEC!A:G,5,0),0)</f>
        <v>0</v>
      </c>
      <c r="E158" s="205">
        <v>0</v>
      </c>
      <c r="F158" s="322" t="str">
        <f t="shared" si="26"/>
        <v/>
      </c>
      <c r="G158" s="225">
        <f t="shared" ref="G158:G175" si="33">+E158*$O$2</f>
        <v>0</v>
      </c>
      <c r="H158" s="204" t="e">
        <f t="shared" si="27"/>
        <v>#DIV/0!</v>
      </c>
      <c r="I158" s="322" t="str">
        <f t="shared" si="25"/>
        <v/>
      </c>
      <c r="J158" s="543"/>
      <c r="K158" s="524"/>
      <c r="L158" s="524"/>
      <c r="M158" s="524"/>
    </row>
    <row r="159" spans="1:13" customFormat="1" ht="12.75" hidden="1" outlineLevel="1" x14ac:dyDescent="0.2">
      <c r="A159" s="3">
        <v>5195950400</v>
      </c>
      <c r="B159" s="207" t="s">
        <v>72</v>
      </c>
      <c r="C159" s="205">
        <f>IFERROR(VLOOKUP(A:A,'PPTO 2017'!A:E,3,0),0)</f>
        <v>630.23</v>
      </c>
      <c r="D159" s="205">
        <f>IFERROR(VLOOKUP(A:A,EJEC!A:G,5,0),0)</f>
        <v>180</v>
      </c>
      <c r="E159" s="205">
        <v>580</v>
      </c>
      <c r="F159" s="322">
        <f t="shared" si="26"/>
        <v>0.92029893848277611</v>
      </c>
      <c r="G159" s="225">
        <f t="shared" si="33"/>
        <v>609</v>
      </c>
      <c r="H159" s="204">
        <f t="shared" si="27"/>
        <v>5.0000000000000044E-2</v>
      </c>
      <c r="I159" s="322">
        <f t="shared" si="25"/>
        <v>5.0000000000000044E-2</v>
      </c>
      <c r="J159" s="543"/>
      <c r="K159" s="524"/>
      <c r="L159" s="524"/>
      <c r="M159" s="524"/>
    </row>
    <row r="160" spans="1:13" customFormat="1" ht="12.75" hidden="1" outlineLevel="1" x14ac:dyDescent="0.2">
      <c r="A160" s="3">
        <v>5195950500</v>
      </c>
      <c r="B160" s="207" t="s">
        <v>334</v>
      </c>
      <c r="C160" s="205">
        <f>IFERROR(VLOOKUP(A:A,'PPTO 2017'!A:E,3,0),0)</f>
        <v>0</v>
      </c>
      <c r="D160" s="205">
        <f>IFERROR(VLOOKUP(A:A,EJEC!A:G,5,0),0)</f>
        <v>0</v>
      </c>
      <c r="E160" s="205">
        <v>0</v>
      </c>
      <c r="F160" s="322" t="str">
        <f t="shared" si="26"/>
        <v/>
      </c>
      <c r="G160" s="225">
        <f t="shared" si="33"/>
        <v>0</v>
      </c>
      <c r="H160" s="204" t="e">
        <f t="shared" si="27"/>
        <v>#DIV/0!</v>
      </c>
      <c r="I160" s="322" t="str">
        <f t="shared" si="25"/>
        <v/>
      </c>
      <c r="J160" s="543"/>
      <c r="K160" s="524"/>
      <c r="L160" s="524"/>
      <c r="M160" s="524"/>
    </row>
    <row r="161" spans="1:13" customFormat="1" ht="12.75" hidden="1" outlineLevel="1" x14ac:dyDescent="0.2">
      <c r="A161" s="3">
        <v>5195950600</v>
      </c>
      <c r="B161" s="207" t="s">
        <v>73</v>
      </c>
      <c r="C161" s="205">
        <f>IFERROR(VLOOKUP(A:A,'PPTO 2017'!A:E,3,0),0)</f>
        <v>0</v>
      </c>
      <c r="D161" s="205">
        <f>IFERROR(VLOOKUP(A:A,EJEC!A:G,5,0),0)</f>
        <v>0</v>
      </c>
      <c r="E161" s="205">
        <v>0</v>
      </c>
      <c r="F161" s="322" t="str">
        <f t="shared" si="26"/>
        <v/>
      </c>
      <c r="G161" s="225">
        <f t="shared" si="33"/>
        <v>0</v>
      </c>
      <c r="H161" s="204" t="e">
        <f t="shared" si="27"/>
        <v>#DIV/0!</v>
      </c>
      <c r="I161" s="322" t="str">
        <f t="shared" si="25"/>
        <v/>
      </c>
      <c r="J161" s="543"/>
      <c r="K161" s="524"/>
      <c r="L161" s="524"/>
      <c r="M161" s="524"/>
    </row>
    <row r="162" spans="1:13" customFormat="1" ht="12.75" hidden="1" outlineLevel="1" x14ac:dyDescent="0.2">
      <c r="A162" s="3">
        <v>5195950800</v>
      </c>
      <c r="B162" s="207" t="s">
        <v>74</v>
      </c>
      <c r="C162" s="205">
        <f>IFERROR(VLOOKUP(A:A,'PPTO 2017'!A:E,3,0),0)</f>
        <v>0</v>
      </c>
      <c r="D162" s="205">
        <f>IFERROR(VLOOKUP(A:A,EJEC!A:G,5,0),0)</f>
        <v>417.69</v>
      </c>
      <c r="E162" s="205">
        <v>518</v>
      </c>
      <c r="F162" s="322" t="str">
        <f t="shared" si="26"/>
        <v/>
      </c>
      <c r="G162" s="225">
        <f t="shared" si="33"/>
        <v>543.9</v>
      </c>
      <c r="H162" s="204">
        <f t="shared" si="27"/>
        <v>5.0000000000000044E-2</v>
      </c>
      <c r="I162" s="322">
        <f t="shared" si="25"/>
        <v>5.0000000000000044E-2</v>
      </c>
      <c r="J162" s="543"/>
      <c r="K162" s="524"/>
      <c r="L162" s="524"/>
      <c r="M162" s="524"/>
    </row>
    <row r="163" spans="1:13" customFormat="1" ht="12.75" hidden="1" outlineLevel="1" x14ac:dyDescent="0.2">
      <c r="A163" s="3">
        <v>5195950900</v>
      </c>
      <c r="B163" s="207" t="s">
        <v>335</v>
      </c>
      <c r="C163" s="205">
        <f>IFERROR(VLOOKUP(A:A,'PPTO 2017'!A:E,3,0),0)</f>
        <v>0</v>
      </c>
      <c r="D163" s="205">
        <f>IFERROR(VLOOKUP(A:A,EJEC!A:G,5,0),0)</f>
        <v>0</v>
      </c>
      <c r="E163" s="205">
        <v>0</v>
      </c>
      <c r="F163" s="322" t="str">
        <f t="shared" si="26"/>
        <v/>
      </c>
      <c r="G163" s="225">
        <f t="shared" si="33"/>
        <v>0</v>
      </c>
      <c r="H163" s="204" t="e">
        <f t="shared" si="27"/>
        <v>#DIV/0!</v>
      </c>
      <c r="I163" s="322" t="str">
        <f t="shared" si="25"/>
        <v/>
      </c>
      <c r="J163" s="543"/>
      <c r="K163" s="524"/>
      <c r="L163" s="524"/>
      <c r="M163" s="524"/>
    </row>
    <row r="164" spans="1:13" customFormat="1" ht="12.75" hidden="1" outlineLevel="1" x14ac:dyDescent="0.2">
      <c r="A164" s="3">
        <v>5195951000</v>
      </c>
      <c r="B164" s="207" t="s">
        <v>75</v>
      </c>
      <c r="C164" s="205">
        <f>IFERROR(VLOOKUP(A:A,'PPTO 2017'!A:E,3,0),0)</f>
        <v>0</v>
      </c>
      <c r="D164" s="205">
        <f>IFERROR(VLOOKUP(A:A,EJEC!A:G,5,0),0)</f>
        <v>0</v>
      </c>
      <c r="E164" s="205">
        <v>0</v>
      </c>
      <c r="F164" s="322" t="str">
        <f t="shared" si="26"/>
        <v/>
      </c>
      <c r="G164" s="225">
        <f t="shared" si="33"/>
        <v>0</v>
      </c>
      <c r="H164" s="204" t="e">
        <f t="shared" si="27"/>
        <v>#DIV/0!</v>
      </c>
      <c r="I164" s="322" t="str">
        <f t="shared" si="25"/>
        <v/>
      </c>
      <c r="J164" s="543"/>
      <c r="K164" s="524"/>
      <c r="L164" s="524"/>
      <c r="M164" s="524"/>
    </row>
    <row r="165" spans="1:13" customFormat="1" ht="12.75" hidden="1" outlineLevel="1" x14ac:dyDescent="0.2">
      <c r="A165" s="3">
        <v>5195951100</v>
      </c>
      <c r="B165" s="207" t="s">
        <v>288</v>
      </c>
      <c r="C165" s="205">
        <f>IFERROR(VLOOKUP(A:A,'PPTO 2017'!A:E,3,0),0)</f>
        <v>0</v>
      </c>
      <c r="D165" s="205">
        <f>IFERROR(VLOOKUP(A:A,EJEC!A:G,5,0),0)</f>
        <v>0</v>
      </c>
      <c r="E165" s="205">
        <v>0</v>
      </c>
      <c r="F165" s="322" t="str">
        <f t="shared" si="26"/>
        <v/>
      </c>
      <c r="G165" s="225">
        <f t="shared" si="33"/>
        <v>0</v>
      </c>
      <c r="H165" s="204" t="e">
        <f t="shared" si="27"/>
        <v>#DIV/0!</v>
      </c>
      <c r="I165" s="322" t="str">
        <f t="shared" si="25"/>
        <v/>
      </c>
      <c r="J165" s="543"/>
      <c r="K165" s="524"/>
      <c r="L165" s="524"/>
      <c r="M165" s="524"/>
    </row>
    <row r="166" spans="1:13" customFormat="1" ht="12.75" hidden="1" outlineLevel="1" x14ac:dyDescent="0.2">
      <c r="A166" s="3">
        <v>5195951200</v>
      </c>
      <c r="B166" s="207" t="s">
        <v>336</v>
      </c>
      <c r="C166" s="205">
        <f>IFERROR(VLOOKUP(A:A,'PPTO 2017'!A:E,3,0),0)</f>
        <v>0</v>
      </c>
      <c r="D166" s="205">
        <f>IFERROR(VLOOKUP(A:A,EJEC!A:G,5,0),0)</f>
        <v>4479.6000000000004</v>
      </c>
      <c r="E166" s="205">
        <v>6480</v>
      </c>
      <c r="F166" s="322" t="str">
        <f t="shared" si="26"/>
        <v/>
      </c>
      <c r="G166" s="225">
        <v>52034</v>
      </c>
      <c r="H166" s="204">
        <f t="shared" si="27"/>
        <v>7.029938271604939</v>
      </c>
      <c r="I166" s="322">
        <f t="shared" si="25"/>
        <v>7.029938271604939</v>
      </c>
      <c r="J166" s="543"/>
      <c r="K166" s="524"/>
      <c r="L166" s="524"/>
      <c r="M166" s="524"/>
    </row>
    <row r="167" spans="1:13" customFormat="1" ht="12.75" hidden="1" outlineLevel="1" x14ac:dyDescent="0.2">
      <c r="A167" s="3">
        <v>5195951300</v>
      </c>
      <c r="B167" s="207" t="s">
        <v>76</v>
      </c>
      <c r="C167" s="205">
        <f>IFERROR(VLOOKUP(A:A,'PPTO 2017'!A:E,3,0),0)</f>
        <v>0</v>
      </c>
      <c r="D167" s="205">
        <f>IFERROR(VLOOKUP(A:A,EJEC!A:G,5,0),0)</f>
        <v>645.87300000000005</v>
      </c>
      <c r="E167" s="205">
        <v>946</v>
      </c>
      <c r="F167" s="322" t="str">
        <f t="shared" si="26"/>
        <v/>
      </c>
      <c r="G167" s="225">
        <v>0</v>
      </c>
      <c r="H167" s="204">
        <f t="shared" si="27"/>
        <v>-1</v>
      </c>
      <c r="I167" s="322" t="str">
        <f t="shared" si="25"/>
        <v/>
      </c>
      <c r="J167" s="543"/>
      <c r="K167" s="524"/>
      <c r="L167" s="524"/>
      <c r="M167" s="524"/>
    </row>
    <row r="168" spans="1:13" customFormat="1" ht="12.75" hidden="1" outlineLevel="1" x14ac:dyDescent="0.2">
      <c r="A168" s="3">
        <v>5195951400</v>
      </c>
      <c r="B168" s="207" t="s">
        <v>337</v>
      </c>
      <c r="C168" s="205">
        <f>IFERROR(VLOOKUP(A:A,'PPTO 2017'!A:E,3,0),0)</f>
        <v>0</v>
      </c>
      <c r="D168" s="205">
        <f>IFERROR(VLOOKUP(A:A,EJEC!A:G,5,0),0)</f>
        <v>418.88</v>
      </c>
      <c r="E168" s="205">
        <v>819</v>
      </c>
      <c r="F168" s="322" t="str">
        <f t="shared" si="26"/>
        <v/>
      </c>
      <c r="G168" s="225">
        <v>0</v>
      </c>
      <c r="H168" s="204">
        <f t="shared" si="27"/>
        <v>-1</v>
      </c>
      <c r="I168" s="322" t="str">
        <f t="shared" si="25"/>
        <v/>
      </c>
      <c r="J168" s="543"/>
      <c r="K168" s="524"/>
      <c r="L168" s="524"/>
      <c r="M168" s="524"/>
    </row>
    <row r="169" spans="1:13" customFormat="1" ht="12.75" hidden="1" outlineLevel="1" x14ac:dyDescent="0.2">
      <c r="A169" s="3">
        <v>5195951500</v>
      </c>
      <c r="B169" s="207" t="s">
        <v>77</v>
      </c>
      <c r="C169" s="205">
        <f>IFERROR(VLOOKUP(A:A,'PPTO 2017'!A:E,3,0),0)</f>
        <v>955.5100000000001</v>
      </c>
      <c r="D169" s="205">
        <f>IFERROR(VLOOKUP(A:A,EJEC!A:G,5,0),0)</f>
        <v>733.05700000000002</v>
      </c>
      <c r="E169" s="205">
        <v>933</v>
      </c>
      <c r="F169" s="322">
        <f t="shared" si="26"/>
        <v>0.97644190013709942</v>
      </c>
      <c r="G169" s="225">
        <f t="shared" si="33"/>
        <v>979.65000000000009</v>
      </c>
      <c r="H169" s="204">
        <f t="shared" si="27"/>
        <v>5.0000000000000044E-2</v>
      </c>
      <c r="I169" s="322">
        <f t="shared" si="25"/>
        <v>5.0000000000000044E-2</v>
      </c>
      <c r="J169" s="543"/>
      <c r="K169" s="524"/>
      <c r="L169" s="524"/>
      <c r="M169" s="524"/>
    </row>
    <row r="170" spans="1:13" customFormat="1" ht="12.75" hidden="1" outlineLevel="1" x14ac:dyDescent="0.2">
      <c r="A170" s="3">
        <v>5195951600</v>
      </c>
      <c r="B170" s="207" t="s">
        <v>64</v>
      </c>
      <c r="C170" s="205">
        <f>IFERROR(VLOOKUP(A:A,'PPTO 2017'!A:E,3,0),0)</f>
        <v>0</v>
      </c>
      <c r="D170" s="205">
        <f>IFERROR(VLOOKUP(A:A,EJEC!A:G,5,0),0)</f>
        <v>0</v>
      </c>
      <c r="E170" s="205">
        <v>0</v>
      </c>
      <c r="F170" s="322" t="str">
        <f t="shared" si="26"/>
        <v/>
      </c>
      <c r="G170" s="316">
        <f>+E170*$O$2+(SUMIF(HONORARIOS!$B$27:$B$165,A170,HONORARIOS!$G$27:$G$165)+SUMIF(ASESOR.Y.CONSULT.!$A$7:$A$25,PRESUPUESTO!A170,ASESOR.Y.CONSULT.!$N$7:$N$25)+SUMIF('PROY INVEST.'!$A$5:$A$26,PRESUPUESTO!A170,'PROY INVEST.'!$N$5:$N$26)+SUMIF(P.PROY.SOCIAL!$A$5:$A$28,PRESUPUESTO!A170,P.PROY.SOCIAL!$N$5:$N$28)+SUMIF(GEST.REC.HUM.!$A$6:$A$39,PRESUPUESTO!A170,GEST.REC.HUM.!$N$6:$N$39)+SUMIF('OTRAS ACTIV.'!$A$6:$A$39,PRESUPUESTO!A170,'OTRAS ACTIV.'!$N$6:$N$39)+SUMIF('ADICIONALES PD'!A$6:$A23,PRESUPUESTO!A170,'ADICIONALES PD'!$N$6:$N$23)+SUMIF(SALIDAS!$A$6:$A$19,PRESUPUESTO!A170,SALIDAS!$AE$6:$AE$19)+SUMIF(BIBLIOTECA!$A$7:$A$41,PRESUPUESTO!A170,BIBLIOTECA!$F$5:$F$41)+SUMIF(AFILIACIONES!$A$5:$A$25,PRESUPUESTO!A170,AFILIACIONES!$E$5:$E$25)+SUMIF(IMPRESOS.PUBLIC!$A$7:$A$34,PRESUPUESTO!A170,IMPRESOS.PUBLIC!$D$7:$D$34)+SUMIF(MANTEN.EQUIP.!$A$7:$A$27,PRESUPUESTO!A170,MANTEN.EQUIP.!$D$7:$D$27)+SUMIF(INVER.EQUIPO.COMP!$A$7:$A$37,PRESUPUESTO!A170,INVER.EQUIPO.COMP!$E$7:$E$37)+SUMIF(INVER.OTROS.EQUIPOS!$A$7:$A$37,PRESUPUESTO!A170,INVER.OTROS.EQUIPOS!$E$7:$E$37)+SUMIF(INVER.MUEBLES!$A$7:$A$35,PRESUPUESTO!A170,INVER.MUEBLES!$E$7:$E$35)+SUMIF(ADECUAC.LOCATIVAS!$A$7:$A$29,PRESUPUESTO!A170,ADECUAC.LOCATIVAS!$E$7:$E$29))/1000</f>
        <v>0</v>
      </c>
      <c r="H170" s="204" t="e">
        <f t="shared" si="27"/>
        <v>#DIV/0!</v>
      </c>
      <c r="I170" s="322" t="str">
        <f t="shared" si="25"/>
        <v/>
      </c>
      <c r="J170" s="543"/>
      <c r="K170" s="524"/>
      <c r="L170" s="524"/>
      <c r="M170" s="524"/>
    </row>
    <row r="171" spans="1:13" customFormat="1" ht="12.75" hidden="1" outlineLevel="1" x14ac:dyDescent="0.2">
      <c r="A171" s="3">
        <v>5195951900</v>
      </c>
      <c r="B171" s="207" t="s">
        <v>78</v>
      </c>
      <c r="C171" s="205">
        <f>IFERROR(VLOOKUP(A:A,'PPTO 2017'!A:E,3,0),0)</f>
        <v>0</v>
      </c>
      <c r="D171" s="205">
        <f>IFERROR(VLOOKUP(A:A,EJEC!A:G,5,0),0)</f>
        <v>583.93299999999999</v>
      </c>
      <c r="E171" s="205">
        <v>784</v>
      </c>
      <c r="F171" s="322" t="str">
        <f t="shared" si="26"/>
        <v/>
      </c>
      <c r="G171" s="225">
        <f t="shared" si="33"/>
        <v>823.2</v>
      </c>
      <c r="H171" s="204">
        <f t="shared" si="27"/>
        <v>5.0000000000000044E-2</v>
      </c>
      <c r="I171" s="322">
        <f t="shared" si="25"/>
        <v>5.0000000000000044E-2</v>
      </c>
      <c r="J171" s="543"/>
      <c r="K171" s="524"/>
      <c r="L171" s="524"/>
      <c r="M171" s="524"/>
    </row>
    <row r="172" spans="1:13" customFormat="1" ht="12.75" hidden="1" outlineLevel="1" x14ac:dyDescent="0.2">
      <c r="A172" s="3">
        <v>5195952000</v>
      </c>
      <c r="B172" s="207" t="s">
        <v>338</v>
      </c>
      <c r="C172" s="205">
        <f>IFERROR(VLOOKUP(A:A,'PPTO 2017'!A:E,3,0),0)</f>
        <v>0</v>
      </c>
      <c r="D172" s="205">
        <f>IFERROR(VLOOKUP(A:A,EJEC!A:G,5,0),0)</f>
        <v>0</v>
      </c>
      <c r="E172" s="205">
        <v>0</v>
      </c>
      <c r="F172" s="322" t="str">
        <f t="shared" si="26"/>
        <v/>
      </c>
      <c r="G172" s="225">
        <f t="shared" si="33"/>
        <v>0</v>
      </c>
      <c r="H172" s="204" t="e">
        <f t="shared" si="27"/>
        <v>#DIV/0!</v>
      </c>
      <c r="I172" s="322" t="str">
        <f t="shared" si="25"/>
        <v/>
      </c>
      <c r="J172" s="543"/>
      <c r="K172" s="524"/>
      <c r="L172" s="524"/>
      <c r="M172" s="524"/>
    </row>
    <row r="173" spans="1:13" customFormat="1" ht="12.75" hidden="1" outlineLevel="1" x14ac:dyDescent="0.2">
      <c r="A173" s="3">
        <v>5195952800</v>
      </c>
      <c r="B173" s="317" t="s">
        <v>517</v>
      </c>
      <c r="C173" s="205">
        <f>IFERROR(VLOOKUP(A:A,'PPTO 2017'!A:E,3,0),0)</f>
        <v>0</v>
      </c>
      <c r="D173" s="205">
        <f>IFERROR(VLOOKUP(A:A,EJEC!A:G,5,0),0)</f>
        <v>0</v>
      </c>
      <c r="E173" s="205">
        <v>0</v>
      </c>
      <c r="F173" s="322" t="str">
        <f t="shared" si="26"/>
        <v/>
      </c>
      <c r="G173" s="225">
        <f t="shared" si="33"/>
        <v>0</v>
      </c>
      <c r="H173" s="204" t="e">
        <f t="shared" si="27"/>
        <v>#DIV/0!</v>
      </c>
      <c r="I173" s="322" t="str">
        <f t="shared" si="25"/>
        <v/>
      </c>
      <c r="J173" s="543"/>
      <c r="K173" s="524"/>
      <c r="L173" s="524"/>
      <c r="M173" s="524"/>
    </row>
    <row r="174" spans="1:13" customFormat="1" ht="12.75" hidden="1" outlineLevel="1" x14ac:dyDescent="0.2">
      <c r="A174" s="3">
        <v>5195953000</v>
      </c>
      <c r="B174" s="207" t="s">
        <v>339</v>
      </c>
      <c r="C174" s="205">
        <f>IFERROR(VLOOKUP(A:A,'PPTO 2017'!A:E,3,0),0)</f>
        <v>0</v>
      </c>
      <c r="D174" s="205">
        <f>IFERROR(VLOOKUP(A:A,EJEC!A:G,5,0),0)</f>
        <v>1E-3</v>
      </c>
      <c r="E174" s="205">
        <v>0</v>
      </c>
      <c r="F174" s="322" t="str">
        <f t="shared" ref="F174" si="34">IF(E174=0,"",IF(C174=0,"",(E174/C174)))</f>
        <v/>
      </c>
      <c r="G174" s="225">
        <f t="shared" ref="G174" si="35">+E174*$O$2</f>
        <v>0</v>
      </c>
      <c r="H174" s="204" t="e">
        <f t="shared" ref="H174" si="36">(+G174/E174)-1</f>
        <v>#DIV/0!</v>
      </c>
      <c r="I174" s="322" t="str">
        <f t="shared" ref="I174" si="37">IF(G174=0,"",IF(E174=0,"",(G174/E174)-1))</f>
        <v/>
      </c>
      <c r="J174" s="543"/>
      <c r="K174" s="524"/>
      <c r="L174" s="524"/>
      <c r="M174" s="524"/>
    </row>
    <row r="175" spans="1:13" customFormat="1" ht="12.75" hidden="1" outlineLevel="1" x14ac:dyDescent="0.2">
      <c r="A175" s="3">
        <v>5199051000</v>
      </c>
      <c r="B175" s="207" t="s">
        <v>834</v>
      </c>
      <c r="C175" s="205">
        <f>IFERROR(VLOOKUP(A:A,'PPTO 2017'!A:E,3,0),0)</f>
        <v>0</v>
      </c>
      <c r="D175" s="205">
        <f>IFERROR(VLOOKUP(A:A,EJEC!A:G,5,0),0)</f>
        <v>27977.772000000001</v>
      </c>
      <c r="E175" s="205">
        <v>0</v>
      </c>
      <c r="F175" s="322" t="str">
        <f t="shared" si="26"/>
        <v/>
      </c>
      <c r="G175" s="225">
        <f t="shared" si="33"/>
        <v>0</v>
      </c>
      <c r="H175" s="204" t="e">
        <f t="shared" si="27"/>
        <v>#DIV/0!</v>
      </c>
      <c r="I175" s="322" t="str">
        <f t="shared" si="25"/>
        <v/>
      </c>
      <c r="J175" s="543"/>
      <c r="K175" s="524"/>
      <c r="L175" s="524"/>
      <c r="M175" s="524"/>
    </row>
    <row r="176" spans="1:13" customFormat="1" ht="12.75" collapsed="1" x14ac:dyDescent="0.2">
      <c r="A176" s="176"/>
      <c r="B176" s="213" t="s">
        <v>79</v>
      </c>
      <c r="C176" s="214">
        <f>SUM(C79:C175)</f>
        <v>687880.02987081429</v>
      </c>
      <c r="D176" s="214">
        <f>SUM(D79:D175)</f>
        <v>856651.69000000006</v>
      </c>
      <c r="E176" s="214">
        <f>SUM(E79:E175)</f>
        <v>1017195</v>
      </c>
      <c r="F176" s="541">
        <f t="shared" si="26"/>
        <v>1.4787389600349816</v>
      </c>
      <c r="G176" s="214">
        <f>SUM(G79:G175)</f>
        <v>1242533.3999999997</v>
      </c>
      <c r="H176" s="228">
        <f>(+G176/E176)-1</f>
        <v>0.22152920531461495</v>
      </c>
      <c r="I176" s="322">
        <f t="shared" si="25"/>
        <v>0.22152920531461495</v>
      </c>
      <c r="J176" s="543"/>
      <c r="K176" s="524"/>
      <c r="L176" s="524"/>
      <c r="M176" s="524"/>
    </row>
    <row r="177" spans="1:13" customFormat="1" ht="12.75" x14ac:dyDescent="0.2">
      <c r="A177" s="176"/>
      <c r="B177" s="209" t="s">
        <v>340</v>
      </c>
      <c r="C177" s="210">
        <f>+C61+C73+C176+C76</f>
        <v>18924101.511217635</v>
      </c>
      <c r="D177" s="210">
        <f>+D61+D73+D176+D76</f>
        <v>13061872.611999998</v>
      </c>
      <c r="E177" s="210">
        <f>+E61+E73+E176+E76</f>
        <v>19952282.774999999</v>
      </c>
      <c r="F177" s="926">
        <f t="shared" si="26"/>
        <v>1.0543318404402391</v>
      </c>
      <c r="G177" s="210">
        <f>+G61+G73+G176+G76</f>
        <v>21273282.729245484</v>
      </c>
      <c r="H177" s="211">
        <f>(+G177/E177)-1</f>
        <v>6.6207960720198189E-2</v>
      </c>
      <c r="I177" s="322">
        <f t="shared" si="25"/>
        <v>6.6207960720198189E-2</v>
      </c>
      <c r="J177" s="543"/>
      <c r="K177" s="524"/>
      <c r="L177" s="524"/>
      <c r="M177" s="524"/>
    </row>
    <row r="178" spans="1:13" customFormat="1" ht="12.75" hidden="1" x14ac:dyDescent="0.2">
      <c r="A178" s="176"/>
      <c r="B178" s="212" t="s">
        <v>341</v>
      </c>
      <c r="C178" s="205" t="s">
        <v>169</v>
      </c>
      <c r="D178" s="205" t="s">
        <v>169</v>
      </c>
      <c r="E178" s="205" t="s">
        <v>169</v>
      </c>
      <c r="F178" s="322"/>
      <c r="G178" s="225" t="s">
        <v>169</v>
      </c>
      <c r="H178" s="204" t="s">
        <v>169</v>
      </c>
      <c r="I178" s="525" t="s">
        <v>169</v>
      </c>
      <c r="J178" s="543"/>
      <c r="K178" s="524"/>
      <c r="L178" s="524"/>
      <c r="M178" s="524"/>
    </row>
    <row r="179" spans="1:13" customFormat="1" ht="12.75" hidden="1" outlineLevel="1" x14ac:dyDescent="0.2">
      <c r="A179" s="176"/>
      <c r="B179" s="212" t="s">
        <v>85</v>
      </c>
      <c r="C179" s="205" t="s">
        <v>169</v>
      </c>
      <c r="D179" s="205" t="s">
        <v>169</v>
      </c>
      <c r="E179" s="205" t="s">
        <v>169</v>
      </c>
      <c r="F179" s="322"/>
      <c r="G179" s="225" t="s">
        <v>169</v>
      </c>
      <c r="H179" s="204" t="s">
        <v>169</v>
      </c>
      <c r="I179" s="525" t="s">
        <v>169</v>
      </c>
      <c r="J179" s="543"/>
      <c r="K179" s="524"/>
      <c r="L179" s="524"/>
      <c r="M179" s="524"/>
    </row>
    <row r="180" spans="1:13" customFormat="1" ht="12.75" hidden="1" outlineLevel="1" x14ac:dyDescent="0.2">
      <c r="A180" s="176" t="s">
        <v>342</v>
      </c>
      <c r="B180" s="207" t="s">
        <v>343</v>
      </c>
      <c r="C180" s="205">
        <f>IFERROR(VLOOKUP(A:A,'PPTO 2017'!A:E,3,0),0)</f>
        <v>0</v>
      </c>
      <c r="D180" s="205">
        <f>IFERROR(VLOOKUP(A:A,EJEC!A:G,5,0),0)</f>
        <v>0</v>
      </c>
      <c r="E180" s="205">
        <v>0</v>
      </c>
      <c r="F180" s="322" t="str">
        <f t="shared" si="26"/>
        <v/>
      </c>
      <c r="G180" s="225">
        <f>+E180*$O$2</f>
        <v>0</v>
      </c>
      <c r="H180" s="204" t="e">
        <f t="shared" ref="H180:H216" si="38">(+G180/E180)-1</f>
        <v>#DIV/0!</v>
      </c>
      <c r="I180" s="322" t="str">
        <f t="shared" si="25"/>
        <v/>
      </c>
      <c r="J180" s="543"/>
      <c r="K180" s="524"/>
      <c r="L180" s="524"/>
      <c r="M180" s="524"/>
    </row>
    <row r="181" spans="1:13" customFormat="1" ht="12.75" hidden="1" outlineLevel="1" x14ac:dyDescent="0.2">
      <c r="A181" s="176" t="s">
        <v>651</v>
      </c>
      <c r="B181" s="207" t="s">
        <v>652</v>
      </c>
      <c r="C181" s="205">
        <f>IFERROR(VLOOKUP(A:A,'PPTO 2017'!A:E,3,0),0)</f>
        <v>0</v>
      </c>
      <c r="D181" s="205">
        <f>IFERROR(VLOOKUP(A:A,EJEC!A:G,5,0),0)</f>
        <v>0</v>
      </c>
      <c r="E181" s="205">
        <v>0</v>
      </c>
      <c r="F181" s="322" t="str">
        <f t="shared" si="26"/>
        <v/>
      </c>
      <c r="G181" s="225">
        <f t="shared" ref="G181:G240" si="39">+E181*$O$2</f>
        <v>0</v>
      </c>
      <c r="H181" s="204"/>
      <c r="I181" s="322" t="str">
        <f t="shared" si="25"/>
        <v/>
      </c>
      <c r="J181" s="543"/>
      <c r="K181" s="524"/>
      <c r="L181" s="524"/>
      <c r="M181" s="524"/>
    </row>
    <row r="182" spans="1:13" customFormat="1" ht="12.75" hidden="1" outlineLevel="1" x14ac:dyDescent="0.2">
      <c r="A182" s="177" t="s">
        <v>86</v>
      </c>
      <c r="B182" s="207" t="s">
        <v>87</v>
      </c>
      <c r="C182" s="205">
        <f>IFERROR(VLOOKUP(A:A,'PPTO 2017'!A:E,3,0),0)</f>
        <v>24541.950720000001</v>
      </c>
      <c r="D182" s="205">
        <f>IFERROR(VLOOKUP(A:A,EJEC!A:G,5,0),0)</f>
        <v>15334.884</v>
      </c>
      <c r="E182" s="205">
        <f>+D182/8*12</f>
        <v>23002.326000000001</v>
      </c>
      <c r="F182" s="322">
        <f t="shared" si="26"/>
        <v>0.93726559320546143</v>
      </c>
      <c r="G182" s="225">
        <f t="shared" si="39"/>
        <v>24152.442300000002</v>
      </c>
      <c r="H182" s="204">
        <f t="shared" si="38"/>
        <v>5.0000000000000044E-2</v>
      </c>
      <c r="I182" s="322">
        <f t="shared" si="25"/>
        <v>5.0000000000000044E-2</v>
      </c>
      <c r="J182" s="543"/>
      <c r="K182" s="524"/>
      <c r="L182" s="524"/>
      <c r="M182" s="524"/>
    </row>
    <row r="183" spans="1:13" customFormat="1" ht="12.75" hidden="1" outlineLevel="1" x14ac:dyDescent="0.2">
      <c r="A183" s="177" t="s">
        <v>88</v>
      </c>
      <c r="B183" s="207" t="s">
        <v>89</v>
      </c>
      <c r="C183" s="205">
        <f>IFERROR(VLOOKUP(A:A,'PPTO 2017'!A:E,3,0),0)</f>
        <v>64677.692800000012</v>
      </c>
      <c r="D183" s="205">
        <f>IFERROR(VLOOKUP(A:A,EJEC!A:G,5,0),0)</f>
        <v>39701.396000000001</v>
      </c>
      <c r="E183" s="205">
        <v>63552</v>
      </c>
      <c r="F183" s="322">
        <f t="shared" si="26"/>
        <v>0.98259534700038009</v>
      </c>
      <c r="G183" s="225">
        <f t="shared" si="39"/>
        <v>66729.600000000006</v>
      </c>
      <c r="H183" s="204">
        <f t="shared" si="38"/>
        <v>5.0000000000000044E-2</v>
      </c>
      <c r="I183" s="322">
        <f t="shared" si="25"/>
        <v>5.0000000000000044E-2</v>
      </c>
      <c r="J183" s="543"/>
      <c r="K183" s="524"/>
      <c r="L183" s="524"/>
      <c r="M183" s="524"/>
    </row>
    <row r="184" spans="1:13" customFormat="1" ht="12.75" hidden="1" outlineLevel="1" x14ac:dyDescent="0.2">
      <c r="A184" s="177" t="s">
        <v>90</v>
      </c>
      <c r="B184" s="207" t="s">
        <v>91</v>
      </c>
      <c r="C184" s="205">
        <f>IFERROR(VLOOKUP(A:A,'PPTO 2017'!A:E,3,0),0)</f>
        <v>27355.858880000003</v>
      </c>
      <c r="D184" s="205">
        <f>IFERROR(VLOOKUP(A:A,EJEC!A:G,5,0),0)</f>
        <v>20836.007000000001</v>
      </c>
      <c r="E184" s="205">
        <f t="shared" ref="E184:E194" si="40">+D184/8*12</f>
        <v>31254.010500000004</v>
      </c>
      <c r="F184" s="322">
        <f t="shared" si="26"/>
        <v>1.1424978699115149</v>
      </c>
      <c r="G184" s="225">
        <f t="shared" si="39"/>
        <v>32816.711025000004</v>
      </c>
      <c r="H184" s="204">
        <f t="shared" si="38"/>
        <v>5.0000000000000044E-2</v>
      </c>
      <c r="I184" s="322">
        <f t="shared" si="25"/>
        <v>5.0000000000000044E-2</v>
      </c>
      <c r="J184" s="543"/>
      <c r="K184" s="524"/>
      <c r="L184" s="524"/>
      <c r="M184" s="524"/>
    </row>
    <row r="185" spans="1:13" customFormat="1" ht="12.75" hidden="1" outlineLevel="1" x14ac:dyDescent="0.2">
      <c r="A185" s="177" t="s">
        <v>92</v>
      </c>
      <c r="B185" s="207" t="s">
        <v>93</v>
      </c>
      <c r="C185" s="205">
        <f>IFERROR(VLOOKUP(A:A,'PPTO 2017'!A:E,3,0),0)</f>
        <v>139626.40832000002</v>
      </c>
      <c r="D185" s="205">
        <f>IFERROR(VLOOKUP(A:A,EJEC!A:G,5,0),0)</f>
        <v>81780.012000000002</v>
      </c>
      <c r="E185" s="205">
        <v>132670</v>
      </c>
      <c r="F185" s="322">
        <f t="shared" si="26"/>
        <v>0.9501784196578551</v>
      </c>
      <c r="G185" s="225">
        <f t="shared" si="39"/>
        <v>139303.5</v>
      </c>
      <c r="H185" s="204">
        <f t="shared" si="38"/>
        <v>5.0000000000000044E-2</v>
      </c>
      <c r="I185" s="322">
        <f t="shared" si="25"/>
        <v>5.0000000000000044E-2</v>
      </c>
      <c r="J185" s="543"/>
      <c r="K185" s="524"/>
      <c r="L185" s="524"/>
      <c r="M185" s="524"/>
    </row>
    <row r="186" spans="1:13" customFormat="1" ht="12.75" hidden="1" outlineLevel="1" x14ac:dyDescent="0.2">
      <c r="A186" s="177" t="s">
        <v>94</v>
      </c>
      <c r="B186" s="207" t="s">
        <v>95</v>
      </c>
      <c r="C186" s="205">
        <f>IFERROR(VLOOKUP(A:A,'PPTO 2017'!A:E,3,0),0)</f>
        <v>451339.30240000004</v>
      </c>
      <c r="D186" s="205">
        <f>IFERROR(VLOOKUP(A:A,EJEC!A:G,5,0),0)</f>
        <v>246554.495</v>
      </c>
      <c r="E186" s="205">
        <v>439832</v>
      </c>
      <c r="F186" s="322">
        <f t="shared" si="26"/>
        <v>0.97450409849350617</v>
      </c>
      <c r="G186" s="225">
        <f t="shared" si="39"/>
        <v>461823.60000000003</v>
      </c>
      <c r="H186" s="204">
        <f t="shared" si="38"/>
        <v>5.0000000000000044E-2</v>
      </c>
      <c r="I186" s="322">
        <f t="shared" si="25"/>
        <v>5.0000000000000044E-2</v>
      </c>
      <c r="J186" s="543"/>
      <c r="K186" s="524"/>
      <c r="L186" s="524"/>
      <c r="M186" s="524"/>
    </row>
    <row r="187" spans="1:13" customFormat="1" ht="12.75" hidden="1" outlineLevel="1" x14ac:dyDescent="0.2">
      <c r="A187" s="177" t="s">
        <v>344</v>
      </c>
      <c r="B187" s="207" t="s">
        <v>345</v>
      </c>
      <c r="C187" s="205">
        <f>IFERROR(VLOOKUP(A:A,'PPTO 2017'!A:E,3,0),0)</f>
        <v>0</v>
      </c>
      <c r="D187" s="205">
        <f>IFERROR(VLOOKUP(A:A,EJEC!A:G,5,0),0)</f>
        <v>0</v>
      </c>
      <c r="E187" s="205">
        <f t="shared" si="40"/>
        <v>0</v>
      </c>
      <c r="F187" s="322" t="str">
        <f t="shared" si="26"/>
        <v/>
      </c>
      <c r="G187" s="225">
        <f t="shared" si="39"/>
        <v>0</v>
      </c>
      <c r="H187" s="204" t="e">
        <f t="shared" si="38"/>
        <v>#DIV/0!</v>
      </c>
      <c r="I187" s="322" t="str">
        <f t="shared" si="25"/>
        <v/>
      </c>
      <c r="J187" s="543"/>
      <c r="K187" s="524"/>
      <c r="L187" s="524"/>
      <c r="M187" s="524"/>
    </row>
    <row r="188" spans="1:13" customFormat="1" ht="12.75" hidden="1" outlineLevel="1" x14ac:dyDescent="0.2">
      <c r="A188" s="177" t="s">
        <v>96</v>
      </c>
      <c r="B188" s="207" t="s">
        <v>97</v>
      </c>
      <c r="C188" s="205">
        <f>IFERROR(VLOOKUP(A:A,'PPTO 2017'!A:E,3,0),0)</f>
        <v>264677.00672</v>
      </c>
      <c r="D188" s="205">
        <f>IFERROR(VLOOKUP(A:A,EJEC!A:G,5,0),0)</f>
        <v>154059.71100000001</v>
      </c>
      <c r="E188" s="205">
        <v>261090</v>
      </c>
      <c r="F188" s="322">
        <f t="shared" si="26"/>
        <v>0.98644760735187442</v>
      </c>
      <c r="G188" s="225">
        <f t="shared" si="39"/>
        <v>274144.5</v>
      </c>
      <c r="H188" s="204">
        <f t="shared" si="38"/>
        <v>5.0000000000000044E-2</v>
      </c>
      <c r="I188" s="322">
        <f t="shared" si="25"/>
        <v>5.0000000000000044E-2</v>
      </c>
      <c r="J188" s="543"/>
      <c r="K188" s="524"/>
      <c r="L188" s="524"/>
      <c r="M188" s="524"/>
    </row>
    <row r="189" spans="1:13" customFormat="1" ht="12.75" hidden="1" outlineLevel="1" x14ac:dyDescent="0.2">
      <c r="A189" s="177" t="s">
        <v>346</v>
      </c>
      <c r="B189" s="207" t="s">
        <v>347</v>
      </c>
      <c r="C189" s="205">
        <f>IFERROR(VLOOKUP(A:A,'PPTO 2017'!A:E,3,0),0)</f>
        <v>0</v>
      </c>
      <c r="D189" s="205">
        <f>IFERROR(VLOOKUP(A:A,EJEC!A:G,5,0),0)</f>
        <v>0</v>
      </c>
      <c r="E189" s="205">
        <f t="shared" si="40"/>
        <v>0</v>
      </c>
      <c r="F189" s="322" t="str">
        <f t="shared" si="26"/>
        <v/>
      </c>
      <c r="G189" s="225">
        <f t="shared" si="39"/>
        <v>0</v>
      </c>
      <c r="H189" s="204" t="e">
        <f t="shared" si="38"/>
        <v>#DIV/0!</v>
      </c>
      <c r="I189" s="322" t="str">
        <f t="shared" si="25"/>
        <v/>
      </c>
      <c r="J189" s="543"/>
      <c r="K189" s="524"/>
      <c r="L189" s="524"/>
      <c r="M189" s="524"/>
    </row>
    <row r="190" spans="1:13" customFormat="1" ht="12.75" hidden="1" outlineLevel="1" x14ac:dyDescent="0.2">
      <c r="A190" s="177" t="s">
        <v>348</v>
      </c>
      <c r="B190" s="207" t="s">
        <v>349</v>
      </c>
      <c r="C190" s="205">
        <f>IFERROR(VLOOKUP(A:A,'PPTO 2017'!A:E,3,0),0)</f>
        <v>0</v>
      </c>
      <c r="D190" s="205">
        <f>IFERROR(VLOOKUP(A:A,EJEC!A:G,5,0),0)</f>
        <v>0</v>
      </c>
      <c r="E190" s="205">
        <f t="shared" si="40"/>
        <v>0</v>
      </c>
      <c r="F190" s="322" t="str">
        <f t="shared" si="26"/>
        <v/>
      </c>
      <c r="G190" s="225">
        <f t="shared" si="39"/>
        <v>0</v>
      </c>
      <c r="H190" s="204" t="e">
        <f t="shared" si="38"/>
        <v>#DIV/0!</v>
      </c>
      <c r="I190" s="322" t="str">
        <f t="shared" si="25"/>
        <v/>
      </c>
      <c r="J190" s="543"/>
      <c r="K190" s="524"/>
      <c r="L190" s="524"/>
      <c r="M190" s="524"/>
    </row>
    <row r="191" spans="1:13" customFormat="1" ht="12.75" hidden="1" outlineLevel="1" x14ac:dyDescent="0.2">
      <c r="A191" s="177" t="s">
        <v>98</v>
      </c>
      <c r="B191" s="207" t="s">
        <v>99</v>
      </c>
      <c r="C191" s="205">
        <f>IFERROR(VLOOKUP(A:A,'PPTO 2017'!A:E,3,0),0)</f>
        <v>260045.42592000001</v>
      </c>
      <c r="D191" s="205">
        <f>IFERROR(VLOOKUP(A:A,EJEC!A:G,5,0),0)</f>
        <v>83576.846000000005</v>
      </c>
      <c r="E191" s="205">
        <v>225365</v>
      </c>
      <c r="F191" s="322">
        <f t="shared" si="26"/>
        <v>0.866637046980134</v>
      </c>
      <c r="G191" s="225">
        <v>249034</v>
      </c>
      <c r="H191" s="204">
        <f t="shared" si="38"/>
        <v>0.10502518137244032</v>
      </c>
      <c r="I191" s="322">
        <f t="shared" si="25"/>
        <v>0.10502518137244032</v>
      </c>
      <c r="J191" s="543"/>
      <c r="K191" s="524"/>
      <c r="L191" s="524"/>
      <c r="M191" s="524"/>
    </row>
    <row r="192" spans="1:13" customFormat="1" ht="12.75" hidden="1" outlineLevel="1" x14ac:dyDescent="0.2">
      <c r="A192" s="177" t="s">
        <v>100</v>
      </c>
      <c r="B192" s="207" t="s">
        <v>101</v>
      </c>
      <c r="C192" s="205">
        <f>IFERROR(VLOOKUP(A:A,'PPTO 2017'!A:E,3,0),0)</f>
        <v>191941.26112000001</v>
      </c>
      <c r="D192" s="205">
        <f>IFERROR(VLOOKUP(A:A,EJEC!A:G,5,0),0)</f>
        <v>144398.40700000001</v>
      </c>
      <c r="E192" s="205">
        <f t="shared" si="40"/>
        <v>216597.61050000001</v>
      </c>
      <c r="F192" s="322">
        <f t="shared" si="26"/>
        <v>1.1284577856586295</v>
      </c>
      <c r="G192" s="225">
        <f t="shared" si="39"/>
        <v>227427.49102500002</v>
      </c>
      <c r="H192" s="204">
        <f t="shared" si="38"/>
        <v>5.0000000000000044E-2</v>
      </c>
      <c r="I192" s="322">
        <f t="shared" si="25"/>
        <v>5.0000000000000044E-2</v>
      </c>
      <c r="J192" s="543"/>
      <c r="K192" s="524"/>
      <c r="L192" s="524"/>
      <c r="M192" s="524"/>
    </row>
    <row r="193" spans="1:13" customFormat="1" ht="12.75" hidden="1" outlineLevel="1" x14ac:dyDescent="0.2">
      <c r="A193" s="177" t="s">
        <v>102</v>
      </c>
      <c r="B193" s="207" t="s">
        <v>103</v>
      </c>
      <c r="C193" s="205">
        <f>IFERROR(VLOOKUP(A:A,'PPTO 2017'!A:E,3,0),0)</f>
        <v>109322.49888</v>
      </c>
      <c r="D193" s="205">
        <f>IFERROR(VLOOKUP(A:A,EJEC!A:G,5,0),0)</f>
        <v>70640.803</v>
      </c>
      <c r="E193" s="205">
        <f t="shared" si="40"/>
        <v>105961.20449999999</v>
      </c>
      <c r="F193" s="322">
        <f t="shared" si="26"/>
        <v>0.96925340698908102</v>
      </c>
      <c r="G193" s="225">
        <f t="shared" si="39"/>
        <v>111259.264725</v>
      </c>
      <c r="H193" s="204">
        <f t="shared" si="38"/>
        <v>5.0000000000000044E-2</v>
      </c>
      <c r="I193" s="322">
        <f t="shared" si="25"/>
        <v>5.0000000000000044E-2</v>
      </c>
      <c r="J193" s="543"/>
      <c r="K193" s="524"/>
      <c r="L193" s="524"/>
      <c r="M193" s="524"/>
    </row>
    <row r="194" spans="1:13" customFormat="1" ht="12.75" hidden="1" outlineLevel="1" x14ac:dyDescent="0.2">
      <c r="A194" s="177" t="s">
        <v>104</v>
      </c>
      <c r="B194" s="207" t="s">
        <v>105</v>
      </c>
      <c r="C194" s="205">
        <f>IFERROR(VLOOKUP(A:A,'PPTO 2017'!A:E,3,0),0)</f>
        <v>212558.24575999999</v>
      </c>
      <c r="D194" s="205">
        <f>IFERROR(VLOOKUP(A:A,EJEC!A:G,5,0),0)</f>
        <v>193643.473</v>
      </c>
      <c r="E194" s="205">
        <f t="shared" si="40"/>
        <v>290465.2095</v>
      </c>
      <c r="F194" s="322">
        <f t="shared" si="26"/>
        <v>1.3665205433995016</v>
      </c>
      <c r="G194" s="225">
        <f t="shared" si="39"/>
        <v>304988.46997500001</v>
      </c>
      <c r="H194" s="204">
        <f t="shared" si="38"/>
        <v>5.0000000000000044E-2</v>
      </c>
      <c r="I194" s="322">
        <f t="shared" si="25"/>
        <v>5.0000000000000044E-2</v>
      </c>
      <c r="J194" s="543"/>
      <c r="K194" s="524"/>
      <c r="L194" s="524"/>
      <c r="M194" s="524"/>
    </row>
    <row r="195" spans="1:13" customFormat="1" ht="12.75" hidden="1" outlineLevel="1" x14ac:dyDescent="0.2">
      <c r="A195" s="177" t="s">
        <v>106</v>
      </c>
      <c r="B195" s="207" t="s">
        <v>107</v>
      </c>
      <c r="C195" s="205">
        <f>IFERROR(VLOOKUP(A:A,'PPTO 2017'!A:E,3,0),0)</f>
        <v>0</v>
      </c>
      <c r="D195" s="205">
        <f>IFERROR(VLOOKUP(A:A,EJEC!A:G,5,0),0)</f>
        <v>0</v>
      </c>
      <c r="E195" s="205">
        <v>0</v>
      </c>
      <c r="F195" s="322" t="str">
        <f t="shared" si="26"/>
        <v/>
      </c>
      <c r="G195" s="225">
        <f t="shared" si="39"/>
        <v>0</v>
      </c>
      <c r="H195" s="204" t="e">
        <f t="shared" si="38"/>
        <v>#DIV/0!</v>
      </c>
      <c r="I195" s="322" t="str">
        <f t="shared" si="25"/>
        <v/>
      </c>
      <c r="J195" s="543"/>
      <c r="K195" s="524"/>
      <c r="L195" s="524"/>
      <c r="M195" s="524"/>
    </row>
    <row r="196" spans="1:13" customFormat="1" ht="12.75" hidden="1" outlineLevel="1" x14ac:dyDescent="0.2">
      <c r="A196" s="177" t="s">
        <v>350</v>
      </c>
      <c r="B196" s="207" t="s">
        <v>351</v>
      </c>
      <c r="C196" s="205">
        <f>IFERROR(VLOOKUP(A:A,'PPTO 2017'!A:E,3,0),0)</f>
        <v>0</v>
      </c>
      <c r="D196" s="205">
        <f>IFERROR(VLOOKUP(A:A,EJEC!A:G,5,0),0)</f>
        <v>0</v>
      </c>
      <c r="E196" s="205">
        <v>0</v>
      </c>
      <c r="F196" s="322" t="str">
        <f t="shared" si="26"/>
        <v/>
      </c>
      <c r="G196" s="225">
        <f t="shared" si="39"/>
        <v>0</v>
      </c>
      <c r="H196" s="204" t="e">
        <f t="shared" si="38"/>
        <v>#DIV/0!</v>
      </c>
      <c r="I196" s="322" t="str">
        <f t="shared" si="25"/>
        <v/>
      </c>
      <c r="J196" s="543"/>
      <c r="K196" s="524"/>
      <c r="L196" s="524"/>
      <c r="M196" s="524"/>
    </row>
    <row r="197" spans="1:13" customFormat="1" ht="12.75" hidden="1" outlineLevel="1" x14ac:dyDescent="0.2">
      <c r="A197" s="177" t="s">
        <v>352</v>
      </c>
      <c r="B197" s="207" t="s">
        <v>353</v>
      </c>
      <c r="C197" s="205">
        <f>IFERROR(VLOOKUP(A:A,'PPTO 2017'!A:E,3,0),0)</f>
        <v>0</v>
      </c>
      <c r="D197" s="205">
        <f>IFERROR(VLOOKUP(A:A,EJEC!A:G,5,0),0)</f>
        <v>0</v>
      </c>
      <c r="E197" s="205">
        <v>0</v>
      </c>
      <c r="F197" s="322" t="str">
        <f t="shared" si="26"/>
        <v/>
      </c>
      <c r="G197" s="225">
        <f t="shared" si="39"/>
        <v>0</v>
      </c>
      <c r="H197" s="204" t="e">
        <f t="shared" si="38"/>
        <v>#DIV/0!</v>
      </c>
      <c r="I197" s="322" t="str">
        <f t="shared" si="25"/>
        <v/>
      </c>
      <c r="J197" s="543"/>
      <c r="K197" s="524"/>
      <c r="L197" s="524"/>
      <c r="M197" s="524"/>
    </row>
    <row r="198" spans="1:13" customFormat="1" ht="12.75" hidden="1" outlineLevel="1" x14ac:dyDescent="0.2">
      <c r="A198" s="177" t="s">
        <v>354</v>
      </c>
      <c r="B198" s="207" t="s">
        <v>355</v>
      </c>
      <c r="C198" s="205">
        <f>IFERROR(VLOOKUP(A:A,'PPTO 2017'!A:E,3,0),0)</f>
        <v>0</v>
      </c>
      <c r="D198" s="205">
        <f>IFERROR(VLOOKUP(A:A,EJEC!A:G,5,0),0)</f>
        <v>0</v>
      </c>
      <c r="E198" s="205">
        <v>0</v>
      </c>
      <c r="F198" s="322" t="str">
        <f t="shared" si="26"/>
        <v/>
      </c>
      <c r="G198" s="225">
        <f t="shared" si="39"/>
        <v>0</v>
      </c>
      <c r="H198" s="204" t="e">
        <f t="shared" si="38"/>
        <v>#DIV/0!</v>
      </c>
      <c r="I198" s="322" t="str">
        <f t="shared" si="25"/>
        <v/>
      </c>
      <c r="J198" s="543"/>
      <c r="K198" s="524"/>
      <c r="L198" s="524"/>
      <c r="M198" s="524"/>
    </row>
    <row r="199" spans="1:13" customFormat="1" ht="12.75" hidden="1" outlineLevel="1" x14ac:dyDescent="0.2">
      <c r="A199" s="177" t="s">
        <v>108</v>
      </c>
      <c r="B199" s="207" t="s">
        <v>109</v>
      </c>
      <c r="C199" s="205">
        <f>IFERROR(VLOOKUP(A:A,'PPTO 2017'!A:E,3,0),0)</f>
        <v>0</v>
      </c>
      <c r="D199" s="205">
        <f>IFERROR(VLOOKUP(A:A,EJEC!A:G,5,0),0)</f>
        <v>0</v>
      </c>
      <c r="E199" s="205">
        <v>0</v>
      </c>
      <c r="F199" s="322" t="str">
        <f t="shared" si="26"/>
        <v/>
      </c>
      <c r="G199" s="225">
        <f t="shared" si="39"/>
        <v>0</v>
      </c>
      <c r="H199" s="204" t="e">
        <f t="shared" si="38"/>
        <v>#DIV/0!</v>
      </c>
      <c r="I199" s="322" t="str">
        <f t="shared" si="25"/>
        <v/>
      </c>
      <c r="J199" s="543"/>
      <c r="K199" s="524"/>
      <c r="L199" s="524"/>
      <c r="M199" s="524"/>
    </row>
    <row r="200" spans="1:13" customFormat="1" ht="12.75" hidden="1" outlineLevel="1" x14ac:dyDescent="0.2">
      <c r="A200" s="177" t="s">
        <v>110</v>
      </c>
      <c r="B200" s="207" t="s">
        <v>111</v>
      </c>
      <c r="C200" s="205">
        <f>IFERROR(VLOOKUP(A:A,'PPTO 2017'!A:E,3,0),0)</f>
        <v>0</v>
      </c>
      <c r="D200" s="205">
        <f>IFERROR(VLOOKUP(A:A,EJEC!A:G,5,0),0)</f>
        <v>0</v>
      </c>
      <c r="E200" s="205">
        <v>0</v>
      </c>
      <c r="F200" s="322" t="str">
        <f t="shared" si="26"/>
        <v/>
      </c>
      <c r="G200" s="225">
        <f t="shared" si="39"/>
        <v>0</v>
      </c>
      <c r="H200" s="204" t="e">
        <f t="shared" si="38"/>
        <v>#DIV/0!</v>
      </c>
      <c r="I200" s="322" t="str">
        <f t="shared" si="25"/>
        <v/>
      </c>
      <c r="J200" s="543"/>
      <c r="K200" s="524"/>
      <c r="L200" s="524"/>
      <c r="M200" s="524"/>
    </row>
    <row r="201" spans="1:13" customFormat="1" ht="12.75" hidden="1" outlineLevel="1" x14ac:dyDescent="0.2">
      <c r="A201" s="177" t="s">
        <v>112</v>
      </c>
      <c r="B201" s="207" t="s">
        <v>356</v>
      </c>
      <c r="C201" s="205">
        <f>IFERROR(VLOOKUP(A:A,'PPTO 2017'!A:E,3,0),0)</f>
        <v>0</v>
      </c>
      <c r="D201" s="205">
        <f>IFERROR(VLOOKUP(A:A,EJEC!A:G,5,0),0)</f>
        <v>0</v>
      </c>
      <c r="E201" s="205">
        <v>0</v>
      </c>
      <c r="F201" s="322" t="str">
        <f t="shared" si="26"/>
        <v/>
      </c>
      <c r="G201" s="225">
        <f t="shared" si="39"/>
        <v>0</v>
      </c>
      <c r="H201" s="204" t="e">
        <f t="shared" si="38"/>
        <v>#DIV/0!</v>
      </c>
      <c r="I201" s="322" t="str">
        <f t="shared" ref="I201:I264" si="41">IF(G201=0,"",IF(E201=0,"",(G201/E201)-1))</f>
        <v/>
      </c>
      <c r="J201" s="543"/>
      <c r="K201" s="524"/>
      <c r="L201" s="524"/>
      <c r="M201" s="524"/>
    </row>
    <row r="202" spans="1:13" customFormat="1" ht="12.75" hidden="1" outlineLevel="1" x14ac:dyDescent="0.2">
      <c r="A202" s="177" t="s">
        <v>289</v>
      </c>
      <c r="B202" s="207" t="s">
        <v>357</v>
      </c>
      <c r="C202" s="205">
        <f>IFERROR(VLOOKUP(A:A,'PPTO 2017'!A:E,3,0),0)</f>
        <v>0</v>
      </c>
      <c r="D202" s="205">
        <f>IFERROR(VLOOKUP(A:A,EJEC!A:G,5,0),0)</f>
        <v>0</v>
      </c>
      <c r="E202" s="205">
        <v>0</v>
      </c>
      <c r="F202" s="322" t="str">
        <f t="shared" si="26"/>
        <v/>
      </c>
      <c r="G202" s="225">
        <f t="shared" si="39"/>
        <v>0</v>
      </c>
      <c r="H202" s="204" t="e">
        <f t="shared" si="38"/>
        <v>#DIV/0!</v>
      </c>
      <c r="I202" s="322" t="str">
        <f t="shared" si="41"/>
        <v/>
      </c>
      <c r="J202" s="543"/>
      <c r="K202" s="524"/>
      <c r="L202" s="524"/>
      <c r="M202" s="524"/>
    </row>
    <row r="203" spans="1:13" customFormat="1" ht="12.75" hidden="1" outlineLevel="1" x14ac:dyDescent="0.2">
      <c r="A203" s="177" t="s">
        <v>358</v>
      </c>
      <c r="B203" s="207" t="s">
        <v>359</v>
      </c>
      <c r="C203" s="205">
        <f>IFERROR(VLOOKUP(A:A,'PPTO 2017'!A:E,3,0),0)</f>
        <v>0</v>
      </c>
      <c r="D203" s="205">
        <f>IFERROR(VLOOKUP(A:A,EJEC!A:G,5,0),0)</f>
        <v>0</v>
      </c>
      <c r="E203" s="205">
        <v>0</v>
      </c>
      <c r="F203" s="322" t="str">
        <f t="shared" ref="F203:F266" si="42">IF(E203=0,"",IF(C203=0,"",(E203/C203)))</f>
        <v/>
      </c>
      <c r="G203" s="225">
        <f t="shared" si="39"/>
        <v>0</v>
      </c>
      <c r="H203" s="204" t="e">
        <f t="shared" si="38"/>
        <v>#DIV/0!</v>
      </c>
      <c r="I203" s="322" t="str">
        <f t="shared" si="41"/>
        <v/>
      </c>
      <c r="J203" s="543"/>
      <c r="K203" s="524"/>
      <c r="L203" s="524"/>
      <c r="M203" s="524"/>
    </row>
    <row r="204" spans="1:13" customFormat="1" ht="12.75" hidden="1" outlineLevel="1" x14ac:dyDescent="0.2">
      <c r="A204" s="177" t="s">
        <v>360</v>
      </c>
      <c r="B204" s="207" t="s">
        <v>361</v>
      </c>
      <c r="C204" s="205">
        <f>IFERROR(VLOOKUP(A:A,'PPTO 2017'!A:E,3,0),0)</f>
        <v>0</v>
      </c>
      <c r="D204" s="205">
        <f>IFERROR(VLOOKUP(A:A,EJEC!A:G,5,0),0)</f>
        <v>0</v>
      </c>
      <c r="E204" s="205">
        <v>0</v>
      </c>
      <c r="F204" s="322" t="str">
        <f t="shared" si="42"/>
        <v/>
      </c>
      <c r="G204" s="225">
        <f t="shared" si="39"/>
        <v>0</v>
      </c>
      <c r="H204" s="204" t="e">
        <f t="shared" si="38"/>
        <v>#DIV/0!</v>
      </c>
      <c r="I204" s="322" t="str">
        <f t="shared" si="41"/>
        <v/>
      </c>
      <c r="J204" s="543"/>
      <c r="K204" s="524"/>
      <c r="L204" s="524"/>
      <c r="M204" s="524"/>
    </row>
    <row r="205" spans="1:13" customFormat="1" ht="12.75" hidden="1" outlineLevel="1" x14ac:dyDescent="0.2">
      <c r="A205" s="177" t="s">
        <v>426</v>
      </c>
      <c r="B205" s="207" t="s">
        <v>427</v>
      </c>
      <c r="C205" s="205">
        <f>IFERROR(VLOOKUP(A:A,'PPTO 2017'!A:E,3,0),0)</f>
        <v>0</v>
      </c>
      <c r="D205" s="205">
        <f>IFERROR(VLOOKUP(A:A,EJEC!A:G,5,0),0)</f>
        <v>0</v>
      </c>
      <c r="E205" s="205">
        <v>0</v>
      </c>
      <c r="F205" s="322" t="str">
        <f t="shared" si="42"/>
        <v/>
      </c>
      <c r="G205" s="225">
        <v>0</v>
      </c>
      <c r="H205" s="204" t="e">
        <f t="shared" si="38"/>
        <v>#DIV/0!</v>
      </c>
      <c r="I205" s="322" t="str">
        <f t="shared" si="41"/>
        <v/>
      </c>
      <c r="J205" s="543"/>
      <c r="K205" s="524"/>
      <c r="L205" s="524"/>
      <c r="M205" s="524"/>
    </row>
    <row r="206" spans="1:13" customFormat="1" ht="12.75" hidden="1" outlineLevel="1" x14ac:dyDescent="0.2">
      <c r="A206" s="177" t="s">
        <v>835</v>
      </c>
      <c r="B206" s="207" t="s">
        <v>836</v>
      </c>
      <c r="C206" s="205">
        <f>IFERROR(VLOOKUP(A:A,'PPTO 2017'!A:E,3,0),0)</f>
        <v>7140.2240000000002</v>
      </c>
      <c r="D206" s="205">
        <f>IFERROR(VLOOKUP(A:A,EJEC!A:G,5,0),0)</f>
        <v>4055.85</v>
      </c>
      <c r="E206" s="205">
        <v>8084</v>
      </c>
      <c r="F206" s="322">
        <f t="shared" ref="F206" si="43">IF(E206=0,"",IF(C206=0,"",(E206/C206)))</f>
        <v>1.1321773658641521</v>
      </c>
      <c r="G206" s="225">
        <f t="shared" si="39"/>
        <v>8488.2000000000007</v>
      </c>
      <c r="H206" s="204">
        <f t="shared" ref="H206" si="44">(+G206/E206)-1</f>
        <v>5.0000000000000044E-2</v>
      </c>
      <c r="I206" s="322">
        <f t="shared" ref="I206" si="45">IF(G206=0,"",IF(E206=0,"",(G206/E206)-1))</f>
        <v>5.0000000000000044E-2</v>
      </c>
      <c r="J206" s="543"/>
      <c r="K206" s="524"/>
      <c r="L206" s="524"/>
      <c r="M206" s="524"/>
    </row>
    <row r="207" spans="1:13" customFormat="1" ht="12.75" hidden="1" outlineLevel="1" x14ac:dyDescent="0.2">
      <c r="A207" s="177" t="s">
        <v>837</v>
      </c>
      <c r="B207" s="207" t="s">
        <v>838</v>
      </c>
      <c r="C207" s="205">
        <f>IFERROR(VLOOKUP(A:A,'PPTO 2017'!A:E,3,0),0)</f>
        <v>1187.2</v>
      </c>
      <c r="D207" s="205">
        <f>IFERROR(VLOOKUP(A:A,EJEC!A:G,5,0),0)</f>
        <v>495</v>
      </c>
      <c r="E207" s="205">
        <v>1087</v>
      </c>
      <c r="F207" s="322">
        <f t="shared" ref="F207" si="46">IF(E207=0,"",IF(C207=0,"",(E207/C207)))</f>
        <v>0.91559973045822096</v>
      </c>
      <c r="G207" s="225">
        <f t="shared" si="39"/>
        <v>1141.3500000000001</v>
      </c>
      <c r="H207" s="204">
        <f t="shared" ref="H207" si="47">(+G207/E207)-1</f>
        <v>5.0000000000000044E-2</v>
      </c>
      <c r="I207" s="322">
        <f t="shared" ref="I207" si="48">IF(G207=0,"",IF(E207=0,"",(G207/E207)-1))</f>
        <v>5.0000000000000044E-2</v>
      </c>
      <c r="J207" s="543"/>
      <c r="K207" s="524"/>
      <c r="L207" s="524"/>
      <c r="M207" s="524"/>
    </row>
    <row r="208" spans="1:13" customFormat="1" ht="12.75" hidden="1" outlineLevel="1" x14ac:dyDescent="0.2">
      <c r="A208" s="177" t="s">
        <v>260</v>
      </c>
      <c r="B208" s="207" t="s">
        <v>362</v>
      </c>
      <c r="C208" s="205">
        <f>IFERROR(VLOOKUP(A:A,'PPTO 2017'!A:E,3,0),0)</f>
        <v>603951.04</v>
      </c>
      <c r="D208" s="205">
        <f>IFERROR(VLOOKUP(A:A,EJEC!A:G,5,0),0)</f>
        <v>309150</v>
      </c>
      <c r="E208" s="205">
        <v>618150</v>
      </c>
      <c r="F208" s="322">
        <f t="shared" si="42"/>
        <v>1.0235101176413239</v>
      </c>
      <c r="G208" s="225">
        <f t="shared" si="39"/>
        <v>649057.5</v>
      </c>
      <c r="H208" s="204">
        <f t="shared" si="38"/>
        <v>5.0000000000000044E-2</v>
      </c>
      <c r="I208" s="322">
        <f t="shared" si="41"/>
        <v>5.0000000000000044E-2</v>
      </c>
      <c r="J208" s="543"/>
      <c r="K208" s="524"/>
      <c r="L208" s="524"/>
      <c r="M208" s="524"/>
    </row>
    <row r="209" spans="1:13" customFormat="1" ht="12.75" hidden="1" outlineLevel="1" x14ac:dyDescent="0.2">
      <c r="A209" s="177" t="s">
        <v>421</v>
      </c>
      <c r="B209" s="207" t="s">
        <v>422</v>
      </c>
      <c r="C209" s="205">
        <f>IFERROR(VLOOKUP(A:A,'PPTO 2017'!A:E,3,0),0)</f>
        <v>28454.852160000002</v>
      </c>
      <c r="D209" s="205">
        <f>IFERROR(VLOOKUP(A:A,EJEC!A:G,5,0),0)</f>
        <v>18815.859</v>
      </c>
      <c r="E209" s="205">
        <v>36224</v>
      </c>
      <c r="F209" s="322">
        <f t="shared" si="42"/>
        <v>1.2730342015595275</v>
      </c>
      <c r="G209" s="225">
        <f t="shared" si="39"/>
        <v>38035.200000000004</v>
      </c>
      <c r="H209" s="204">
        <f t="shared" si="38"/>
        <v>5.0000000000000044E-2</v>
      </c>
      <c r="I209" s="322">
        <f t="shared" si="41"/>
        <v>5.0000000000000044E-2</v>
      </c>
      <c r="J209" s="543"/>
      <c r="K209" s="524"/>
      <c r="L209" s="524"/>
      <c r="M209" s="524"/>
    </row>
    <row r="210" spans="1:13" customFormat="1" ht="12.75" hidden="1" outlineLevel="1" x14ac:dyDescent="0.2">
      <c r="A210" s="321" t="s">
        <v>521</v>
      </c>
      <c r="B210" s="207" t="s">
        <v>522</v>
      </c>
      <c r="C210" s="205">
        <f>IFERROR(VLOOKUP(A:A,'PPTO 2017'!A:E,3,0),0)</f>
        <v>388937</v>
      </c>
      <c r="D210" s="205">
        <f>IFERROR(VLOOKUP(A:A,EJEC!A:G,5,0),0)</f>
        <v>15454.8</v>
      </c>
      <c r="E210" s="205">
        <v>328937</v>
      </c>
      <c r="F210" s="322">
        <f t="shared" si="42"/>
        <v>0.8457333707001391</v>
      </c>
      <c r="G210" s="225">
        <v>365955</v>
      </c>
      <c r="H210" s="204"/>
      <c r="I210" s="322">
        <f t="shared" si="41"/>
        <v>0.11253826720618232</v>
      </c>
      <c r="J210" s="543"/>
      <c r="K210" s="524"/>
      <c r="L210" s="524"/>
      <c r="M210" s="524"/>
    </row>
    <row r="211" spans="1:13" customFormat="1" ht="12.75" hidden="1" outlineLevel="1" x14ac:dyDescent="0.2">
      <c r="A211" s="321" t="s">
        <v>643</v>
      </c>
      <c r="B211" s="207" t="s">
        <v>644</v>
      </c>
      <c r="C211" s="205">
        <f>IFERROR(VLOOKUP(A:A,'PPTO 2017'!A:E,3,0),0)</f>
        <v>2487711.8463222208</v>
      </c>
      <c r="D211" s="205">
        <f>IFERROR(VLOOKUP(A:A,EJEC!A:G,5,0),0)</f>
        <v>1263529.227</v>
      </c>
      <c r="E211" s="205">
        <f>+E29*0.07</f>
        <v>2522341.2200000002</v>
      </c>
      <c r="F211" s="322">
        <f t="shared" si="42"/>
        <v>1.0139201707500709</v>
      </c>
      <c r="G211" s="225">
        <f t="shared" si="39"/>
        <v>2648458.2810000004</v>
      </c>
      <c r="H211" s="204"/>
      <c r="I211" s="322">
        <f t="shared" si="41"/>
        <v>5.0000000000000044E-2</v>
      </c>
      <c r="J211" s="543"/>
      <c r="K211" s="524"/>
      <c r="L211" s="524"/>
      <c r="M211" s="524"/>
    </row>
    <row r="212" spans="1:13" customFormat="1" ht="12.75" hidden="1" outlineLevel="1" x14ac:dyDescent="0.2">
      <c r="A212" s="321" t="s">
        <v>645</v>
      </c>
      <c r="B212" s="207" t="s">
        <v>647</v>
      </c>
      <c r="C212" s="205">
        <f>IFERROR(VLOOKUP(A:A,'PPTO 2017'!A:E,3,0),0)</f>
        <v>0</v>
      </c>
      <c r="D212" s="205">
        <f>IFERROR(VLOOKUP(A:A,EJEC!A:G,5,0),0)</f>
        <v>0</v>
      </c>
      <c r="E212" s="205">
        <f t="shared" ref="E212:E215" si="49">+D212/8*12</f>
        <v>0</v>
      </c>
      <c r="F212" s="322" t="str">
        <f t="shared" si="42"/>
        <v/>
      </c>
      <c r="G212" s="225">
        <f t="shared" si="39"/>
        <v>0</v>
      </c>
      <c r="H212" s="204"/>
      <c r="I212" s="322" t="str">
        <f t="shared" si="41"/>
        <v/>
      </c>
      <c r="J212" s="543"/>
      <c r="K212" s="524"/>
      <c r="L212" s="524"/>
      <c r="M212" s="524"/>
    </row>
    <row r="213" spans="1:13" customFormat="1" ht="12.75" hidden="1" outlineLevel="1" x14ac:dyDescent="0.2">
      <c r="A213" s="321" t="s">
        <v>648</v>
      </c>
      <c r="B213" s="207" t="s">
        <v>646</v>
      </c>
      <c r="C213" s="205">
        <f>IFERROR(VLOOKUP(A:A,'PPTO 2017'!A:E,3,0),0)</f>
        <v>710774.81323492026</v>
      </c>
      <c r="D213" s="205">
        <f>IFERROR(VLOOKUP(A:A,EJEC!A:G,5,0),0)</f>
        <v>361008.35</v>
      </c>
      <c r="E213" s="205">
        <f>+E29*0.02</f>
        <v>720668.92</v>
      </c>
      <c r="F213" s="322">
        <f t="shared" si="42"/>
        <v>1.0139201707500709</v>
      </c>
      <c r="G213" s="225">
        <f t="shared" si="39"/>
        <v>756702.36600000004</v>
      </c>
      <c r="H213" s="204"/>
      <c r="I213" s="322">
        <f t="shared" si="41"/>
        <v>5.0000000000000044E-2</v>
      </c>
      <c r="J213" s="543"/>
      <c r="K213" s="524"/>
      <c r="L213" s="524"/>
      <c r="M213" s="524"/>
    </row>
    <row r="214" spans="1:13" customFormat="1" ht="12.75" hidden="1" outlineLevel="1" x14ac:dyDescent="0.2">
      <c r="A214" s="321" t="s">
        <v>1461</v>
      </c>
      <c r="B214" s="207" t="s">
        <v>1462</v>
      </c>
      <c r="C214" s="205"/>
      <c r="D214" s="205"/>
      <c r="E214" s="205"/>
      <c r="F214" s="322"/>
      <c r="G214" s="225">
        <f>+G29*0.01</f>
        <v>382977.33159999998</v>
      </c>
      <c r="H214" s="204"/>
      <c r="I214" s="322"/>
      <c r="J214" s="543"/>
      <c r="K214" s="524"/>
      <c r="L214" s="524"/>
      <c r="M214" s="524"/>
    </row>
    <row r="215" spans="1:13" customFormat="1" ht="12.75" hidden="1" outlineLevel="1" x14ac:dyDescent="0.2">
      <c r="A215" s="177" t="s">
        <v>650</v>
      </c>
      <c r="B215" s="207" t="s">
        <v>649</v>
      </c>
      <c r="C215" s="205">
        <f>IFERROR(VLOOKUP(A:A,'PPTO 2017'!A:E,3,0),0)</f>
        <v>0</v>
      </c>
      <c r="D215" s="205">
        <f>IFERROR(VLOOKUP(A:A,EJEC!A:G,5,0),0)</f>
        <v>0</v>
      </c>
      <c r="E215" s="205">
        <f t="shared" si="49"/>
        <v>0</v>
      </c>
      <c r="F215" s="322" t="str">
        <f t="shared" si="42"/>
        <v/>
      </c>
      <c r="G215" s="225">
        <f t="shared" si="39"/>
        <v>0</v>
      </c>
      <c r="H215" s="204"/>
      <c r="I215" s="322" t="str">
        <f t="shared" si="41"/>
        <v/>
      </c>
      <c r="J215" s="543"/>
      <c r="K215" s="524"/>
      <c r="L215" s="524"/>
      <c r="M215" s="524"/>
    </row>
    <row r="216" spans="1:13" customFormat="1" ht="12.75" hidden="1" outlineLevel="1" x14ac:dyDescent="0.2">
      <c r="A216" s="177" t="s">
        <v>423</v>
      </c>
      <c r="B216" s="207" t="s">
        <v>424</v>
      </c>
      <c r="C216" s="205">
        <f>IFERROR(VLOOKUP(A:A,'PPTO 2017'!A:E,3,0),0)</f>
        <v>486806</v>
      </c>
      <c r="D216" s="205">
        <f>IFERROR(VLOOKUP(A:A,EJEC!A:G,5,0),0)</f>
        <v>241096.766</v>
      </c>
      <c r="E216" s="205">
        <v>522097</v>
      </c>
      <c r="F216" s="322">
        <f t="shared" si="42"/>
        <v>1.0724949980074199</v>
      </c>
      <c r="G216" s="225">
        <v>586202</v>
      </c>
      <c r="H216" s="204">
        <f t="shared" si="38"/>
        <v>0.12278369728230576</v>
      </c>
      <c r="I216" s="322">
        <f t="shared" si="41"/>
        <v>0.12278369728230576</v>
      </c>
      <c r="J216" s="543"/>
      <c r="K216" s="524"/>
      <c r="L216" s="524"/>
      <c r="M216" s="524"/>
    </row>
    <row r="217" spans="1:13" customFormat="1" ht="12.75" collapsed="1" x14ac:dyDescent="0.2">
      <c r="A217" s="177"/>
      <c r="B217" s="213" t="s">
        <v>113</v>
      </c>
      <c r="C217" s="214">
        <f>SUM(C180:C216)</f>
        <v>6461048.6272371421</v>
      </c>
      <c r="D217" s="214">
        <f>SUM(D180:D216)</f>
        <v>3264131.8859999999</v>
      </c>
      <c r="E217" s="214">
        <f>SUM(E180:E216)</f>
        <v>6547378.5010000002</v>
      </c>
      <c r="F217" s="541">
        <f t="shared" si="42"/>
        <v>1.0133615886125553</v>
      </c>
      <c r="G217" s="214">
        <f>SUM(G180:G216)</f>
        <v>7328696.8076500008</v>
      </c>
      <c r="H217" s="228">
        <f>(+G217/E217)-1</f>
        <v>0.11933299816570364</v>
      </c>
      <c r="I217" s="322">
        <f t="shared" si="41"/>
        <v>0.11933299816570364</v>
      </c>
      <c r="J217" s="543"/>
      <c r="K217" s="524"/>
      <c r="L217" s="524"/>
      <c r="M217" s="524"/>
    </row>
    <row r="218" spans="1:13" customFormat="1" ht="12.75" hidden="1" outlineLevel="1" x14ac:dyDescent="0.2">
      <c r="A218" s="177"/>
      <c r="B218" s="212" t="s">
        <v>114</v>
      </c>
      <c r="C218" s="205"/>
      <c r="D218" s="205"/>
      <c r="E218" s="205"/>
      <c r="F218" s="322" t="str">
        <f t="shared" si="42"/>
        <v/>
      </c>
      <c r="G218" s="208">
        <f t="shared" si="39"/>
        <v>0</v>
      </c>
      <c r="H218" s="204" t="s">
        <v>169</v>
      </c>
      <c r="I218" s="322" t="str">
        <f t="shared" si="41"/>
        <v/>
      </c>
      <c r="J218" s="543"/>
      <c r="K218" s="524"/>
      <c r="L218" s="524"/>
      <c r="M218" s="524"/>
    </row>
    <row r="219" spans="1:13" customFormat="1" ht="12.75" hidden="1" outlineLevel="1" x14ac:dyDescent="0.2">
      <c r="A219" s="177" t="s">
        <v>115</v>
      </c>
      <c r="B219" s="207" t="s">
        <v>116</v>
      </c>
      <c r="C219" s="205">
        <f>IFERROR(VLOOKUP(A:A,'PPTO 2017'!A:E,3,0),0)</f>
        <v>40820.22784</v>
      </c>
      <c r="D219" s="205">
        <f>IFERROR(VLOOKUP(A:A,EJEC!A:G,5,0),0)</f>
        <v>23707.215</v>
      </c>
      <c r="E219" s="205">
        <f t="shared" ref="E219:E240" si="50">+D219/8*12</f>
        <v>35560.822500000002</v>
      </c>
      <c r="F219" s="322">
        <f t="shared" si="42"/>
        <v>0.87115688426299587</v>
      </c>
      <c r="G219" s="225">
        <f t="shared" si="39"/>
        <v>37338.863625000005</v>
      </c>
      <c r="H219" s="204">
        <f t="shared" ref="H219:H240" si="51">(+G219/E219)-1</f>
        <v>5.0000000000000044E-2</v>
      </c>
      <c r="I219" s="322">
        <f t="shared" si="41"/>
        <v>5.0000000000000044E-2</v>
      </c>
      <c r="J219" s="543"/>
      <c r="K219" s="524"/>
      <c r="L219" s="524"/>
      <c r="M219" s="524"/>
    </row>
    <row r="220" spans="1:13" customFormat="1" ht="12.75" hidden="1" outlineLevel="1" x14ac:dyDescent="0.2">
      <c r="A220" s="177" t="s">
        <v>117</v>
      </c>
      <c r="B220" s="207" t="s">
        <v>118</v>
      </c>
      <c r="C220" s="205">
        <f>IFERROR(VLOOKUP(A:A,'PPTO 2017'!A:E,3,0),0)</f>
        <v>10561.752320000001</v>
      </c>
      <c r="D220" s="205">
        <f>IFERROR(VLOOKUP(A:A,EJEC!A:G,5,0),0)</f>
        <v>2890.105</v>
      </c>
      <c r="E220" s="205">
        <f t="shared" si="50"/>
        <v>4335.1575000000003</v>
      </c>
      <c r="F220" s="322">
        <f t="shared" si="42"/>
        <v>0.41045816722958334</v>
      </c>
      <c r="G220" s="225">
        <f t="shared" si="39"/>
        <v>4551.9153750000005</v>
      </c>
      <c r="H220" s="204">
        <f t="shared" si="51"/>
        <v>5.0000000000000044E-2</v>
      </c>
      <c r="I220" s="322">
        <f t="shared" si="41"/>
        <v>5.0000000000000044E-2</v>
      </c>
      <c r="J220" s="543"/>
      <c r="K220" s="524"/>
      <c r="L220" s="524"/>
      <c r="M220" s="524"/>
    </row>
    <row r="221" spans="1:13" customFormat="1" ht="12.75" hidden="1" outlineLevel="1" x14ac:dyDescent="0.2">
      <c r="A221" s="177" t="s">
        <v>119</v>
      </c>
      <c r="B221" s="207" t="s">
        <v>120</v>
      </c>
      <c r="C221" s="205">
        <f>IFERROR(VLOOKUP(A:A,'PPTO 2017'!A:E,3,0),0)</f>
        <v>56108.442880000002</v>
      </c>
      <c r="D221" s="205">
        <f>IFERROR(VLOOKUP(A:A,EJEC!A:G,5,0),0)</f>
        <v>35269.305999999997</v>
      </c>
      <c r="E221" s="205">
        <f t="shared" si="50"/>
        <v>52903.958999999995</v>
      </c>
      <c r="F221" s="322">
        <f t="shared" si="42"/>
        <v>0.94288767045534505</v>
      </c>
      <c r="G221" s="225">
        <f t="shared" si="39"/>
        <v>55549.156949999997</v>
      </c>
      <c r="H221" s="204">
        <f t="shared" si="51"/>
        <v>5.0000000000000044E-2</v>
      </c>
      <c r="I221" s="322">
        <f t="shared" si="41"/>
        <v>5.0000000000000044E-2</v>
      </c>
      <c r="J221" s="543"/>
      <c r="K221" s="524"/>
      <c r="L221" s="524"/>
      <c r="M221" s="524"/>
    </row>
    <row r="222" spans="1:13" customFormat="1" ht="12.75" hidden="1" outlineLevel="1" x14ac:dyDescent="0.2">
      <c r="A222" s="177" t="s">
        <v>121</v>
      </c>
      <c r="B222" s="207" t="s">
        <v>122</v>
      </c>
      <c r="C222" s="205">
        <f>IFERROR(VLOOKUP(A:A,'PPTO 2017'!A:E,3,0),0)</f>
        <v>31311.696640000002</v>
      </c>
      <c r="D222" s="205">
        <f>IFERROR(VLOOKUP(A:A,EJEC!A:G,5,0),0)</f>
        <v>15331.422</v>
      </c>
      <c r="E222" s="205">
        <f t="shared" si="50"/>
        <v>22997.133000000002</v>
      </c>
      <c r="F222" s="322">
        <f t="shared" si="42"/>
        <v>0.73445822065808053</v>
      </c>
      <c r="G222" s="225">
        <f t="shared" si="39"/>
        <v>24146.989650000003</v>
      </c>
      <c r="H222" s="204">
        <f t="shared" si="51"/>
        <v>5.0000000000000044E-2</v>
      </c>
      <c r="I222" s="322">
        <f t="shared" si="41"/>
        <v>5.0000000000000044E-2</v>
      </c>
      <c r="J222" s="543"/>
      <c r="K222" s="524"/>
      <c r="L222" s="524"/>
      <c r="M222" s="524"/>
    </row>
    <row r="223" spans="1:13" customFormat="1" ht="12.75" hidden="1" outlineLevel="1" x14ac:dyDescent="0.2">
      <c r="A223" s="177" t="s">
        <v>123</v>
      </c>
      <c r="B223" s="207" t="s">
        <v>124</v>
      </c>
      <c r="C223" s="205">
        <f>IFERROR(VLOOKUP(A:A,'PPTO 2017'!A:E,3,0),0)</f>
        <v>62931.124480000006</v>
      </c>
      <c r="D223" s="205">
        <f>IFERROR(VLOOKUP(A:A,EJEC!A:G,5,0),0)</f>
        <v>38204.235999999997</v>
      </c>
      <c r="E223" s="205">
        <f t="shared" si="50"/>
        <v>57306.353999999992</v>
      </c>
      <c r="F223" s="322">
        <f t="shared" si="42"/>
        <v>0.91062021334470822</v>
      </c>
      <c r="G223" s="225">
        <f t="shared" si="39"/>
        <v>60171.671699999992</v>
      </c>
      <c r="H223" s="204">
        <f t="shared" si="51"/>
        <v>5.0000000000000044E-2</v>
      </c>
      <c r="I223" s="322">
        <f t="shared" si="41"/>
        <v>5.0000000000000044E-2</v>
      </c>
      <c r="J223" s="543"/>
      <c r="K223" s="524"/>
      <c r="L223" s="524"/>
      <c r="M223" s="524"/>
    </row>
    <row r="224" spans="1:13" customFormat="1" ht="12.75" hidden="1" outlineLevel="1" x14ac:dyDescent="0.2">
      <c r="A224" s="177" t="s">
        <v>125</v>
      </c>
      <c r="B224" s="207" t="s">
        <v>126</v>
      </c>
      <c r="C224" s="205">
        <f>IFERROR(VLOOKUP(A:A,'PPTO 2017'!A:E,3,0),0)</f>
        <v>8458.5715200000013</v>
      </c>
      <c r="D224" s="205">
        <f>IFERROR(VLOOKUP(A:A,EJEC!A:G,5,0),0)</f>
        <v>7078.72</v>
      </c>
      <c r="E224" s="205">
        <f t="shared" si="50"/>
        <v>10618.08</v>
      </c>
      <c r="F224" s="322">
        <f t="shared" si="42"/>
        <v>1.2553041580240725</v>
      </c>
      <c r="G224" s="225">
        <f t="shared" si="39"/>
        <v>11148.984</v>
      </c>
      <c r="H224" s="204">
        <f t="shared" si="51"/>
        <v>5.0000000000000044E-2</v>
      </c>
      <c r="I224" s="322">
        <f t="shared" si="41"/>
        <v>5.0000000000000044E-2</v>
      </c>
      <c r="J224" s="543"/>
      <c r="K224" s="524"/>
      <c r="L224" s="524"/>
      <c r="M224" s="524"/>
    </row>
    <row r="225" spans="1:13" customFormat="1" ht="12.75" hidden="1" outlineLevel="1" x14ac:dyDescent="0.2">
      <c r="A225" s="177" t="s">
        <v>127</v>
      </c>
      <c r="B225" s="207" t="s">
        <v>128</v>
      </c>
      <c r="C225" s="205">
        <f>IFERROR(VLOOKUP(A:A,'PPTO 2017'!A:E,3,0),0)</f>
        <v>33446.295680000003</v>
      </c>
      <c r="D225" s="205">
        <f>IFERROR(VLOOKUP(A:A,EJEC!A:G,5,0),0)</f>
        <v>20276.12</v>
      </c>
      <c r="E225" s="205">
        <f t="shared" si="50"/>
        <v>30414.18</v>
      </c>
      <c r="F225" s="322">
        <f t="shared" si="42"/>
        <v>0.90934375187584293</v>
      </c>
      <c r="G225" s="225">
        <f t="shared" si="39"/>
        <v>31934.889000000003</v>
      </c>
      <c r="H225" s="204">
        <f t="shared" si="51"/>
        <v>5.0000000000000044E-2</v>
      </c>
      <c r="I225" s="322">
        <f t="shared" si="41"/>
        <v>5.0000000000000044E-2</v>
      </c>
      <c r="J225" s="543"/>
      <c r="K225" s="524"/>
      <c r="L225" s="524"/>
      <c r="M225" s="524"/>
    </row>
    <row r="226" spans="1:13" customFormat="1" ht="12.75" hidden="1" outlineLevel="1" x14ac:dyDescent="0.2">
      <c r="A226" s="177" t="s">
        <v>129</v>
      </c>
      <c r="B226" s="207" t="s">
        <v>130</v>
      </c>
      <c r="C226" s="205">
        <f>IFERROR(VLOOKUP(A:A,'PPTO 2017'!A:E,3,0),0)</f>
        <v>36517.676160000003</v>
      </c>
      <c r="D226" s="205">
        <f>IFERROR(VLOOKUP(A:A,EJEC!A:G,5,0),0)</f>
        <v>26271.719000000001</v>
      </c>
      <c r="E226" s="205">
        <f t="shared" si="50"/>
        <v>39407.578500000003</v>
      </c>
      <c r="F226" s="322">
        <f t="shared" si="42"/>
        <v>1.0791370821992634</v>
      </c>
      <c r="G226" s="225">
        <f t="shared" si="39"/>
        <v>41377.957425000008</v>
      </c>
      <c r="H226" s="204">
        <f t="shared" si="51"/>
        <v>5.0000000000000044E-2</v>
      </c>
      <c r="I226" s="322">
        <f t="shared" si="41"/>
        <v>5.0000000000000044E-2</v>
      </c>
      <c r="J226" s="543"/>
      <c r="K226" s="524"/>
      <c r="L226" s="524"/>
      <c r="M226" s="524"/>
    </row>
    <row r="227" spans="1:13" customFormat="1" ht="12.75" hidden="1" outlineLevel="1" x14ac:dyDescent="0.2">
      <c r="A227" s="177" t="s">
        <v>131</v>
      </c>
      <c r="B227" s="207" t="s">
        <v>132</v>
      </c>
      <c r="C227" s="205">
        <f>IFERROR(VLOOKUP(A:A,'PPTO 2017'!A:E,3,0),0)</f>
        <v>114947.16800000001</v>
      </c>
      <c r="D227" s="205">
        <f>IFERROR(VLOOKUP(A:A,EJEC!A:G,5,0),0)</f>
        <v>83051.017000000007</v>
      </c>
      <c r="E227" s="205">
        <f t="shared" si="50"/>
        <v>124576.52550000002</v>
      </c>
      <c r="F227" s="322">
        <f t="shared" si="42"/>
        <v>1.0837720290768713</v>
      </c>
      <c r="G227" s="225">
        <f t="shared" si="39"/>
        <v>130805.35177500002</v>
      </c>
      <c r="H227" s="204">
        <f t="shared" si="51"/>
        <v>5.0000000000000044E-2</v>
      </c>
      <c r="I227" s="322">
        <f t="shared" si="41"/>
        <v>5.0000000000000044E-2</v>
      </c>
      <c r="J227" s="543"/>
      <c r="K227" s="524"/>
      <c r="L227" s="524"/>
      <c r="M227" s="524"/>
    </row>
    <row r="228" spans="1:13" customFormat="1" ht="12.75" hidden="1" outlineLevel="1" x14ac:dyDescent="0.2">
      <c r="A228" s="177" t="s">
        <v>363</v>
      </c>
      <c r="B228" s="207" t="s">
        <v>364</v>
      </c>
      <c r="C228" s="205">
        <f>IFERROR(VLOOKUP(A:A,'PPTO 2017'!A:E,3,0),0)</f>
        <v>229861.91200000004</v>
      </c>
      <c r="D228" s="205">
        <f>IFERROR(VLOOKUP(A:A,EJEC!A:G,5,0),0)</f>
        <v>99005.644</v>
      </c>
      <c r="E228" s="205">
        <v>198508</v>
      </c>
      <c r="F228" s="322">
        <f t="shared" si="42"/>
        <v>0.86359674933879416</v>
      </c>
      <c r="G228" s="225">
        <f t="shared" si="39"/>
        <v>208433.40000000002</v>
      </c>
      <c r="H228" s="204">
        <f t="shared" si="51"/>
        <v>5.0000000000000044E-2</v>
      </c>
      <c r="I228" s="322">
        <f t="shared" si="41"/>
        <v>5.0000000000000044E-2</v>
      </c>
      <c r="J228" s="543"/>
      <c r="K228" s="524"/>
      <c r="L228" s="524"/>
      <c r="M228" s="524"/>
    </row>
    <row r="229" spans="1:13" customFormat="1" ht="12.75" hidden="1" outlineLevel="1" x14ac:dyDescent="0.2">
      <c r="A229" s="177" t="s">
        <v>365</v>
      </c>
      <c r="B229" s="207" t="s">
        <v>366</v>
      </c>
      <c r="C229" s="205">
        <f>IFERROR(VLOOKUP(A:A,'PPTO 2017'!A:E,3,0),0)</f>
        <v>1785.38976</v>
      </c>
      <c r="D229" s="205">
        <f>IFERROR(VLOOKUP(A:A,EJEC!A:G,5,0),0)</f>
        <v>4020.857</v>
      </c>
      <c r="E229" s="205">
        <f t="shared" si="50"/>
        <v>6031.2855</v>
      </c>
      <c r="F229" s="322">
        <f t="shared" si="42"/>
        <v>3.3781338031198298</v>
      </c>
      <c r="G229" s="225">
        <f t="shared" si="39"/>
        <v>6332.8497750000006</v>
      </c>
      <c r="H229" s="204">
        <f t="shared" si="51"/>
        <v>5.0000000000000044E-2</v>
      </c>
      <c r="I229" s="322">
        <f t="shared" si="41"/>
        <v>5.0000000000000044E-2</v>
      </c>
      <c r="J229" s="543"/>
      <c r="K229" s="524"/>
      <c r="L229" s="524"/>
      <c r="M229" s="524"/>
    </row>
    <row r="230" spans="1:13" customFormat="1" ht="12.75" hidden="1" outlineLevel="1" x14ac:dyDescent="0.2">
      <c r="A230" s="177" t="s">
        <v>367</v>
      </c>
      <c r="B230" s="207" t="s">
        <v>368</v>
      </c>
      <c r="C230" s="205">
        <f>IFERROR(VLOOKUP(A:A,'PPTO 2017'!A:E,3,0),0)</f>
        <v>42775.091520000009</v>
      </c>
      <c r="D230" s="205">
        <f>IFERROR(VLOOKUP(A:A,EJEC!A:G,5,0),0)</f>
        <v>13614.394</v>
      </c>
      <c r="E230" s="205">
        <f t="shared" si="50"/>
        <v>20421.591</v>
      </c>
      <c r="F230" s="322">
        <f t="shared" si="42"/>
        <v>0.47741782131434224</v>
      </c>
      <c r="G230" s="225">
        <f t="shared" si="39"/>
        <v>21442.670550000003</v>
      </c>
      <c r="H230" s="204">
        <f t="shared" si="51"/>
        <v>5.0000000000000044E-2</v>
      </c>
      <c r="I230" s="322">
        <f t="shared" si="41"/>
        <v>5.0000000000000044E-2</v>
      </c>
      <c r="J230" s="543"/>
      <c r="K230" s="524"/>
      <c r="L230" s="524"/>
      <c r="M230" s="524"/>
    </row>
    <row r="231" spans="1:13" customFormat="1" ht="12.75" hidden="1" outlineLevel="1" x14ac:dyDescent="0.2">
      <c r="A231" s="177" t="s">
        <v>133</v>
      </c>
      <c r="B231" s="207" t="s">
        <v>134</v>
      </c>
      <c r="C231" s="205">
        <f>IFERROR(VLOOKUP(A:A,'PPTO 2017'!A:E,3,0),0)</f>
        <v>13575.990400000001</v>
      </c>
      <c r="D231" s="205">
        <f>IFERROR(VLOOKUP(A:A,EJEC!A:G,5,0),0)</f>
        <v>6447.4309999999996</v>
      </c>
      <c r="E231" s="205">
        <f t="shared" si="50"/>
        <v>9671.1464999999989</v>
      </c>
      <c r="F231" s="322">
        <f t="shared" si="42"/>
        <v>0.71237134198327057</v>
      </c>
      <c r="G231" s="225">
        <f t="shared" si="39"/>
        <v>10154.703824999999</v>
      </c>
      <c r="H231" s="204">
        <f t="shared" si="51"/>
        <v>5.0000000000000044E-2</v>
      </c>
      <c r="I231" s="322">
        <f t="shared" si="41"/>
        <v>5.0000000000000044E-2</v>
      </c>
      <c r="J231" s="543"/>
      <c r="K231" s="524"/>
      <c r="L231" s="524"/>
      <c r="M231" s="524"/>
    </row>
    <row r="232" spans="1:13" customFormat="1" ht="12.75" hidden="1" outlineLevel="1" x14ac:dyDescent="0.2">
      <c r="A232" s="177" t="s">
        <v>135</v>
      </c>
      <c r="B232" s="207" t="s">
        <v>136</v>
      </c>
      <c r="C232" s="205">
        <f>IFERROR(VLOOKUP(A:A,'PPTO 2017'!A:E,3,0),0)</f>
        <v>2914240.0000000005</v>
      </c>
      <c r="D232" s="205">
        <f>IFERROR(VLOOKUP(A:A,EJEC!A:G,5,0),0)</f>
        <v>1792475.8</v>
      </c>
      <c r="E232" s="205">
        <v>2888714</v>
      </c>
      <c r="F232" s="322">
        <f t="shared" si="42"/>
        <v>0.99124094103436899</v>
      </c>
      <c r="G232" s="225">
        <f t="shared" si="39"/>
        <v>3033149.7</v>
      </c>
      <c r="H232" s="204">
        <f t="shared" si="51"/>
        <v>5.0000000000000044E-2</v>
      </c>
      <c r="I232" s="322">
        <f t="shared" si="41"/>
        <v>5.0000000000000044E-2</v>
      </c>
      <c r="J232" s="543"/>
      <c r="K232" s="524"/>
      <c r="L232" s="524"/>
      <c r="M232" s="524"/>
    </row>
    <row r="233" spans="1:13" customFormat="1" ht="12.75" hidden="1" outlineLevel="1" x14ac:dyDescent="0.2">
      <c r="A233" s="177" t="s">
        <v>137</v>
      </c>
      <c r="B233" s="207" t="s">
        <v>138</v>
      </c>
      <c r="C233" s="205">
        <f>IFERROR(VLOOKUP(A:A,'PPTO 2017'!A:E,3,0),0)</f>
        <v>62438.508160000005</v>
      </c>
      <c r="D233" s="205">
        <f>IFERROR(VLOOKUP(A:A,EJEC!A:G,5,0),0)</f>
        <v>35970.919000000002</v>
      </c>
      <c r="E233" s="205">
        <v>62956</v>
      </c>
      <c r="F233" s="322">
        <f t="shared" si="42"/>
        <v>1.0082880237733085</v>
      </c>
      <c r="G233" s="225">
        <f t="shared" si="39"/>
        <v>66103.8</v>
      </c>
      <c r="H233" s="204">
        <f t="shared" si="51"/>
        <v>5.0000000000000044E-2</v>
      </c>
      <c r="I233" s="322">
        <f t="shared" si="41"/>
        <v>5.0000000000000044E-2</v>
      </c>
      <c r="J233" s="543"/>
      <c r="K233" s="524"/>
      <c r="L233" s="524"/>
      <c r="M233" s="524"/>
    </row>
    <row r="234" spans="1:13" customFormat="1" ht="12.75" hidden="1" outlineLevel="1" x14ac:dyDescent="0.2">
      <c r="A234" s="177" t="s">
        <v>139</v>
      </c>
      <c r="B234" s="207" t="s">
        <v>140</v>
      </c>
      <c r="C234" s="205">
        <f>IFERROR(VLOOKUP(A:A,'PPTO 2017'!A:E,3,0),0)</f>
        <v>133460.58432000002</v>
      </c>
      <c r="D234" s="205">
        <f>IFERROR(VLOOKUP(A:A,EJEC!A:G,5,0),0)</f>
        <v>86833.89</v>
      </c>
      <c r="E234" s="205">
        <f t="shared" si="50"/>
        <v>130250.83499999999</v>
      </c>
      <c r="F234" s="322">
        <f t="shared" si="42"/>
        <v>0.97594983315595274</v>
      </c>
      <c r="G234" s="225">
        <f t="shared" si="39"/>
        <v>136763.37675</v>
      </c>
      <c r="H234" s="204">
        <f t="shared" si="51"/>
        <v>5.0000000000000044E-2</v>
      </c>
      <c r="I234" s="322">
        <f t="shared" si="41"/>
        <v>5.0000000000000044E-2</v>
      </c>
      <c r="J234" s="543"/>
      <c r="K234" s="524"/>
      <c r="L234" s="524"/>
      <c r="M234" s="524"/>
    </row>
    <row r="235" spans="1:13" customFormat="1" ht="12.75" hidden="1" outlineLevel="1" x14ac:dyDescent="0.2">
      <c r="A235" s="177" t="s">
        <v>141</v>
      </c>
      <c r="B235" s="207" t="s">
        <v>142</v>
      </c>
      <c r="C235" s="205">
        <f>IFERROR(VLOOKUP(A:A,'PPTO 2017'!A:E,3,0),0)</f>
        <v>87560.641280000011</v>
      </c>
      <c r="D235" s="205">
        <f>IFERROR(VLOOKUP(A:A,EJEC!A:G,5,0),0)</f>
        <v>49027.036999999997</v>
      </c>
      <c r="E235" s="205">
        <f t="shared" si="50"/>
        <v>73540.555499999988</v>
      </c>
      <c r="F235" s="322">
        <f t="shared" si="42"/>
        <v>0.83988141732348875</v>
      </c>
      <c r="G235" s="225">
        <f t="shared" si="39"/>
        <v>77217.583274999997</v>
      </c>
      <c r="H235" s="204">
        <f t="shared" si="51"/>
        <v>5.0000000000000044E-2</v>
      </c>
      <c r="I235" s="322">
        <f t="shared" si="41"/>
        <v>5.0000000000000044E-2</v>
      </c>
      <c r="J235" s="543"/>
      <c r="K235" s="524"/>
      <c r="L235" s="524"/>
      <c r="M235" s="524"/>
    </row>
    <row r="236" spans="1:13" customFormat="1" ht="12.75" hidden="1" outlineLevel="1" x14ac:dyDescent="0.2">
      <c r="A236" s="177" t="s">
        <v>143</v>
      </c>
      <c r="B236" s="207" t="s">
        <v>144</v>
      </c>
      <c r="C236" s="205">
        <f>IFERROR(VLOOKUP(A:A,'PPTO 2017'!A:E,3,0),0)</f>
        <v>49.212800000000001</v>
      </c>
      <c r="D236" s="205">
        <f>IFERROR(VLOOKUP(A:A,EJEC!A:G,5,0),0)</f>
        <v>36.404000000000003</v>
      </c>
      <c r="E236" s="205">
        <f t="shared" si="50"/>
        <v>54.606000000000009</v>
      </c>
      <c r="F236" s="322">
        <f t="shared" si="42"/>
        <v>1.1095893751219197</v>
      </c>
      <c r="G236" s="225">
        <f t="shared" si="39"/>
        <v>57.336300000000008</v>
      </c>
      <c r="H236" s="204">
        <f t="shared" si="51"/>
        <v>5.0000000000000044E-2</v>
      </c>
      <c r="I236" s="322">
        <f t="shared" si="41"/>
        <v>5.0000000000000044E-2</v>
      </c>
      <c r="J236" s="543"/>
      <c r="K236" s="524"/>
      <c r="L236" s="524"/>
      <c r="M236" s="524"/>
    </row>
    <row r="237" spans="1:13" customFormat="1" ht="12.75" hidden="1" outlineLevel="1" x14ac:dyDescent="0.2">
      <c r="A237" s="177" t="s">
        <v>145</v>
      </c>
      <c r="B237" s="207" t="s">
        <v>146</v>
      </c>
      <c r="C237" s="205">
        <f>IFERROR(VLOOKUP(A:A,'PPTO 2017'!A:E,3,0),0)</f>
        <v>26125.128960000005</v>
      </c>
      <c r="D237" s="205">
        <f>IFERROR(VLOOKUP(A:A,EJEC!A:G,5,0),0)</f>
        <v>64471.762999999999</v>
      </c>
      <c r="E237" s="205">
        <f t="shared" si="50"/>
        <v>96707.644499999995</v>
      </c>
      <c r="F237" s="322">
        <f t="shared" si="42"/>
        <v>3.7017097465076008</v>
      </c>
      <c r="G237" s="225">
        <f t="shared" si="39"/>
        <v>101543.026725</v>
      </c>
      <c r="H237" s="204">
        <f t="shared" si="51"/>
        <v>5.0000000000000044E-2</v>
      </c>
      <c r="I237" s="322">
        <f t="shared" si="41"/>
        <v>5.0000000000000044E-2</v>
      </c>
      <c r="J237" s="543"/>
      <c r="K237" s="524"/>
      <c r="L237" s="524"/>
      <c r="M237" s="524"/>
    </row>
    <row r="238" spans="1:13" customFormat="1" ht="12.75" hidden="1" outlineLevel="1" x14ac:dyDescent="0.2">
      <c r="A238" s="177" t="s">
        <v>369</v>
      </c>
      <c r="B238" s="207" t="s">
        <v>370</v>
      </c>
      <c r="C238" s="205">
        <f>IFERROR(VLOOKUP(A:A,'PPTO 2017'!A:E,3,0),0)</f>
        <v>1984.0620800000002</v>
      </c>
      <c r="D238" s="205">
        <f>IFERROR(VLOOKUP(A:A,EJEC!A:G,5,0),0)</f>
        <v>1280.588</v>
      </c>
      <c r="E238" s="205">
        <f t="shared" si="50"/>
        <v>1920.8820000000001</v>
      </c>
      <c r="F238" s="322">
        <f t="shared" si="42"/>
        <v>0.96815619801573949</v>
      </c>
      <c r="G238" s="225">
        <f t="shared" si="39"/>
        <v>2016.9261000000001</v>
      </c>
      <c r="H238" s="204">
        <f t="shared" si="51"/>
        <v>5.0000000000000044E-2</v>
      </c>
      <c r="I238" s="322">
        <f t="shared" si="41"/>
        <v>5.0000000000000044E-2</v>
      </c>
      <c r="J238" s="543"/>
      <c r="K238" s="524"/>
      <c r="L238" s="524"/>
      <c r="M238" s="524"/>
    </row>
    <row r="239" spans="1:13" customFormat="1" ht="12.75" hidden="1" outlineLevel="1" x14ac:dyDescent="0.2">
      <c r="A239" s="177" t="s">
        <v>147</v>
      </c>
      <c r="B239" s="207" t="s">
        <v>148</v>
      </c>
      <c r="C239" s="205">
        <f>IFERROR(VLOOKUP(A:A,'PPTO 2017'!A:E,3,0),0)</f>
        <v>80071.02208000001</v>
      </c>
      <c r="D239" s="205">
        <f>IFERROR(VLOOKUP(A:A,EJEC!A:G,5,0),0)</f>
        <v>47061.616000000002</v>
      </c>
      <c r="E239" s="205">
        <f t="shared" si="50"/>
        <v>70592.423999999999</v>
      </c>
      <c r="F239" s="322">
        <f t="shared" si="42"/>
        <v>0.88162261659992525</v>
      </c>
      <c r="G239" s="225">
        <f t="shared" si="39"/>
        <v>74122.045200000008</v>
      </c>
      <c r="H239" s="204">
        <f t="shared" si="51"/>
        <v>5.0000000000000044E-2</v>
      </c>
      <c r="I239" s="322">
        <f t="shared" si="41"/>
        <v>5.0000000000000044E-2</v>
      </c>
      <c r="J239" s="543"/>
      <c r="K239" s="524"/>
      <c r="L239" s="524"/>
      <c r="M239" s="524"/>
    </row>
    <row r="240" spans="1:13" customFormat="1" ht="12.75" hidden="1" outlineLevel="1" x14ac:dyDescent="0.2">
      <c r="A240" s="177" t="s">
        <v>149</v>
      </c>
      <c r="B240" s="207" t="s">
        <v>150</v>
      </c>
      <c r="C240" s="205">
        <f>IFERROR(VLOOKUP(A:A,'PPTO 2017'!A:E,3,0),0)</f>
        <v>45178.654080000008</v>
      </c>
      <c r="D240" s="205">
        <f>IFERROR(VLOOKUP(A:A,EJEC!A:G,5,0),0)</f>
        <v>27131.948</v>
      </c>
      <c r="E240" s="205">
        <f t="shared" si="50"/>
        <v>40697.921999999999</v>
      </c>
      <c r="F240" s="322">
        <f t="shared" si="42"/>
        <v>0.90082192196195654</v>
      </c>
      <c r="G240" s="225">
        <f t="shared" si="39"/>
        <v>42732.818099999997</v>
      </c>
      <c r="H240" s="204">
        <f t="shared" si="51"/>
        <v>5.0000000000000044E-2</v>
      </c>
      <c r="I240" s="322">
        <f t="shared" si="41"/>
        <v>5.0000000000000044E-2</v>
      </c>
      <c r="J240" s="543"/>
      <c r="K240" s="524"/>
      <c r="L240" s="524"/>
      <c r="M240" s="524"/>
    </row>
    <row r="241" spans="1:13" customFormat="1" ht="12.75" collapsed="1" x14ac:dyDescent="0.2">
      <c r="A241" s="3"/>
      <c r="B241" s="215" t="s">
        <v>151</v>
      </c>
      <c r="C241" s="214">
        <f>SUM(C219:C240)</f>
        <v>4034209.1529600006</v>
      </c>
      <c r="D241" s="214">
        <f>SUM(D219:D240)</f>
        <v>2479458.1510000001</v>
      </c>
      <c r="E241" s="214">
        <f>SUM(E219:E240)</f>
        <v>3978186.682</v>
      </c>
      <c r="F241" s="541">
        <f t="shared" si="42"/>
        <v>0.9861131466327433</v>
      </c>
      <c r="G241" s="214">
        <f>SUM(G219:G240)</f>
        <v>4177096.0161000001</v>
      </c>
      <c r="H241" s="228">
        <f>(+G241/E241)-1</f>
        <v>5.0000000000000044E-2</v>
      </c>
      <c r="I241" s="322">
        <f t="shared" si="41"/>
        <v>5.0000000000000044E-2</v>
      </c>
      <c r="J241" s="543"/>
      <c r="K241" s="524"/>
      <c r="L241" s="524"/>
      <c r="M241" s="524"/>
    </row>
    <row r="242" spans="1:13" customFormat="1" ht="12.75" x14ac:dyDescent="0.2">
      <c r="A242" s="1"/>
      <c r="B242" s="216" t="s">
        <v>371</v>
      </c>
      <c r="C242" s="210">
        <f>+C217+C241</f>
        <v>10495257.780197144</v>
      </c>
      <c r="D242" s="210">
        <f>+D217+D241</f>
        <v>5743590.0370000005</v>
      </c>
      <c r="E242" s="210">
        <f>+E217+E241</f>
        <v>10525565.183</v>
      </c>
      <c r="F242" s="926">
        <f t="shared" si="42"/>
        <v>1.0028877235259568</v>
      </c>
      <c r="G242" s="210">
        <f>+G217+G241</f>
        <v>11505792.82375</v>
      </c>
      <c r="H242" s="211">
        <f>(+G242/E242)-1</f>
        <v>9.3128266625832179E-2</v>
      </c>
      <c r="I242" s="322">
        <f t="shared" si="41"/>
        <v>9.3128266625832179E-2</v>
      </c>
      <c r="J242" s="543"/>
      <c r="K242" s="524"/>
      <c r="L242" s="524"/>
      <c r="M242" s="524"/>
    </row>
    <row r="243" spans="1:13" customFormat="1" ht="12.75" x14ac:dyDescent="0.2">
      <c r="A243" s="178"/>
      <c r="B243" s="209" t="s">
        <v>372</v>
      </c>
      <c r="C243" s="210">
        <f>+C177+C242</f>
        <v>29419359.291414779</v>
      </c>
      <c r="D243" s="210">
        <f>+D177+D242</f>
        <v>18805462.648999996</v>
      </c>
      <c r="E243" s="210">
        <f>+E177+E242</f>
        <v>30477847.957999997</v>
      </c>
      <c r="F243" s="927">
        <f t="shared" si="42"/>
        <v>1.0359793242300184</v>
      </c>
      <c r="G243" s="210">
        <f>+G177+G242</f>
        <v>32779075.552995484</v>
      </c>
      <c r="H243" s="211">
        <f>(+G243/E243)-1</f>
        <v>7.5504924040788346E-2</v>
      </c>
      <c r="I243" s="322">
        <f t="shared" si="41"/>
        <v>7.5504924040788346E-2</v>
      </c>
      <c r="J243" s="543"/>
      <c r="K243" s="524"/>
      <c r="L243" s="524"/>
      <c r="M243" s="524"/>
    </row>
    <row r="244" spans="1:13" customFormat="1" ht="12.75" x14ac:dyDescent="0.2">
      <c r="A244" s="176"/>
      <c r="B244" s="209" t="s">
        <v>373</v>
      </c>
      <c r="C244" s="210">
        <f>+C29-C243</f>
        <v>6119381.3703312315</v>
      </c>
      <c r="D244" s="210">
        <f>+D29-D243</f>
        <v>5295815.2540000044</v>
      </c>
      <c r="E244" s="210">
        <f>+E29-E243</f>
        <v>5555598.0420000032</v>
      </c>
      <c r="F244" s="926">
        <f t="shared" si="42"/>
        <v>0.90786922824182281</v>
      </c>
      <c r="G244" s="210">
        <f>+G29-G243</f>
        <v>5518657.6070045121</v>
      </c>
      <c r="H244" s="211">
        <f>(+G244/E244)-1</f>
        <v>-6.64922744882257E-3</v>
      </c>
      <c r="I244" s="322">
        <f t="shared" si="41"/>
        <v>-6.64922744882257E-3</v>
      </c>
      <c r="J244" s="543"/>
      <c r="K244" s="524"/>
      <c r="L244" s="524"/>
      <c r="M244" s="524"/>
    </row>
    <row r="245" spans="1:13" customFormat="1" ht="12.75" hidden="1" outlineLevel="1" x14ac:dyDescent="0.2">
      <c r="A245" s="176"/>
      <c r="B245" s="212" t="s">
        <v>374</v>
      </c>
      <c r="C245" s="205"/>
      <c r="D245" s="205"/>
      <c r="E245" s="205"/>
      <c r="F245" s="322" t="str">
        <f t="shared" si="42"/>
        <v/>
      </c>
      <c r="G245" s="208" t="s">
        <v>169</v>
      </c>
      <c r="H245" s="204" t="s">
        <v>169</v>
      </c>
      <c r="I245" s="322" t="str">
        <f t="shared" si="41"/>
        <v/>
      </c>
      <c r="J245" s="543"/>
      <c r="K245" s="524"/>
      <c r="L245" s="524"/>
      <c r="M245" s="524"/>
    </row>
    <row r="246" spans="1:13" customFormat="1" ht="12.75" hidden="1" outlineLevel="1" x14ac:dyDescent="0.2">
      <c r="A246" s="176"/>
      <c r="B246" s="212" t="s">
        <v>518</v>
      </c>
      <c r="C246" s="205"/>
      <c r="D246" s="205"/>
      <c r="E246" s="205"/>
      <c r="F246" s="322" t="str">
        <f t="shared" si="42"/>
        <v/>
      </c>
      <c r="G246" s="208"/>
      <c r="H246" s="204"/>
      <c r="I246" s="322" t="str">
        <f t="shared" si="41"/>
        <v/>
      </c>
      <c r="J246" s="543"/>
      <c r="K246" s="524"/>
      <c r="L246" s="524"/>
      <c r="M246" s="524"/>
    </row>
    <row r="247" spans="1:13" customFormat="1" ht="12.75" hidden="1" outlineLevel="1" x14ac:dyDescent="0.2">
      <c r="A247" s="176">
        <v>4210050500</v>
      </c>
      <c r="B247" s="207" t="s">
        <v>14</v>
      </c>
      <c r="C247" s="205">
        <f>IFERROR(VLOOKUP(A:A,'PPTO 2017'!A:E,3,0),0)</f>
        <v>0</v>
      </c>
      <c r="D247" s="205">
        <f>IFERROR(VLOOKUP(A:A,EJEC!A:G,5,0),0)</f>
        <v>0</v>
      </c>
      <c r="E247" s="205">
        <v>0</v>
      </c>
      <c r="F247" s="322" t="str">
        <f t="shared" si="42"/>
        <v/>
      </c>
      <c r="G247" s="225">
        <f>+E247*$N$2</f>
        <v>0</v>
      </c>
      <c r="H247" s="204" t="e">
        <f t="shared" ref="H247:H296" si="52">(+G247/E247)-1</f>
        <v>#DIV/0!</v>
      </c>
      <c r="I247" s="322" t="str">
        <f t="shared" si="41"/>
        <v/>
      </c>
      <c r="J247" s="543"/>
      <c r="K247" s="524"/>
      <c r="L247" s="524"/>
      <c r="M247" s="524"/>
    </row>
    <row r="248" spans="1:13" customFormat="1" ht="12.75" hidden="1" outlineLevel="1" x14ac:dyDescent="0.2">
      <c r="A248" s="176">
        <v>4210050601</v>
      </c>
      <c r="B248" s="207" t="s">
        <v>375</v>
      </c>
      <c r="C248" s="205">
        <f>IFERROR(VLOOKUP(A:A,'PPTO 2017'!A:E,3,0),0)</f>
        <v>0</v>
      </c>
      <c r="D248" s="205">
        <f>IFERROR(VLOOKUP(A:A,EJEC!A:G,5,0),0)</f>
        <v>0</v>
      </c>
      <c r="E248" s="205">
        <v>0</v>
      </c>
      <c r="F248" s="322" t="str">
        <f t="shared" si="42"/>
        <v/>
      </c>
      <c r="G248" s="225">
        <f t="shared" ref="G248:G296" si="53">+E248*$N$2</f>
        <v>0</v>
      </c>
      <c r="H248" s="204" t="e">
        <f t="shared" si="52"/>
        <v>#DIV/0!</v>
      </c>
      <c r="I248" s="322" t="str">
        <f t="shared" si="41"/>
        <v/>
      </c>
      <c r="J248" s="543"/>
      <c r="K248" s="524"/>
      <c r="L248" s="524"/>
      <c r="M248" s="524"/>
    </row>
    <row r="249" spans="1:13" customFormat="1" ht="12.75" hidden="1" outlineLevel="1" x14ac:dyDescent="0.2">
      <c r="A249" s="176">
        <v>4210050602</v>
      </c>
      <c r="B249" s="207" t="s">
        <v>376</v>
      </c>
      <c r="C249" s="205">
        <f>IFERROR(VLOOKUP(A:A,'PPTO 2017'!A:E,3,0),0)</f>
        <v>0</v>
      </c>
      <c r="D249" s="205">
        <f>IFERROR(VLOOKUP(A:A,EJEC!A:G,5,0),0)</f>
        <v>0</v>
      </c>
      <c r="E249" s="205">
        <v>0</v>
      </c>
      <c r="F249" s="322" t="str">
        <f t="shared" si="42"/>
        <v/>
      </c>
      <c r="G249" s="225">
        <f t="shared" si="53"/>
        <v>0</v>
      </c>
      <c r="H249" s="204" t="e">
        <f t="shared" si="52"/>
        <v>#DIV/0!</v>
      </c>
      <c r="I249" s="322" t="str">
        <f t="shared" si="41"/>
        <v/>
      </c>
      <c r="J249" s="543"/>
      <c r="K249" s="524"/>
      <c r="L249" s="524"/>
      <c r="M249" s="524"/>
    </row>
    <row r="250" spans="1:13" customFormat="1" ht="12.75" hidden="1" outlineLevel="1" x14ac:dyDescent="0.2">
      <c r="A250" s="610">
        <v>4210050608</v>
      </c>
      <c r="B250" s="207" t="s">
        <v>753</v>
      </c>
      <c r="C250" s="205">
        <f>IFERROR(VLOOKUP(A:A,'PPTO 2017'!A:E,3,0),0)</f>
        <v>0</v>
      </c>
      <c r="D250" s="205">
        <f>IFERROR(VLOOKUP(A:A,EJEC!A:G,5,0),0)</f>
        <v>0</v>
      </c>
      <c r="E250" s="205">
        <v>0</v>
      </c>
      <c r="F250" s="322" t="str">
        <f>IF(E250=0,"",IF(C250=0,"",(E250/C250)))</f>
        <v/>
      </c>
      <c r="G250" s="225">
        <f t="shared" si="53"/>
        <v>0</v>
      </c>
      <c r="H250" s="204" t="e">
        <f>(+G250/E250)-1</f>
        <v>#DIV/0!</v>
      </c>
      <c r="I250" s="322" t="str">
        <f>IF(G250=0,"",IF(E250=0,"",(G250/E250)-1))</f>
        <v/>
      </c>
      <c r="J250" s="543"/>
      <c r="K250" s="524"/>
      <c r="L250" s="524"/>
      <c r="M250" s="524"/>
    </row>
    <row r="251" spans="1:13" customFormat="1" ht="12.75" hidden="1" outlineLevel="1" x14ac:dyDescent="0.2">
      <c r="A251" s="176">
        <v>4210050603</v>
      </c>
      <c r="B251" s="207" t="s">
        <v>377</v>
      </c>
      <c r="C251" s="205">
        <f>IFERROR(VLOOKUP(A:A,'PPTO 2017'!A:E,3,0),0)</f>
        <v>0</v>
      </c>
      <c r="D251" s="205">
        <f>IFERROR(VLOOKUP(A:A,EJEC!A:G,5,0),0)</f>
        <v>0</v>
      </c>
      <c r="E251" s="205">
        <v>0</v>
      </c>
      <c r="F251" s="322" t="str">
        <f t="shared" si="42"/>
        <v/>
      </c>
      <c r="G251" s="225">
        <f t="shared" si="53"/>
        <v>0</v>
      </c>
      <c r="H251" s="204" t="e">
        <f t="shared" si="52"/>
        <v>#DIV/0!</v>
      </c>
      <c r="I251" s="322" t="str">
        <f t="shared" si="41"/>
        <v/>
      </c>
      <c r="J251" s="543"/>
      <c r="K251" s="524"/>
      <c r="L251" s="524"/>
      <c r="M251" s="524"/>
    </row>
    <row r="252" spans="1:13" customFormat="1" ht="12.75" hidden="1" outlineLevel="1" x14ac:dyDescent="0.2">
      <c r="A252" s="610">
        <v>4210050606</v>
      </c>
      <c r="B252" s="317" t="s">
        <v>754</v>
      </c>
      <c r="C252" s="205">
        <f>IFERROR(VLOOKUP(A:A,'PPTO 2017'!A:E,3,0),0)</f>
        <v>0</v>
      </c>
      <c r="D252" s="205">
        <f>IFERROR(VLOOKUP(A:A,EJEC!A:G,5,0),0)</f>
        <v>0</v>
      </c>
      <c r="E252" s="205">
        <v>0</v>
      </c>
      <c r="F252" s="322" t="str">
        <f>IF(E252=0,"",IF(C252=0,"",(E252/C252)))</f>
        <v/>
      </c>
      <c r="G252" s="225">
        <f t="shared" si="53"/>
        <v>0</v>
      </c>
      <c r="H252" s="204" t="e">
        <f>(+G252/E252)-1</f>
        <v>#DIV/0!</v>
      </c>
      <c r="I252" s="322" t="str">
        <f>IF(G252=0,"",IF(E252=0,"",(G252/E252)-1))</f>
        <v/>
      </c>
      <c r="J252" s="543"/>
      <c r="K252" s="524"/>
      <c r="L252" s="524"/>
      <c r="M252" s="524"/>
    </row>
    <row r="253" spans="1:13" customFormat="1" ht="12.75" hidden="1" outlineLevel="1" x14ac:dyDescent="0.2">
      <c r="A253" s="176">
        <v>4210200000</v>
      </c>
      <c r="B253" s="207" t="s">
        <v>15</v>
      </c>
      <c r="C253" s="205">
        <f>IFERROR(VLOOKUP(A:A,'PPTO 2017'!A:E,3,0),0)</f>
        <v>0</v>
      </c>
      <c r="D253" s="205">
        <f>IFERROR(VLOOKUP(A:A,EJEC!A:G,5,0),0)</f>
        <v>0</v>
      </c>
      <c r="E253" s="205">
        <v>0</v>
      </c>
      <c r="F253" s="322" t="str">
        <f t="shared" si="42"/>
        <v/>
      </c>
      <c r="G253" s="225">
        <f t="shared" si="53"/>
        <v>0</v>
      </c>
      <c r="H253" s="204" t="e">
        <f t="shared" si="52"/>
        <v>#DIV/0!</v>
      </c>
      <c r="I253" s="322" t="str">
        <f t="shared" si="41"/>
        <v/>
      </c>
      <c r="J253" s="543"/>
      <c r="K253" s="524"/>
      <c r="L253" s="524"/>
      <c r="M253" s="524"/>
    </row>
    <row r="254" spans="1:13" customFormat="1" ht="12.75" hidden="1" outlineLevel="1" x14ac:dyDescent="0.2">
      <c r="A254" s="176">
        <v>4210400000</v>
      </c>
      <c r="B254" s="207" t="s">
        <v>428</v>
      </c>
      <c r="C254" s="205">
        <f>IFERROR(VLOOKUP(A:A,'PPTO 2017'!A:E,3,0),0)</f>
        <v>0</v>
      </c>
      <c r="D254" s="205">
        <f>IFERROR(VLOOKUP(A:A,EJEC!A:G,5,0),0)</f>
        <v>0</v>
      </c>
      <c r="E254" s="205">
        <v>0</v>
      </c>
      <c r="F254" s="322" t="str">
        <f t="shared" si="42"/>
        <v/>
      </c>
      <c r="G254" s="225">
        <f t="shared" si="53"/>
        <v>0</v>
      </c>
      <c r="H254" s="204" t="e">
        <f t="shared" si="52"/>
        <v>#DIV/0!</v>
      </c>
      <c r="I254" s="322" t="str">
        <f t="shared" si="41"/>
        <v/>
      </c>
      <c r="J254" s="543"/>
      <c r="K254" s="524"/>
      <c r="L254" s="524"/>
      <c r="M254" s="524"/>
    </row>
    <row r="255" spans="1:13" customFormat="1" ht="12.75" hidden="1" outlineLevel="1" x14ac:dyDescent="0.2">
      <c r="A255" s="176">
        <v>4210600000</v>
      </c>
      <c r="B255" s="207" t="s">
        <v>16</v>
      </c>
      <c r="C255" s="205">
        <f>IFERROR(VLOOKUP(A:A,'PPTO 2017'!A:E,3,0),0)</f>
        <v>0</v>
      </c>
      <c r="D255" s="205">
        <f>IFERROR(VLOOKUP(A:A,EJEC!A:G,5,0),0)</f>
        <v>0</v>
      </c>
      <c r="E255" s="205">
        <v>0</v>
      </c>
      <c r="F255" s="322" t="str">
        <f t="shared" si="42"/>
        <v/>
      </c>
      <c r="G255" s="225">
        <f t="shared" si="53"/>
        <v>0</v>
      </c>
      <c r="H255" s="204" t="e">
        <f t="shared" si="52"/>
        <v>#DIV/0!</v>
      </c>
      <c r="I255" s="322" t="str">
        <f t="shared" si="41"/>
        <v/>
      </c>
      <c r="J255" s="543"/>
      <c r="K255" s="524"/>
      <c r="L255" s="524"/>
      <c r="M255" s="524"/>
    </row>
    <row r="256" spans="1:13" customFormat="1" ht="12.75" hidden="1" outlineLevel="1" x14ac:dyDescent="0.2">
      <c r="A256" s="176">
        <v>4210950200</v>
      </c>
      <c r="B256" s="207" t="s">
        <v>17</v>
      </c>
      <c r="C256" s="205">
        <f>IFERROR(VLOOKUP(A:A,'PPTO 2017'!A:E,3,0),0)</f>
        <v>0</v>
      </c>
      <c r="D256" s="205">
        <f>IFERROR(VLOOKUP(A:A,EJEC!A:G,5,0),0)</f>
        <v>57.006</v>
      </c>
      <c r="E256" s="205">
        <v>0</v>
      </c>
      <c r="F256" s="322" t="str">
        <f t="shared" si="42"/>
        <v/>
      </c>
      <c r="G256" s="225">
        <f t="shared" si="53"/>
        <v>0</v>
      </c>
      <c r="H256" s="204" t="e">
        <f t="shared" si="52"/>
        <v>#DIV/0!</v>
      </c>
      <c r="I256" s="322" t="str">
        <f t="shared" si="41"/>
        <v/>
      </c>
      <c r="J256" s="543"/>
      <c r="K256" s="524"/>
      <c r="L256" s="524"/>
      <c r="M256" s="524"/>
    </row>
    <row r="257" spans="1:13" customFormat="1" ht="12.75" hidden="1" outlineLevel="1" x14ac:dyDescent="0.2">
      <c r="A257" s="176">
        <v>4210950300</v>
      </c>
      <c r="B257" s="207" t="s">
        <v>378</v>
      </c>
      <c r="C257" s="205">
        <f>IFERROR(VLOOKUP(A:A,'PPTO 2017'!A:E,3,0),0)</f>
        <v>0</v>
      </c>
      <c r="D257" s="205">
        <f>IFERROR(VLOOKUP(A:A,EJEC!A:G,5,0),0)</f>
        <v>0</v>
      </c>
      <c r="E257" s="205">
        <v>0</v>
      </c>
      <c r="F257" s="322" t="str">
        <f t="shared" si="42"/>
        <v/>
      </c>
      <c r="G257" s="225">
        <f t="shared" si="53"/>
        <v>0</v>
      </c>
      <c r="H257" s="204" t="e">
        <f t="shared" si="52"/>
        <v>#DIV/0!</v>
      </c>
      <c r="I257" s="322" t="str">
        <f t="shared" si="41"/>
        <v/>
      </c>
      <c r="J257" s="543"/>
      <c r="K257" s="524"/>
      <c r="L257" s="524"/>
      <c r="M257" s="524"/>
    </row>
    <row r="258" spans="1:13" customFormat="1" ht="12.75" hidden="1" outlineLevel="1" x14ac:dyDescent="0.2">
      <c r="A258" s="610">
        <v>4210953501</v>
      </c>
      <c r="B258" s="207" t="s">
        <v>771</v>
      </c>
      <c r="C258" s="205">
        <f>IFERROR(VLOOKUP(A:A,'PPTO 2017'!A:E,3,0),0)</f>
        <v>0</v>
      </c>
      <c r="D258" s="205">
        <f>IFERROR(VLOOKUP(A:A,EJEC!A:G,5,0),0)</f>
        <v>0</v>
      </c>
      <c r="E258" s="205">
        <v>0</v>
      </c>
      <c r="F258" s="322" t="str">
        <f t="shared" ref="F258:F259" si="54">IF(E258=0,"",IF(C258=0,"",(E258/C258)))</f>
        <v/>
      </c>
      <c r="G258" s="225">
        <f t="shared" si="53"/>
        <v>0</v>
      </c>
      <c r="H258" s="204" t="e">
        <f t="shared" ref="H258:H259" si="55">(+G258/E258)-1</f>
        <v>#DIV/0!</v>
      </c>
      <c r="I258" s="322" t="str">
        <f t="shared" ref="I258:I259" si="56">IF(G258=0,"",IF(E258=0,"",(G258/E258)-1))</f>
        <v/>
      </c>
      <c r="J258" s="543"/>
      <c r="K258" s="524"/>
      <c r="L258" s="524"/>
      <c r="M258" s="524"/>
    </row>
    <row r="259" spans="1:13" customFormat="1" ht="12.75" hidden="1" outlineLevel="1" x14ac:dyDescent="0.2">
      <c r="A259" s="610">
        <v>4210953502</v>
      </c>
      <c r="B259" s="207" t="s">
        <v>755</v>
      </c>
      <c r="C259" s="205">
        <f>IFERROR(VLOOKUP(A:A,'PPTO 2017'!A:E,3,0),0)</f>
        <v>0</v>
      </c>
      <c r="D259" s="205">
        <f>IFERROR(VLOOKUP(A:A,EJEC!A:G,5,0),0)</f>
        <v>0</v>
      </c>
      <c r="E259" s="205">
        <v>0</v>
      </c>
      <c r="F259" s="322" t="str">
        <f t="shared" si="54"/>
        <v/>
      </c>
      <c r="G259" s="225">
        <f t="shared" si="53"/>
        <v>0</v>
      </c>
      <c r="H259" s="204" t="e">
        <f t="shared" si="55"/>
        <v>#DIV/0!</v>
      </c>
      <c r="I259" s="322" t="str">
        <f t="shared" si="56"/>
        <v/>
      </c>
      <c r="J259" s="543"/>
      <c r="K259" s="524"/>
      <c r="L259" s="524"/>
      <c r="M259" s="524"/>
    </row>
    <row r="260" spans="1:13" customFormat="1" ht="12.75" hidden="1" outlineLevel="1" x14ac:dyDescent="0.2">
      <c r="A260" s="176"/>
      <c r="B260" s="212" t="s">
        <v>446</v>
      </c>
      <c r="C260" s="205"/>
      <c r="D260" s="205"/>
      <c r="E260" s="205"/>
      <c r="F260" s="322" t="str">
        <f t="shared" si="42"/>
        <v/>
      </c>
      <c r="G260" s="225"/>
      <c r="H260" s="204"/>
      <c r="I260" s="322" t="str">
        <f t="shared" si="41"/>
        <v/>
      </c>
      <c r="J260" s="543"/>
      <c r="K260" s="524"/>
      <c r="L260" s="524"/>
      <c r="M260" s="524"/>
    </row>
    <row r="261" spans="1:13" customFormat="1" ht="12.75" hidden="1" outlineLevel="1" x14ac:dyDescent="0.2">
      <c r="A261" s="176">
        <v>4220100100</v>
      </c>
      <c r="B261" s="207" t="s">
        <v>379</v>
      </c>
      <c r="C261" s="205">
        <f>IFERROR(VLOOKUP(A:A,'PPTO 2017'!A:E,3,0),0)</f>
        <v>0</v>
      </c>
      <c r="D261" s="205">
        <f>IFERROR(VLOOKUP(A:A,EJEC!A:G,5,0),0)</f>
        <v>0</v>
      </c>
      <c r="E261" s="205">
        <v>0</v>
      </c>
      <c r="F261" s="322" t="str">
        <f t="shared" si="42"/>
        <v/>
      </c>
      <c r="G261" s="225">
        <f t="shared" si="53"/>
        <v>0</v>
      </c>
      <c r="H261" s="204" t="e">
        <f t="shared" si="52"/>
        <v>#DIV/0!</v>
      </c>
      <c r="I261" s="322" t="str">
        <f t="shared" si="41"/>
        <v/>
      </c>
      <c r="J261" s="543"/>
      <c r="K261" s="524"/>
      <c r="L261" s="524"/>
      <c r="M261" s="524"/>
    </row>
    <row r="262" spans="1:13" customFormat="1" ht="12.75" hidden="1" outlineLevel="1" x14ac:dyDescent="0.2">
      <c r="A262" s="176">
        <v>4220100200</v>
      </c>
      <c r="B262" s="207" t="s">
        <v>380</v>
      </c>
      <c r="C262" s="205">
        <f>IFERROR(VLOOKUP(A:A,'PPTO 2017'!A:E,3,0),0)</f>
        <v>0</v>
      </c>
      <c r="D262" s="205">
        <f>IFERROR(VLOOKUP(A:A,EJEC!A:G,5,0),0)</f>
        <v>0</v>
      </c>
      <c r="E262" s="205">
        <v>0</v>
      </c>
      <c r="F262" s="322" t="str">
        <f t="shared" si="42"/>
        <v/>
      </c>
      <c r="G262" s="225">
        <f t="shared" si="53"/>
        <v>0</v>
      </c>
      <c r="H262" s="204" t="e">
        <f t="shared" si="52"/>
        <v>#DIV/0!</v>
      </c>
      <c r="I262" s="322" t="str">
        <f t="shared" si="41"/>
        <v/>
      </c>
      <c r="J262" s="543"/>
      <c r="K262" s="524"/>
      <c r="L262" s="524"/>
      <c r="M262" s="524"/>
    </row>
    <row r="263" spans="1:13" customFormat="1" ht="12.75" hidden="1" outlineLevel="1" x14ac:dyDescent="0.2">
      <c r="A263" s="176">
        <v>4220100300</v>
      </c>
      <c r="B263" s="207" t="s">
        <v>381</v>
      </c>
      <c r="C263" s="205">
        <f>IFERROR(VLOOKUP(A:A,'PPTO 2017'!A:E,3,0),0)</f>
        <v>0</v>
      </c>
      <c r="D263" s="205">
        <f>IFERROR(VLOOKUP(A:A,EJEC!A:G,5,0),0)</f>
        <v>0</v>
      </c>
      <c r="E263" s="205">
        <v>0</v>
      </c>
      <c r="F263" s="322" t="str">
        <f t="shared" si="42"/>
        <v/>
      </c>
      <c r="G263" s="225">
        <f t="shared" si="53"/>
        <v>0</v>
      </c>
      <c r="H263" s="204" t="e">
        <f t="shared" si="52"/>
        <v>#DIV/0!</v>
      </c>
      <c r="I263" s="322" t="str">
        <f t="shared" si="41"/>
        <v/>
      </c>
      <c r="J263" s="543"/>
      <c r="K263" s="524"/>
      <c r="L263" s="524"/>
      <c r="M263" s="524"/>
    </row>
    <row r="264" spans="1:13" customFormat="1" ht="12.75" hidden="1" outlineLevel="1" x14ac:dyDescent="0.2">
      <c r="A264" s="176">
        <v>4220100400</v>
      </c>
      <c r="B264" s="207" t="s">
        <v>382</v>
      </c>
      <c r="C264" s="205">
        <f>IFERROR(VLOOKUP(A:A,'PPTO 2017'!A:E,3,0),0)</f>
        <v>0</v>
      </c>
      <c r="D264" s="205">
        <f>IFERROR(VLOOKUP(A:A,EJEC!A:G,5,0),0)</f>
        <v>0</v>
      </c>
      <c r="E264" s="205">
        <v>0</v>
      </c>
      <c r="F264" s="322" t="str">
        <f t="shared" si="42"/>
        <v/>
      </c>
      <c r="G264" s="225">
        <f t="shared" si="53"/>
        <v>0</v>
      </c>
      <c r="H264" s="204" t="e">
        <f t="shared" si="52"/>
        <v>#DIV/0!</v>
      </c>
      <c r="I264" s="322" t="str">
        <f t="shared" si="41"/>
        <v/>
      </c>
      <c r="J264" s="543"/>
      <c r="K264" s="524"/>
      <c r="L264" s="524"/>
      <c r="M264" s="524"/>
    </row>
    <row r="265" spans="1:13" customFormat="1" ht="12.75" hidden="1" outlineLevel="1" x14ac:dyDescent="0.2">
      <c r="A265" s="176">
        <v>4220100500</v>
      </c>
      <c r="B265" s="207" t="s">
        <v>333</v>
      </c>
      <c r="C265" s="205">
        <f>IFERROR(VLOOKUP(A:A,'PPTO 2017'!A:E,3,0),0)</f>
        <v>0</v>
      </c>
      <c r="D265" s="205">
        <f>IFERROR(VLOOKUP(A:A,EJEC!A:G,5,0),0)</f>
        <v>0</v>
      </c>
      <c r="E265" s="205">
        <v>0</v>
      </c>
      <c r="F265" s="322" t="str">
        <f t="shared" si="42"/>
        <v/>
      </c>
      <c r="G265" s="225">
        <f t="shared" si="53"/>
        <v>0</v>
      </c>
      <c r="H265" s="204" t="e">
        <f t="shared" si="52"/>
        <v>#DIV/0!</v>
      </c>
      <c r="I265" s="322" t="str">
        <f t="shared" ref="I265:I321" si="57">IF(G265=0,"",IF(E265=0,"",(G265/E265)-1))</f>
        <v/>
      </c>
      <c r="J265" s="543"/>
      <c r="K265" s="524"/>
      <c r="L265" s="524"/>
      <c r="M265" s="524"/>
    </row>
    <row r="266" spans="1:13" customFormat="1" ht="12.75" hidden="1" outlineLevel="1" x14ac:dyDescent="0.2">
      <c r="A266" s="176">
        <v>4220100600</v>
      </c>
      <c r="B266" s="207" t="s">
        <v>383</v>
      </c>
      <c r="C266" s="205">
        <f>IFERROR(VLOOKUP(A:A,'PPTO 2017'!A:E,3,0),0)</f>
        <v>0</v>
      </c>
      <c r="D266" s="205">
        <f>IFERROR(VLOOKUP(A:A,EJEC!A:G,5,0),0)</f>
        <v>0</v>
      </c>
      <c r="E266" s="205">
        <v>0</v>
      </c>
      <c r="F266" s="322" t="str">
        <f t="shared" si="42"/>
        <v/>
      </c>
      <c r="G266" s="225">
        <f t="shared" si="53"/>
        <v>0</v>
      </c>
      <c r="H266" s="204" t="e">
        <f t="shared" si="52"/>
        <v>#DIV/0!</v>
      </c>
      <c r="I266" s="322" t="str">
        <f t="shared" si="57"/>
        <v/>
      </c>
      <c r="J266" s="543"/>
      <c r="K266" s="524"/>
      <c r="L266" s="524"/>
      <c r="M266" s="524"/>
    </row>
    <row r="267" spans="1:13" customFormat="1" ht="12.75" hidden="1" outlineLevel="1" x14ac:dyDescent="0.2">
      <c r="A267" s="176">
        <v>4220100700</v>
      </c>
      <c r="B267" s="207" t="s">
        <v>384</v>
      </c>
      <c r="C267" s="205">
        <f>IFERROR(VLOOKUP(A:A,'PPTO 2017'!A:E,3,0),0)</f>
        <v>0</v>
      </c>
      <c r="D267" s="205">
        <f>IFERROR(VLOOKUP(A:A,EJEC!A:G,5,0),0)</f>
        <v>0</v>
      </c>
      <c r="E267" s="205">
        <v>0</v>
      </c>
      <c r="F267" s="322" t="str">
        <f t="shared" ref="F267:F322" si="58">IF(E267=0,"",IF(C267=0,"",(E267/C267)))</f>
        <v/>
      </c>
      <c r="G267" s="225">
        <f t="shared" si="53"/>
        <v>0</v>
      </c>
      <c r="H267" s="204" t="e">
        <f t="shared" si="52"/>
        <v>#DIV/0!</v>
      </c>
      <c r="I267" s="322" t="str">
        <f t="shared" si="57"/>
        <v/>
      </c>
      <c r="J267" s="543"/>
      <c r="K267" s="524"/>
      <c r="L267" s="524"/>
      <c r="M267" s="524"/>
    </row>
    <row r="268" spans="1:13" customFormat="1" ht="12.75" hidden="1" outlineLevel="1" x14ac:dyDescent="0.2">
      <c r="A268" s="176">
        <v>4220100800</v>
      </c>
      <c r="B268" s="207" t="s">
        <v>385</v>
      </c>
      <c r="C268" s="205">
        <f>IFERROR(VLOOKUP(A:A,'PPTO 2017'!A:E,3,0),0)</f>
        <v>0</v>
      </c>
      <c r="D268" s="205">
        <f>IFERROR(VLOOKUP(A:A,EJEC!A:G,5,0),0)</f>
        <v>0</v>
      </c>
      <c r="E268" s="205">
        <v>0</v>
      </c>
      <c r="F268" s="322" t="str">
        <f t="shared" si="58"/>
        <v/>
      </c>
      <c r="G268" s="225">
        <f t="shared" si="53"/>
        <v>0</v>
      </c>
      <c r="H268" s="204" t="e">
        <f t="shared" si="52"/>
        <v>#DIV/0!</v>
      </c>
      <c r="I268" s="322" t="str">
        <f t="shared" si="57"/>
        <v/>
      </c>
      <c r="J268" s="543"/>
      <c r="K268" s="524"/>
      <c r="L268" s="524"/>
      <c r="M268" s="524"/>
    </row>
    <row r="269" spans="1:13" customFormat="1" ht="12.75" hidden="1" outlineLevel="1" x14ac:dyDescent="0.2">
      <c r="A269" s="176"/>
      <c r="B269" s="212" t="s">
        <v>223</v>
      </c>
      <c r="C269" s="205"/>
      <c r="D269" s="205"/>
      <c r="E269" s="205"/>
      <c r="F269" s="322" t="str">
        <f t="shared" si="58"/>
        <v/>
      </c>
      <c r="G269" s="225"/>
      <c r="H269" s="204"/>
      <c r="I269" s="322" t="str">
        <f t="shared" si="57"/>
        <v/>
      </c>
      <c r="J269" s="543"/>
      <c r="K269" s="524"/>
      <c r="L269" s="524"/>
      <c r="M269" s="524"/>
    </row>
    <row r="270" spans="1:13" customFormat="1" ht="12.75" hidden="1" outlineLevel="1" x14ac:dyDescent="0.2">
      <c r="A270" s="176">
        <v>4230050000</v>
      </c>
      <c r="B270" s="207" t="s">
        <v>386</v>
      </c>
      <c r="C270" s="205">
        <f>IFERROR(VLOOKUP(A:A,'PPTO 2017'!A:E,3,0),0)</f>
        <v>0</v>
      </c>
      <c r="D270" s="205">
        <f>IFERROR(VLOOKUP(A:A,EJEC!A:G,5,0),0)</f>
        <v>0</v>
      </c>
      <c r="E270" s="205">
        <v>0</v>
      </c>
      <c r="F270" s="322" t="str">
        <f t="shared" si="58"/>
        <v/>
      </c>
      <c r="G270" s="316">
        <f>ASESOR.Y.CONSULT.!C8/1000</f>
        <v>0</v>
      </c>
      <c r="H270" s="204" t="e">
        <f t="shared" si="52"/>
        <v>#DIV/0!</v>
      </c>
      <c r="I270" s="322" t="str">
        <f t="shared" si="57"/>
        <v/>
      </c>
      <c r="J270" s="543"/>
      <c r="K270" s="524"/>
      <c r="L270" s="524"/>
      <c r="M270" s="524"/>
    </row>
    <row r="271" spans="1:13" customFormat="1" ht="12.75" hidden="1" outlineLevel="1" x14ac:dyDescent="0.2">
      <c r="A271" s="176">
        <v>4230100000</v>
      </c>
      <c r="B271" s="207" t="s">
        <v>317</v>
      </c>
      <c r="C271" s="205">
        <f>IFERROR(VLOOKUP(A:A,'PPTO 2017'!A:E,3,0),0)</f>
        <v>0</v>
      </c>
      <c r="D271" s="205">
        <f>IFERROR(VLOOKUP(A:A,EJEC!A:G,5,0),0)</f>
        <v>0</v>
      </c>
      <c r="E271" s="205">
        <v>0</v>
      </c>
      <c r="F271" s="322" t="str">
        <f t="shared" si="58"/>
        <v/>
      </c>
      <c r="G271" s="607">
        <f t="shared" si="53"/>
        <v>0</v>
      </c>
      <c r="H271" s="204" t="e">
        <f t="shared" si="52"/>
        <v>#DIV/0!</v>
      </c>
      <c r="I271" s="322" t="str">
        <f t="shared" si="57"/>
        <v/>
      </c>
      <c r="J271" s="543"/>
      <c r="K271" s="524"/>
      <c r="L271" s="524"/>
      <c r="M271" s="524"/>
    </row>
    <row r="272" spans="1:13" customFormat="1" ht="12.75" hidden="1" outlineLevel="1" x14ac:dyDescent="0.2">
      <c r="A272" s="176"/>
      <c r="B272" s="212" t="s">
        <v>511</v>
      </c>
      <c r="C272" s="205"/>
      <c r="D272" s="205"/>
      <c r="E272" s="205"/>
      <c r="F272" s="322" t="str">
        <f t="shared" si="58"/>
        <v/>
      </c>
      <c r="G272" s="225"/>
      <c r="H272" s="204"/>
      <c r="I272" s="322" t="str">
        <f t="shared" si="57"/>
        <v/>
      </c>
      <c r="J272" s="543"/>
      <c r="K272" s="524"/>
      <c r="L272" s="524"/>
      <c r="M272" s="524"/>
    </row>
    <row r="273" spans="1:13" customFormat="1" ht="12.75" hidden="1" outlineLevel="1" x14ac:dyDescent="0.2">
      <c r="A273" s="610">
        <v>4235100000</v>
      </c>
      <c r="B273" s="207" t="s">
        <v>756</v>
      </c>
      <c r="C273" s="205">
        <f>IFERROR(VLOOKUP(A:A,'PPTO 2017'!A:E,3,0),0)</f>
        <v>0</v>
      </c>
      <c r="D273" s="205">
        <f>IFERROR(VLOOKUP(A:A,EJEC!A:G,5,0),0)</f>
        <v>0</v>
      </c>
      <c r="E273" s="205"/>
      <c r="F273" s="783" t="str">
        <f>IF(E273=0,"",IF(C273=0,"",(E273/C273)))</f>
        <v/>
      </c>
      <c r="G273" s="225">
        <f t="shared" si="53"/>
        <v>0</v>
      </c>
      <c r="H273" s="204"/>
      <c r="I273" s="322" t="str">
        <f>IF(G273=0,"",IF(E273=0,"",(G273/E273)-1))</f>
        <v/>
      </c>
      <c r="J273" s="543"/>
      <c r="K273" s="524"/>
      <c r="L273" s="524"/>
      <c r="M273" s="524"/>
    </row>
    <row r="274" spans="1:13" customFormat="1" ht="12.75" hidden="1" outlineLevel="1" x14ac:dyDescent="0.2">
      <c r="A274" s="176">
        <v>4235200000</v>
      </c>
      <c r="B274" s="207" t="s">
        <v>387</v>
      </c>
      <c r="C274" s="205">
        <f>IFERROR(VLOOKUP(A:A,'PPTO 2017'!A:E,3,0),0)</f>
        <v>0</v>
      </c>
      <c r="D274" s="205">
        <f>IFERROR(VLOOKUP(A:A,EJEC!A:G,5,0),0)</f>
        <v>0</v>
      </c>
      <c r="E274" s="205">
        <v>0</v>
      </c>
      <c r="F274" s="783" t="str">
        <f t="shared" si="58"/>
        <v/>
      </c>
      <c r="G274" s="225">
        <f t="shared" si="53"/>
        <v>0</v>
      </c>
      <c r="H274" s="204" t="e">
        <f t="shared" si="52"/>
        <v>#DIV/0!</v>
      </c>
      <c r="I274" s="322" t="str">
        <f t="shared" si="57"/>
        <v/>
      </c>
      <c r="J274" s="543"/>
      <c r="K274" s="524"/>
      <c r="L274" s="524"/>
      <c r="M274" s="524"/>
    </row>
    <row r="275" spans="1:13" customFormat="1" ht="12.75" hidden="1" outlineLevel="1" x14ac:dyDescent="0.2">
      <c r="A275" s="176">
        <v>4235550000</v>
      </c>
      <c r="B275" s="207" t="s">
        <v>388</v>
      </c>
      <c r="C275" s="205">
        <f>IFERROR(VLOOKUP(A:A,'PPTO 2017'!A:E,3,0),0)</f>
        <v>0</v>
      </c>
      <c r="D275" s="205">
        <f>IFERROR(VLOOKUP(A:A,EJEC!A:G,5,0),0)</f>
        <v>0</v>
      </c>
      <c r="E275" s="205">
        <v>0</v>
      </c>
      <c r="F275" s="783" t="str">
        <f t="shared" si="58"/>
        <v/>
      </c>
      <c r="G275" s="226">
        <f>'PROY INVEST.'!N8/1000-P.PROY.SOCIAL!N8/1000</f>
        <v>0</v>
      </c>
      <c r="H275" s="204" t="e">
        <f t="shared" si="52"/>
        <v>#DIV/0!</v>
      </c>
      <c r="I275" s="322" t="str">
        <f t="shared" si="57"/>
        <v/>
      </c>
      <c r="J275" s="543"/>
      <c r="K275" s="524"/>
      <c r="L275" s="524"/>
      <c r="M275" s="524"/>
    </row>
    <row r="276" spans="1:13" customFormat="1" ht="12.75" hidden="1" outlineLevel="1" x14ac:dyDescent="0.2">
      <c r="A276" s="176">
        <v>4235653500</v>
      </c>
      <c r="B276" s="207" t="s">
        <v>389</v>
      </c>
      <c r="C276" s="205">
        <f>IFERROR(VLOOKUP(A:A,'PPTO 2017'!A:E,3,0),0)</f>
        <v>0</v>
      </c>
      <c r="D276" s="205">
        <f>IFERROR(VLOOKUP(A:A,EJEC!A:G,5,0),0)</f>
        <v>0</v>
      </c>
      <c r="E276" s="205">
        <v>0</v>
      </c>
      <c r="F276" s="783" t="str">
        <f t="shared" si="58"/>
        <v/>
      </c>
      <c r="G276" s="225">
        <f t="shared" si="53"/>
        <v>0</v>
      </c>
      <c r="H276" s="204" t="e">
        <f t="shared" si="52"/>
        <v>#DIV/0!</v>
      </c>
      <c r="I276" s="322" t="str">
        <f t="shared" si="57"/>
        <v/>
      </c>
      <c r="J276" s="543"/>
      <c r="K276" s="524"/>
      <c r="L276" s="524"/>
      <c r="M276" s="524"/>
    </row>
    <row r="277" spans="1:13" customFormat="1" ht="12.75" hidden="1" outlineLevel="1" x14ac:dyDescent="0.2">
      <c r="A277" s="610">
        <v>4235950900</v>
      </c>
      <c r="B277" s="207" t="s">
        <v>757</v>
      </c>
      <c r="C277" s="205">
        <f>IFERROR(VLOOKUP(A:A,'PPTO 2017'!A:E,3,0),0)</f>
        <v>0</v>
      </c>
      <c r="D277" s="205">
        <f>IFERROR(VLOOKUP(A:A,EJEC!A:G,5,0),0)</f>
        <v>0</v>
      </c>
      <c r="E277" s="205">
        <v>0</v>
      </c>
      <c r="F277" s="783" t="str">
        <f>IF(E277=0,"",IF(C277=0,"",(E277/C277)))</f>
        <v/>
      </c>
      <c r="G277" s="225">
        <f t="shared" si="53"/>
        <v>0</v>
      </c>
      <c r="H277" s="204" t="e">
        <f>(+G277/E277)-1</f>
        <v>#DIV/0!</v>
      </c>
      <c r="I277" s="322" t="str">
        <f>IF(G277=0,"",IF(E277=0,"",(G277/E277)-1))</f>
        <v/>
      </c>
      <c r="J277" s="543"/>
      <c r="K277" s="524"/>
      <c r="L277" s="524"/>
      <c r="M277" s="524"/>
    </row>
    <row r="278" spans="1:13" customFormat="1" ht="12.75" hidden="1" outlineLevel="1" x14ac:dyDescent="0.2">
      <c r="A278" s="176">
        <v>4235950100</v>
      </c>
      <c r="B278" s="207" t="s">
        <v>390</v>
      </c>
      <c r="C278" s="205">
        <f>IFERROR(VLOOKUP(A:A,'PPTO 2017'!A:E,3,0),0)</f>
        <v>0</v>
      </c>
      <c r="D278" s="205">
        <f>IFERROR(VLOOKUP(A:A,EJEC!A:G,5,0),0)</f>
        <v>0</v>
      </c>
      <c r="E278" s="205">
        <v>0</v>
      </c>
      <c r="F278" s="783" t="str">
        <f t="shared" si="58"/>
        <v/>
      </c>
      <c r="G278" s="225">
        <f t="shared" si="53"/>
        <v>0</v>
      </c>
      <c r="H278" s="204" t="e">
        <f t="shared" si="52"/>
        <v>#DIV/0!</v>
      </c>
      <c r="I278" s="322" t="str">
        <f t="shared" si="57"/>
        <v/>
      </c>
      <c r="J278" s="543"/>
      <c r="K278" s="524"/>
      <c r="L278" s="524"/>
      <c r="M278" s="524"/>
    </row>
    <row r="279" spans="1:13" customFormat="1" ht="12.75" hidden="1" outlineLevel="1" x14ac:dyDescent="0.2">
      <c r="A279" s="176">
        <v>4235950200</v>
      </c>
      <c r="B279" s="207" t="s">
        <v>391</v>
      </c>
      <c r="C279" s="205">
        <f>IFERROR(VLOOKUP(A:A,'PPTO 2017'!A:E,3,0),0)</f>
        <v>0</v>
      </c>
      <c r="D279" s="205">
        <f>IFERROR(VLOOKUP(A:A,EJEC!A:G,5,0),0)</f>
        <v>0</v>
      </c>
      <c r="E279" s="205">
        <v>0</v>
      </c>
      <c r="F279" s="783" t="str">
        <f t="shared" si="58"/>
        <v/>
      </c>
      <c r="G279" s="225">
        <f t="shared" si="53"/>
        <v>0</v>
      </c>
      <c r="H279" s="204" t="e">
        <f t="shared" si="52"/>
        <v>#DIV/0!</v>
      </c>
      <c r="I279" s="322" t="str">
        <f t="shared" si="57"/>
        <v/>
      </c>
      <c r="J279" s="543"/>
      <c r="K279" s="524"/>
      <c r="L279" s="524"/>
      <c r="M279" s="524"/>
    </row>
    <row r="280" spans="1:13" customFormat="1" ht="12.75" hidden="1" outlineLevel="1" x14ac:dyDescent="0.2">
      <c r="A280" s="176">
        <v>4235950500</v>
      </c>
      <c r="B280" s="207" t="s">
        <v>392</v>
      </c>
      <c r="C280" s="205">
        <f>IFERROR(VLOOKUP(A:A,'PPTO 2017'!A:E,3,0),0)</f>
        <v>0</v>
      </c>
      <c r="D280" s="205">
        <f>IFERROR(VLOOKUP(A:A,EJEC!A:G,5,0),0)</f>
        <v>0</v>
      </c>
      <c r="E280" s="205">
        <v>0</v>
      </c>
      <c r="F280" s="783" t="str">
        <f t="shared" si="58"/>
        <v/>
      </c>
      <c r="G280" s="225">
        <f t="shared" si="53"/>
        <v>0</v>
      </c>
      <c r="H280" s="204" t="e">
        <f t="shared" si="52"/>
        <v>#DIV/0!</v>
      </c>
      <c r="I280" s="322" t="str">
        <f t="shared" si="57"/>
        <v/>
      </c>
      <c r="J280" s="543"/>
      <c r="K280" s="524"/>
      <c r="L280" s="524"/>
      <c r="M280" s="524"/>
    </row>
    <row r="281" spans="1:13" customFormat="1" ht="12.75" hidden="1" outlineLevel="1" x14ac:dyDescent="0.2">
      <c r="A281" s="3">
        <v>4235950600</v>
      </c>
      <c r="B281" s="207" t="s">
        <v>393</v>
      </c>
      <c r="C281" s="205">
        <f>IFERROR(VLOOKUP(A:A,'PPTO 2017'!A:E,3,0),0)</f>
        <v>0</v>
      </c>
      <c r="D281" s="205">
        <f>IFERROR(VLOOKUP(A:A,EJEC!A:G,5,0),0)</f>
        <v>0</v>
      </c>
      <c r="E281" s="205">
        <v>0</v>
      </c>
      <c r="F281" s="783" t="str">
        <f t="shared" si="58"/>
        <v/>
      </c>
      <c r="G281" s="225">
        <f t="shared" si="53"/>
        <v>0</v>
      </c>
      <c r="H281" s="204" t="e">
        <f t="shared" si="52"/>
        <v>#DIV/0!</v>
      </c>
      <c r="I281" s="322" t="str">
        <f t="shared" si="57"/>
        <v/>
      </c>
      <c r="J281" s="543"/>
      <c r="K281" s="524"/>
      <c r="L281" s="524"/>
      <c r="M281" s="524"/>
    </row>
    <row r="282" spans="1:13" customFormat="1" ht="12.75" hidden="1" outlineLevel="1" x14ac:dyDescent="0.2">
      <c r="A282" s="608">
        <v>4235950800</v>
      </c>
      <c r="B282" s="207" t="s">
        <v>758</v>
      </c>
      <c r="C282" s="205">
        <f>IFERROR(VLOOKUP(A:A,'PPTO 2017'!A:E,3,0),0)</f>
        <v>0</v>
      </c>
      <c r="D282" s="205">
        <f>IFERROR(VLOOKUP(A:A,EJEC!A:G,5,0),0)</f>
        <v>0</v>
      </c>
      <c r="E282" s="205">
        <v>0</v>
      </c>
      <c r="F282" s="783" t="str">
        <f>IF(E282=0,"",IF(C282=0,"",(E282/C282)))</f>
        <v/>
      </c>
      <c r="G282" s="225">
        <f t="shared" si="53"/>
        <v>0</v>
      </c>
      <c r="H282" s="204" t="e">
        <f>(+G282/E282)-1</f>
        <v>#DIV/0!</v>
      </c>
      <c r="I282" s="322" t="str">
        <f>IF(G282=0,"",IF(E282=0,"",(G282/E282)-1))</f>
        <v/>
      </c>
      <c r="J282" s="543"/>
      <c r="K282" s="524"/>
      <c r="L282" s="524"/>
      <c r="M282" s="524"/>
    </row>
    <row r="283" spans="1:13" customFormat="1" ht="12.75" hidden="1" outlineLevel="1" x14ac:dyDescent="0.2">
      <c r="A283" s="3"/>
      <c r="B283" s="212" t="s">
        <v>519</v>
      </c>
      <c r="C283" s="205"/>
      <c r="D283" s="205"/>
      <c r="E283" s="205"/>
      <c r="F283" s="783" t="str">
        <f t="shared" si="58"/>
        <v/>
      </c>
      <c r="G283" s="225"/>
      <c r="H283" s="204"/>
      <c r="I283" s="322" t="str">
        <f t="shared" si="57"/>
        <v/>
      </c>
      <c r="J283" s="543"/>
      <c r="K283" s="524"/>
      <c r="L283" s="524"/>
      <c r="M283" s="524"/>
    </row>
    <row r="284" spans="1:13" customFormat="1" ht="12.75" hidden="1" outlineLevel="1" x14ac:dyDescent="0.2">
      <c r="A284" s="608">
        <v>4250150000</v>
      </c>
      <c r="B284" s="317" t="s">
        <v>759</v>
      </c>
      <c r="C284" s="205">
        <f>IFERROR(VLOOKUP(A:A,'PPTO 2017'!A:E,3,0),0)</f>
        <v>0</v>
      </c>
      <c r="D284" s="205">
        <f>IFERROR(VLOOKUP(A:A,EJEC!A:G,5,0),0)</f>
        <v>0</v>
      </c>
      <c r="E284" s="205">
        <v>0</v>
      </c>
      <c r="F284" s="783" t="str">
        <f>IF(E284=0,"",IF(C284=0,"",(E284/C284)))</f>
        <v/>
      </c>
      <c r="G284" s="225">
        <f t="shared" si="53"/>
        <v>0</v>
      </c>
      <c r="H284" s="204"/>
      <c r="I284" s="322" t="str">
        <f>IF(G284=0,"",IF(E284=0,"",(G284/E284)-1))</f>
        <v/>
      </c>
      <c r="J284" s="543"/>
      <c r="K284" s="524"/>
      <c r="L284" s="524"/>
      <c r="M284" s="524"/>
    </row>
    <row r="285" spans="1:13" customFormat="1" ht="12.75" hidden="1" outlineLevel="1" x14ac:dyDescent="0.2">
      <c r="A285" s="608">
        <v>4250350200</v>
      </c>
      <c r="B285" s="317" t="s">
        <v>760</v>
      </c>
      <c r="C285" s="205">
        <f>IFERROR(VLOOKUP(A:A,'PPTO 2017'!A:E,3,0),0)</f>
        <v>100000</v>
      </c>
      <c r="D285" s="205">
        <f>IFERROR(VLOOKUP(A:A,EJEC!A:G,5,0),0)</f>
        <v>25923.080999999998</v>
      </c>
      <c r="E285" s="205">
        <v>25923</v>
      </c>
      <c r="F285" s="783">
        <f>IF(E285=0,"",IF(C285=0,"",(E285/C285)))</f>
        <v>0.25923000000000002</v>
      </c>
      <c r="G285" s="225">
        <f t="shared" si="53"/>
        <v>27219.15</v>
      </c>
      <c r="H285" s="204"/>
      <c r="I285" s="322">
        <f>IF(G285=0,"",IF(E285=0,"",(G285/E285)-1))</f>
        <v>5.0000000000000044E-2</v>
      </c>
      <c r="J285" s="543"/>
      <c r="K285" s="524"/>
      <c r="L285" s="524"/>
      <c r="M285" s="524"/>
    </row>
    <row r="286" spans="1:13" customFormat="1" ht="12.75" hidden="1" outlineLevel="1" x14ac:dyDescent="0.2">
      <c r="A286" s="176">
        <v>4250500000</v>
      </c>
      <c r="B286" s="207" t="s">
        <v>18</v>
      </c>
      <c r="C286" s="205">
        <f>IFERROR(VLOOKUP(A:A,'PPTO 2017'!A:E,3,0),0)</f>
        <v>0</v>
      </c>
      <c r="D286" s="205">
        <f>IFERROR(VLOOKUP(A:A,EJEC!A:G,5,0),0)</f>
        <v>13215.357</v>
      </c>
      <c r="E286" s="205">
        <v>13215</v>
      </c>
      <c r="F286" s="783" t="str">
        <f t="shared" si="58"/>
        <v/>
      </c>
      <c r="G286" s="225">
        <f t="shared" si="53"/>
        <v>13875.75</v>
      </c>
      <c r="H286" s="204">
        <f t="shared" si="52"/>
        <v>5.0000000000000044E-2</v>
      </c>
      <c r="I286" s="322">
        <f t="shared" si="57"/>
        <v>5.0000000000000044E-2</v>
      </c>
      <c r="J286" s="543"/>
      <c r="K286" s="524"/>
      <c r="L286" s="524"/>
      <c r="M286" s="524"/>
    </row>
    <row r="287" spans="1:13" customFormat="1" ht="12.75" hidden="1" outlineLevel="1" x14ac:dyDescent="0.2">
      <c r="A287" s="176">
        <v>4255050000</v>
      </c>
      <c r="B287" s="207" t="s">
        <v>394</v>
      </c>
      <c r="C287" s="205">
        <f>IFERROR(VLOOKUP(A:A,'PPTO 2017'!A:E,3,0),0)</f>
        <v>0</v>
      </c>
      <c r="D287" s="205">
        <f>IFERROR(VLOOKUP(A:A,EJEC!A:G,5,0),0)</f>
        <v>0</v>
      </c>
      <c r="E287" s="205">
        <v>0</v>
      </c>
      <c r="F287" s="783" t="str">
        <f t="shared" si="58"/>
        <v/>
      </c>
      <c r="G287" s="225">
        <f t="shared" si="53"/>
        <v>0</v>
      </c>
      <c r="H287" s="204" t="e">
        <f t="shared" si="52"/>
        <v>#DIV/0!</v>
      </c>
      <c r="I287" s="322" t="str">
        <f t="shared" si="57"/>
        <v/>
      </c>
      <c r="J287" s="543"/>
      <c r="K287" s="524"/>
      <c r="L287" s="524"/>
      <c r="M287" s="524"/>
    </row>
    <row r="288" spans="1:13" customFormat="1" ht="12.75" hidden="1" outlineLevel="1" x14ac:dyDescent="0.2">
      <c r="A288" s="176"/>
      <c r="B288" s="212" t="s">
        <v>520</v>
      </c>
      <c r="C288" s="205"/>
      <c r="D288" s="205"/>
      <c r="E288" s="205"/>
      <c r="F288" s="783" t="str">
        <f t="shared" si="58"/>
        <v/>
      </c>
      <c r="G288" s="225"/>
      <c r="H288" s="204"/>
      <c r="I288" s="322" t="str">
        <f t="shared" si="57"/>
        <v/>
      </c>
      <c r="J288" s="543"/>
      <c r="K288" s="524"/>
      <c r="L288" s="524"/>
      <c r="M288" s="524"/>
    </row>
    <row r="289" spans="1:13" customFormat="1" ht="12.75" hidden="1" outlineLevel="1" x14ac:dyDescent="0.2">
      <c r="A289" s="176">
        <v>4265010000</v>
      </c>
      <c r="B289" s="207" t="s">
        <v>19</v>
      </c>
      <c r="C289" s="205">
        <f>IFERROR(VLOOKUP(A:A,'PPTO 2017'!A:E,3,0),0)</f>
        <v>0</v>
      </c>
      <c r="D289" s="205">
        <f>IFERROR(VLOOKUP(A:A,EJEC!A:G,5,0),0)</f>
        <v>0</v>
      </c>
      <c r="E289" s="205">
        <v>0</v>
      </c>
      <c r="F289" s="783" t="str">
        <f t="shared" si="58"/>
        <v/>
      </c>
      <c r="G289" s="225">
        <f t="shared" si="53"/>
        <v>0</v>
      </c>
      <c r="H289" s="204" t="e">
        <f t="shared" si="52"/>
        <v>#DIV/0!</v>
      </c>
      <c r="I289" s="322" t="str">
        <f t="shared" si="57"/>
        <v/>
      </c>
      <c r="J289" s="543"/>
      <c r="K289" s="524"/>
      <c r="L289" s="524"/>
      <c r="M289" s="524"/>
    </row>
    <row r="290" spans="1:13" customFormat="1" ht="12.75" hidden="1" outlineLevel="1" x14ac:dyDescent="0.2">
      <c r="A290" s="176"/>
      <c r="B290" s="212" t="s">
        <v>443</v>
      </c>
      <c r="C290" s="205"/>
      <c r="D290" s="205"/>
      <c r="E290" s="205"/>
      <c r="F290" s="783" t="str">
        <f t="shared" si="58"/>
        <v/>
      </c>
      <c r="G290" s="225"/>
      <c r="H290" s="204"/>
      <c r="I290" s="322" t="str">
        <f t="shared" si="57"/>
        <v/>
      </c>
      <c r="J290" s="543"/>
      <c r="K290" s="524"/>
      <c r="L290" s="524"/>
      <c r="M290" s="524"/>
    </row>
    <row r="291" spans="1:13" customFormat="1" ht="12.75" hidden="1" outlineLevel="1" x14ac:dyDescent="0.2">
      <c r="A291" s="176">
        <v>4295050000</v>
      </c>
      <c r="B291" s="317" t="s">
        <v>395</v>
      </c>
      <c r="C291" s="205">
        <f>IFERROR(VLOOKUP(A:A,'PPTO 2017'!A:E,3,0),0)</f>
        <v>0</v>
      </c>
      <c r="D291" s="205">
        <f>IFERROR(VLOOKUP(A:A,EJEC!A:G,5,0),0)</f>
        <v>106.60599999999999</v>
      </c>
      <c r="E291" s="205">
        <v>0</v>
      </c>
      <c r="F291" s="783" t="str">
        <f t="shared" si="58"/>
        <v/>
      </c>
      <c r="G291" s="225">
        <f t="shared" si="53"/>
        <v>0</v>
      </c>
      <c r="H291" s="204" t="e">
        <f t="shared" si="52"/>
        <v>#DIV/0!</v>
      </c>
      <c r="I291" s="322" t="str">
        <f t="shared" si="57"/>
        <v/>
      </c>
      <c r="J291" s="543"/>
      <c r="K291" s="524"/>
      <c r="L291" s="524"/>
      <c r="M291" s="524"/>
    </row>
    <row r="292" spans="1:13" customFormat="1" ht="12.75" hidden="1" outlineLevel="1" x14ac:dyDescent="0.2">
      <c r="A292" s="176">
        <v>4295070000</v>
      </c>
      <c r="B292" s="317" t="s">
        <v>28</v>
      </c>
      <c r="C292" s="205">
        <f>IFERROR(VLOOKUP(A:A,'PPTO 2017'!A:E,3,0),0)</f>
        <v>0</v>
      </c>
      <c r="D292" s="205">
        <f>IFERROR(VLOOKUP(A:A,EJEC!A:G,5,0),0)</f>
        <v>0</v>
      </c>
      <c r="E292" s="205">
        <v>0</v>
      </c>
      <c r="F292" s="783" t="str">
        <f t="shared" si="58"/>
        <v/>
      </c>
      <c r="G292" s="225">
        <f t="shared" si="53"/>
        <v>0</v>
      </c>
      <c r="H292" s="204"/>
      <c r="I292" s="322" t="str">
        <f t="shared" si="57"/>
        <v/>
      </c>
      <c r="J292" s="543"/>
      <c r="K292" s="524"/>
      <c r="L292" s="524"/>
      <c r="M292" s="524"/>
    </row>
    <row r="293" spans="1:13" customFormat="1" ht="12.75" hidden="1" outlineLevel="1" x14ac:dyDescent="0.2">
      <c r="A293" s="176">
        <v>4295090600</v>
      </c>
      <c r="B293" s="317" t="s">
        <v>396</v>
      </c>
      <c r="C293" s="205">
        <f>IFERROR(VLOOKUP(A:A,'PPTO 2017'!A:E,3,0),0)</f>
        <v>0</v>
      </c>
      <c r="D293" s="205">
        <f>IFERROR(VLOOKUP(A:A,EJEC!A:G,5,0),0)</f>
        <v>0</v>
      </c>
      <c r="E293" s="205">
        <v>0</v>
      </c>
      <c r="F293" s="783" t="str">
        <f t="shared" si="58"/>
        <v/>
      </c>
      <c r="G293" s="225">
        <f t="shared" si="53"/>
        <v>0</v>
      </c>
      <c r="H293" s="204" t="e">
        <f t="shared" si="52"/>
        <v>#DIV/0!</v>
      </c>
      <c r="I293" s="322" t="str">
        <f t="shared" si="57"/>
        <v/>
      </c>
      <c r="J293" s="543"/>
      <c r="K293" s="524"/>
      <c r="L293" s="524"/>
      <c r="M293" s="524"/>
    </row>
    <row r="294" spans="1:13" customFormat="1" ht="12.75" hidden="1" outlineLevel="1" x14ac:dyDescent="0.2">
      <c r="A294" s="176">
        <v>4295110000</v>
      </c>
      <c r="B294" s="317" t="s">
        <v>653</v>
      </c>
      <c r="C294" s="205">
        <f>IFERROR(VLOOKUP(A:A,'PPTO 2017'!A:E,3,0),0)</f>
        <v>0</v>
      </c>
      <c r="D294" s="205">
        <f>IFERROR(VLOOKUP(A:A,EJEC!A:G,5,0),0)</f>
        <v>0</v>
      </c>
      <c r="E294" s="205">
        <v>0</v>
      </c>
      <c r="F294" s="783" t="str">
        <f t="shared" si="58"/>
        <v/>
      </c>
      <c r="G294" s="225">
        <f t="shared" si="53"/>
        <v>0</v>
      </c>
      <c r="H294" s="204"/>
      <c r="I294" s="322" t="str">
        <f t="shared" si="57"/>
        <v/>
      </c>
      <c r="J294" s="543"/>
      <c r="K294" s="524"/>
      <c r="L294" s="524"/>
      <c r="M294" s="524"/>
    </row>
    <row r="295" spans="1:13" customFormat="1" ht="12.75" hidden="1" outlineLevel="1" x14ac:dyDescent="0.2">
      <c r="A295" s="176">
        <v>4295510000</v>
      </c>
      <c r="B295" s="317" t="s">
        <v>397</v>
      </c>
      <c r="C295" s="205">
        <f>IFERROR(VLOOKUP(A:A,'PPTO 2017'!A:E,3,0),0)</f>
        <v>0</v>
      </c>
      <c r="D295" s="205">
        <f>IFERROR(VLOOKUP(A:A,EJEC!A:G,5,0),0)</f>
        <v>0</v>
      </c>
      <c r="E295" s="205">
        <v>0</v>
      </c>
      <c r="F295" s="783" t="str">
        <f t="shared" si="58"/>
        <v/>
      </c>
      <c r="G295" s="225">
        <f t="shared" si="53"/>
        <v>0</v>
      </c>
      <c r="H295" s="204" t="e">
        <f t="shared" si="52"/>
        <v>#DIV/0!</v>
      </c>
      <c r="I295" s="322" t="str">
        <f t="shared" si="57"/>
        <v/>
      </c>
      <c r="J295" s="543"/>
      <c r="K295" s="524"/>
      <c r="L295" s="524"/>
      <c r="M295" s="524"/>
    </row>
    <row r="296" spans="1:13" customFormat="1" ht="12.75" hidden="1" outlineLevel="1" x14ac:dyDescent="0.2">
      <c r="A296" s="176">
        <v>4295530000</v>
      </c>
      <c r="B296" s="317" t="s">
        <v>398</v>
      </c>
      <c r="C296" s="205">
        <f>IFERROR(VLOOKUP(A:A,'PPTO 2017'!A:E,3,0),0)</f>
        <v>0</v>
      </c>
      <c r="D296" s="205">
        <f>IFERROR(VLOOKUP(A:A,EJEC!A:G,5,0),0)</f>
        <v>0</v>
      </c>
      <c r="E296" s="205">
        <v>0</v>
      </c>
      <c r="F296" s="322" t="str">
        <f t="shared" si="58"/>
        <v/>
      </c>
      <c r="G296" s="225">
        <f t="shared" si="53"/>
        <v>0</v>
      </c>
      <c r="H296" s="204" t="e">
        <f t="shared" si="52"/>
        <v>#DIV/0!</v>
      </c>
      <c r="I296" s="322" t="str">
        <f t="shared" si="57"/>
        <v/>
      </c>
      <c r="J296" s="543"/>
      <c r="K296" s="524"/>
      <c r="L296" s="524"/>
      <c r="M296" s="524"/>
    </row>
    <row r="297" spans="1:13" customFormat="1" ht="12.75" collapsed="1" x14ac:dyDescent="0.2">
      <c r="A297" s="3"/>
      <c r="B297" s="213" t="s">
        <v>399</v>
      </c>
      <c r="C297" s="214">
        <f>SUM(C247:C296)</f>
        <v>100000</v>
      </c>
      <c r="D297" s="214">
        <f>SUM(D247:D296)</f>
        <v>39302.050000000003</v>
      </c>
      <c r="E297" s="214">
        <f>SUM(E247:E296)</f>
        <v>39138</v>
      </c>
      <c r="F297" s="541">
        <f t="shared" si="58"/>
        <v>0.39138000000000001</v>
      </c>
      <c r="G297" s="214">
        <f>SUM(G247:G296)</f>
        <v>41094.9</v>
      </c>
      <c r="H297" s="228">
        <f>(+G297/E297)-1</f>
        <v>5.0000000000000044E-2</v>
      </c>
      <c r="I297" s="322">
        <f t="shared" si="57"/>
        <v>5.0000000000000044E-2</v>
      </c>
      <c r="J297" s="543"/>
      <c r="K297" s="524"/>
      <c r="L297" s="524"/>
      <c r="M297" s="524"/>
    </row>
    <row r="298" spans="1:13" customFormat="1" ht="12.75" hidden="1" x14ac:dyDescent="0.2">
      <c r="A298" s="176"/>
      <c r="B298" s="212" t="s">
        <v>400</v>
      </c>
      <c r="C298" s="205"/>
      <c r="D298" s="205"/>
      <c r="E298" s="205"/>
      <c r="F298" s="322" t="str">
        <f t="shared" si="58"/>
        <v/>
      </c>
      <c r="G298" s="208" t="s">
        <v>169</v>
      </c>
      <c r="H298" s="204" t="s">
        <v>169</v>
      </c>
      <c r="I298" s="322" t="str">
        <f t="shared" si="57"/>
        <v/>
      </c>
      <c r="J298" s="543"/>
      <c r="K298" s="524"/>
      <c r="L298" s="524"/>
      <c r="M298" s="524"/>
    </row>
    <row r="299" spans="1:13" customFormat="1" ht="12.75" hidden="1" outlineLevel="1" x14ac:dyDescent="0.2">
      <c r="A299" s="176"/>
      <c r="B299" s="212" t="s">
        <v>80</v>
      </c>
      <c r="C299" s="205"/>
      <c r="D299" s="205"/>
      <c r="E299" s="205"/>
      <c r="F299" s="322" t="str">
        <f t="shared" si="58"/>
        <v/>
      </c>
      <c r="G299" s="208" t="s">
        <v>169</v>
      </c>
      <c r="H299" s="204" t="s">
        <v>169</v>
      </c>
      <c r="I299" s="322" t="str">
        <f t="shared" si="57"/>
        <v/>
      </c>
      <c r="J299" s="543"/>
      <c r="K299" s="524"/>
      <c r="L299" s="524"/>
      <c r="M299" s="524"/>
    </row>
    <row r="300" spans="1:13" customFormat="1" ht="12.75" hidden="1" outlineLevel="1" x14ac:dyDescent="0.2">
      <c r="A300" s="176">
        <v>5305050100</v>
      </c>
      <c r="B300" s="319" t="s">
        <v>401</v>
      </c>
      <c r="C300" s="205">
        <f>IFERROR(VLOOKUP(A:A,'PPTO 2017'!A:E,3,0),0)</f>
        <v>0</v>
      </c>
      <c r="D300" s="205">
        <f>IFERROR(VLOOKUP(A:A,EJEC!A:G,5,0),0)</f>
        <v>0</v>
      </c>
      <c r="E300" s="205">
        <v>0</v>
      </c>
      <c r="F300" s="322" t="str">
        <f t="shared" si="58"/>
        <v/>
      </c>
      <c r="G300" s="225">
        <f t="shared" ref="G300:G318" si="59">+E300*$O$2</f>
        <v>0</v>
      </c>
      <c r="H300" s="204" t="e">
        <f t="shared" ref="H300:H319" si="60">(+G300/E300)-1</f>
        <v>#DIV/0!</v>
      </c>
      <c r="I300" s="322" t="str">
        <f t="shared" si="57"/>
        <v/>
      </c>
      <c r="J300" s="543"/>
      <c r="K300" s="524"/>
      <c r="L300" s="524"/>
      <c r="M300" s="524"/>
    </row>
    <row r="301" spans="1:13" customFormat="1" ht="12.75" hidden="1" outlineLevel="1" x14ac:dyDescent="0.2">
      <c r="A301" s="610">
        <v>5305050000</v>
      </c>
      <c r="B301" s="319" t="s">
        <v>761</v>
      </c>
      <c r="C301" s="205">
        <f>IFERROR(VLOOKUP(A:A,'PPTO 2017'!A:E,3,0),0)</f>
        <v>0</v>
      </c>
      <c r="D301" s="205">
        <f>IFERROR(VLOOKUP(A:A,EJEC!A:G,5,0),0)</f>
        <v>0</v>
      </c>
      <c r="E301" s="205">
        <v>0</v>
      </c>
      <c r="F301" s="322" t="str">
        <f>IF(E301=0,"",IF(C301=0,"",(E301/C301)))</f>
        <v/>
      </c>
      <c r="G301" s="225">
        <f t="shared" si="59"/>
        <v>0</v>
      </c>
      <c r="H301" s="204" t="e">
        <f>(+G301/E301)-1</f>
        <v>#DIV/0!</v>
      </c>
      <c r="I301" s="322" t="str">
        <f>IF(G301=0,"",IF(E301=0,"",(G301/E301)-1))</f>
        <v/>
      </c>
      <c r="J301" s="543"/>
      <c r="K301" s="524"/>
      <c r="L301" s="524"/>
      <c r="M301" s="524"/>
    </row>
    <row r="302" spans="1:13" customFormat="1" ht="12.75" hidden="1" outlineLevel="1" x14ac:dyDescent="0.2">
      <c r="A302" s="176">
        <v>5305050200</v>
      </c>
      <c r="B302" s="319" t="s">
        <v>402</v>
      </c>
      <c r="C302" s="205">
        <f>IFERROR(VLOOKUP(A:A,'PPTO 2017'!A:E,3,0),0)</f>
        <v>0</v>
      </c>
      <c r="D302" s="205">
        <f>IFERROR(VLOOKUP(A:A,EJEC!A:G,5,0),0)</f>
        <v>0</v>
      </c>
      <c r="E302" s="205">
        <v>0</v>
      </c>
      <c r="F302" s="322" t="str">
        <f t="shared" si="58"/>
        <v/>
      </c>
      <c r="G302" s="225">
        <f t="shared" si="59"/>
        <v>0</v>
      </c>
      <c r="H302" s="204" t="e">
        <f t="shared" si="60"/>
        <v>#DIV/0!</v>
      </c>
      <c r="I302" s="322" t="str">
        <f t="shared" si="57"/>
        <v/>
      </c>
      <c r="J302" s="543"/>
      <c r="K302" s="524"/>
      <c r="L302" s="524"/>
      <c r="M302" s="524"/>
    </row>
    <row r="303" spans="1:13" customFormat="1" ht="12.75" hidden="1" outlineLevel="1" x14ac:dyDescent="0.2">
      <c r="A303" s="610">
        <v>5305050400</v>
      </c>
      <c r="B303" s="319" t="s">
        <v>762</v>
      </c>
      <c r="C303" s="205">
        <f>IFERROR(VLOOKUP(A:A,'PPTO 2017'!A:E,3,0),0)</f>
        <v>0</v>
      </c>
      <c r="D303" s="205">
        <f>IFERROR(VLOOKUP(A:A,EJEC!A:G,5,0),0)</f>
        <v>0</v>
      </c>
      <c r="E303" s="205">
        <v>0</v>
      </c>
      <c r="F303" s="322" t="str">
        <f>IF(E303=0,"",IF(C303=0,"",(E303/C303)))</f>
        <v/>
      </c>
      <c r="G303" s="225">
        <f t="shared" si="59"/>
        <v>0</v>
      </c>
      <c r="H303" s="204" t="e">
        <f>(+G303/E303)-1</f>
        <v>#DIV/0!</v>
      </c>
      <c r="I303" s="322" t="str">
        <f>IF(G303=0,"",IF(E303=0,"",(G303/E303)-1))</f>
        <v/>
      </c>
      <c r="J303" s="543"/>
      <c r="K303" s="524"/>
      <c r="L303" s="524"/>
      <c r="M303" s="524"/>
    </row>
    <row r="304" spans="1:13" customFormat="1" ht="12.75" hidden="1" outlineLevel="1" x14ac:dyDescent="0.2">
      <c r="A304" s="176">
        <v>5305150000</v>
      </c>
      <c r="B304" s="317" t="s">
        <v>81</v>
      </c>
      <c r="C304" s="205">
        <f>IFERROR(VLOOKUP(A:A,'PPTO 2017'!A:E,3,0),0)</f>
        <v>0</v>
      </c>
      <c r="D304" s="205">
        <f>IFERROR(VLOOKUP(A:A,EJEC!A:G,5,0),0)</f>
        <v>0</v>
      </c>
      <c r="E304" s="205">
        <v>0</v>
      </c>
      <c r="F304" s="322" t="str">
        <f t="shared" si="58"/>
        <v/>
      </c>
      <c r="G304" s="225">
        <f t="shared" si="59"/>
        <v>0</v>
      </c>
      <c r="H304" s="204" t="e">
        <f t="shared" si="60"/>
        <v>#DIV/0!</v>
      </c>
      <c r="I304" s="322" t="str">
        <f t="shared" si="57"/>
        <v/>
      </c>
      <c r="J304" s="543"/>
      <c r="K304" s="524"/>
      <c r="L304" s="524"/>
      <c r="M304" s="524"/>
    </row>
    <row r="305" spans="1:13" customFormat="1" ht="12.75" hidden="1" outlineLevel="1" x14ac:dyDescent="0.2">
      <c r="A305" s="176">
        <v>5305200200</v>
      </c>
      <c r="B305" s="319" t="s">
        <v>403</v>
      </c>
      <c r="C305" s="205">
        <f>IFERROR(VLOOKUP(A:A,'PPTO 2017'!A:E,3,0),0)</f>
        <v>0</v>
      </c>
      <c r="D305" s="205">
        <f>IFERROR(VLOOKUP(A:A,EJEC!A:G,5,0),0)</f>
        <v>0</v>
      </c>
      <c r="E305" s="205">
        <v>0</v>
      </c>
      <c r="F305" s="322" t="str">
        <f t="shared" si="58"/>
        <v/>
      </c>
      <c r="G305" s="225">
        <f t="shared" si="59"/>
        <v>0</v>
      </c>
      <c r="H305" s="204" t="e">
        <f t="shared" si="60"/>
        <v>#DIV/0!</v>
      </c>
      <c r="I305" s="322" t="str">
        <f t="shared" si="57"/>
        <v/>
      </c>
      <c r="J305" s="543"/>
      <c r="K305" s="524"/>
      <c r="L305" s="524"/>
      <c r="M305" s="524"/>
    </row>
    <row r="306" spans="1:13" customFormat="1" ht="12.75" hidden="1" outlineLevel="1" x14ac:dyDescent="0.2">
      <c r="A306" s="176">
        <v>5305200300</v>
      </c>
      <c r="B306" s="317" t="s">
        <v>82</v>
      </c>
      <c r="C306" s="205">
        <f>IFERROR(VLOOKUP(A:A,'PPTO 2017'!A:E,3,0),0)</f>
        <v>0</v>
      </c>
      <c r="D306" s="205">
        <f>IFERROR(VLOOKUP(A:A,EJEC!A:G,5,0),0)</f>
        <v>0</v>
      </c>
      <c r="E306" s="205">
        <v>0</v>
      </c>
      <c r="F306" s="322" t="str">
        <f t="shared" si="58"/>
        <v/>
      </c>
      <c r="G306" s="225">
        <f t="shared" si="59"/>
        <v>0</v>
      </c>
      <c r="H306" s="204" t="e">
        <f t="shared" si="60"/>
        <v>#DIV/0!</v>
      </c>
      <c r="I306" s="322" t="str">
        <f t="shared" si="57"/>
        <v/>
      </c>
      <c r="J306" s="543"/>
      <c r="K306" s="524"/>
      <c r="L306" s="524"/>
      <c r="M306" s="524"/>
    </row>
    <row r="307" spans="1:13" customFormat="1" ht="12.75" hidden="1" outlineLevel="1" x14ac:dyDescent="0.2">
      <c r="A307" s="176">
        <v>5305250000</v>
      </c>
      <c r="B307" s="317" t="s">
        <v>15</v>
      </c>
      <c r="C307" s="205">
        <f>IFERROR(VLOOKUP(A:A,'PPTO 2017'!A:E,3,0),0)</f>
        <v>0</v>
      </c>
      <c r="D307" s="205">
        <f>IFERROR(VLOOKUP(A:A,EJEC!A:G,5,0),0)</f>
        <v>0</v>
      </c>
      <c r="E307" s="205">
        <v>0</v>
      </c>
      <c r="F307" s="322" t="str">
        <f t="shared" si="58"/>
        <v/>
      </c>
      <c r="G307" s="225">
        <f t="shared" si="59"/>
        <v>0</v>
      </c>
      <c r="H307" s="204" t="e">
        <f t="shared" si="60"/>
        <v>#DIV/0!</v>
      </c>
      <c r="I307" s="322" t="str">
        <f t="shared" si="57"/>
        <v/>
      </c>
      <c r="J307" s="543"/>
      <c r="K307" s="524"/>
      <c r="L307" s="524"/>
      <c r="M307" s="524"/>
    </row>
    <row r="308" spans="1:13" customFormat="1" ht="12.75" hidden="1" outlineLevel="1" x14ac:dyDescent="0.2">
      <c r="A308" s="610">
        <v>5305450100</v>
      </c>
      <c r="B308" s="317" t="s">
        <v>763</v>
      </c>
      <c r="C308" s="205">
        <f>IFERROR(VLOOKUP(A:A,'PPTO 2017'!A:E,3,0),0)</f>
        <v>0</v>
      </c>
      <c r="D308" s="205">
        <f>IFERROR(VLOOKUP(A:A,EJEC!A:G,5,0),0)</f>
        <v>0</v>
      </c>
      <c r="E308" s="205">
        <v>0</v>
      </c>
      <c r="F308" s="322" t="str">
        <f>IF(E308=0,"",IF(C308=0,"",(E308/C308)))</f>
        <v/>
      </c>
      <c r="G308" s="225">
        <f t="shared" si="59"/>
        <v>0</v>
      </c>
      <c r="H308" s="204" t="e">
        <f>(+G308/E308)-1</f>
        <v>#DIV/0!</v>
      </c>
      <c r="I308" s="322" t="str">
        <f>IF(G308=0,"",IF(E308=0,"",(G308/E308)-1))</f>
        <v/>
      </c>
      <c r="J308" s="543"/>
      <c r="K308" s="524"/>
      <c r="L308" s="524"/>
      <c r="M308" s="524"/>
    </row>
    <row r="309" spans="1:13" customFormat="1" ht="12.75" hidden="1" outlineLevel="1" x14ac:dyDescent="0.2">
      <c r="A309" s="610">
        <v>5305953501</v>
      </c>
      <c r="B309" s="317" t="s">
        <v>764</v>
      </c>
      <c r="C309" s="205">
        <f>IFERROR(VLOOKUP(A:A,'PPTO 2017'!A:E,3,0),0)</f>
        <v>0</v>
      </c>
      <c r="D309" s="205">
        <f>IFERROR(VLOOKUP(A:A,EJEC!A:G,5,0),0)</f>
        <v>0</v>
      </c>
      <c r="E309" s="205">
        <v>0</v>
      </c>
      <c r="F309" s="322" t="str">
        <f>IF(E309=0,"",IF(C309=0,"",(E309/C309)))</f>
        <v/>
      </c>
      <c r="G309" s="225">
        <f t="shared" si="59"/>
        <v>0</v>
      </c>
      <c r="H309" s="204" t="e">
        <f>(+G309/E309)-1</f>
        <v>#DIV/0!</v>
      </c>
      <c r="I309" s="322" t="str">
        <f>IF(G309=0,"",IF(E309=0,"",(G309/E309)-1))</f>
        <v/>
      </c>
      <c r="J309" s="543"/>
      <c r="K309" s="524"/>
      <c r="L309" s="524"/>
      <c r="M309" s="524"/>
    </row>
    <row r="310" spans="1:13" customFormat="1" ht="12.75" hidden="1" outlineLevel="1" x14ac:dyDescent="0.2">
      <c r="A310" s="176">
        <v>5315100000</v>
      </c>
      <c r="B310" s="319" t="s">
        <v>404</v>
      </c>
      <c r="C310" s="205">
        <f>IFERROR(VLOOKUP(A:A,'PPTO 2017'!A:E,3,0),0)</f>
        <v>0</v>
      </c>
      <c r="D310" s="205">
        <f>IFERROR(VLOOKUP(A:A,EJEC!A:G,5,0),0)</f>
        <v>0</v>
      </c>
      <c r="E310" s="205">
        <v>0</v>
      </c>
      <c r="F310" s="322" t="str">
        <f t="shared" si="58"/>
        <v/>
      </c>
      <c r="G310" s="225">
        <f t="shared" si="59"/>
        <v>0</v>
      </c>
      <c r="H310" s="204" t="e">
        <f t="shared" si="60"/>
        <v>#DIV/0!</v>
      </c>
      <c r="I310" s="322" t="str">
        <f t="shared" si="57"/>
        <v/>
      </c>
      <c r="J310" s="543"/>
      <c r="K310" s="524"/>
      <c r="L310" s="524"/>
      <c r="M310" s="524"/>
    </row>
    <row r="311" spans="1:13" customFormat="1" ht="12.75" hidden="1" outlineLevel="1" x14ac:dyDescent="0.2">
      <c r="A311" s="176">
        <v>5315150500</v>
      </c>
      <c r="B311" s="317" t="s">
        <v>406</v>
      </c>
      <c r="C311" s="205">
        <f>IFERROR(VLOOKUP(A:A,'PPTO 2017'!A:E,3,0),0)</f>
        <v>0</v>
      </c>
      <c r="D311" s="205">
        <f>IFERROR(VLOOKUP(A:A,EJEC!A:G,5,0),0)</f>
        <v>0</v>
      </c>
      <c r="E311" s="205">
        <v>0</v>
      </c>
      <c r="F311" s="322" t="str">
        <f t="shared" si="58"/>
        <v/>
      </c>
      <c r="G311" s="225">
        <f t="shared" si="59"/>
        <v>0</v>
      </c>
      <c r="H311" s="204" t="e">
        <f t="shared" si="60"/>
        <v>#DIV/0!</v>
      </c>
      <c r="I311" s="322" t="str">
        <f t="shared" si="57"/>
        <v/>
      </c>
      <c r="J311" s="543"/>
      <c r="K311" s="524"/>
      <c r="L311" s="524"/>
      <c r="M311" s="524"/>
    </row>
    <row r="312" spans="1:13" customFormat="1" ht="12.75" hidden="1" outlineLevel="1" x14ac:dyDescent="0.2">
      <c r="A312" s="176">
        <v>5315200000</v>
      </c>
      <c r="B312" s="317" t="s">
        <v>407</v>
      </c>
      <c r="C312" s="205">
        <f>IFERROR(VLOOKUP(A:A,'PPTO 2017'!A:E,3,0),0)</f>
        <v>0</v>
      </c>
      <c r="D312" s="205">
        <f>IFERROR(VLOOKUP(A:A,EJEC!A:G,5,0),0)</f>
        <v>21.728999999999999</v>
      </c>
      <c r="E312" s="205">
        <v>0</v>
      </c>
      <c r="F312" s="322" t="str">
        <f t="shared" si="58"/>
        <v/>
      </c>
      <c r="G312" s="225">
        <f t="shared" si="59"/>
        <v>0</v>
      </c>
      <c r="H312" s="204" t="e">
        <f t="shared" si="60"/>
        <v>#DIV/0!</v>
      </c>
      <c r="I312" s="322" t="str">
        <f t="shared" si="57"/>
        <v/>
      </c>
      <c r="J312" s="543"/>
      <c r="K312" s="524"/>
      <c r="L312" s="524"/>
      <c r="M312" s="524"/>
    </row>
    <row r="313" spans="1:13" customFormat="1" ht="12.75" hidden="1" outlineLevel="1" x14ac:dyDescent="0.2">
      <c r="A313" s="176">
        <v>5315950100</v>
      </c>
      <c r="B313" s="317" t="s">
        <v>280</v>
      </c>
      <c r="C313" s="205">
        <f>IFERROR(VLOOKUP(A:A,'PPTO 2017'!A:E,3,0),0)</f>
        <v>29425</v>
      </c>
      <c r="D313" s="205">
        <f>IFERROR(VLOOKUP(A:A,EJEC!A:G,5,0),0)</f>
        <v>27500</v>
      </c>
      <c r="E313" s="205">
        <v>27500</v>
      </c>
      <c r="F313" s="322">
        <f t="shared" si="58"/>
        <v>0.93457943925233644</v>
      </c>
      <c r="G313" s="225">
        <f t="shared" si="59"/>
        <v>28875</v>
      </c>
      <c r="H313" s="204">
        <f t="shared" si="60"/>
        <v>5.0000000000000044E-2</v>
      </c>
      <c r="I313" s="322">
        <f t="shared" si="57"/>
        <v>5.0000000000000044E-2</v>
      </c>
      <c r="J313" s="543"/>
      <c r="K313" s="524"/>
      <c r="L313" s="524"/>
      <c r="M313" s="524"/>
    </row>
    <row r="314" spans="1:13" customFormat="1" ht="12.75" hidden="1" outlineLevel="1" x14ac:dyDescent="0.2">
      <c r="A314" s="610">
        <v>5395080000</v>
      </c>
      <c r="B314" s="317" t="s">
        <v>765</v>
      </c>
      <c r="C314" s="205">
        <f>IFERROR(VLOOKUP(A:A,'PPTO 2017'!A:E,3,0),0)</f>
        <v>0</v>
      </c>
      <c r="D314" s="205">
        <f>IFERROR(VLOOKUP(A:A,EJEC!A:G,5,0),0)</f>
        <v>0</v>
      </c>
      <c r="E314" s="205">
        <v>0</v>
      </c>
      <c r="F314" s="322" t="str">
        <f>IF(E314=0,"",IF(C314=0,"",(E314/C314)))</f>
        <v/>
      </c>
      <c r="G314" s="225">
        <f t="shared" si="59"/>
        <v>0</v>
      </c>
      <c r="H314" s="204" t="e">
        <f>(+G314/E314)-1</f>
        <v>#DIV/0!</v>
      </c>
      <c r="I314" s="322" t="str">
        <f>IF(G314=0,"",IF(E314=0,"",(G314/E314)-1))</f>
        <v/>
      </c>
      <c r="J314" s="543"/>
      <c r="K314" s="524"/>
      <c r="L314" s="524"/>
      <c r="M314" s="524"/>
    </row>
    <row r="315" spans="1:13" customFormat="1" ht="12.75" hidden="1" outlineLevel="1" x14ac:dyDescent="0.2">
      <c r="A315" s="176">
        <v>5395070000</v>
      </c>
      <c r="B315" s="317" t="s">
        <v>654</v>
      </c>
      <c r="C315" s="205">
        <f>IFERROR(VLOOKUP(A:A,'PPTO 2017'!A:E,3,0),0)</f>
        <v>60085.850000000006</v>
      </c>
      <c r="D315" s="205">
        <f>IFERROR(VLOOKUP(A:A,EJEC!A:G,5,0),0)</f>
        <v>52965.999000000003</v>
      </c>
      <c r="E315" s="205">
        <v>58966</v>
      </c>
      <c r="F315" s="322">
        <f t="shared" si="58"/>
        <v>0.98136250048888374</v>
      </c>
      <c r="G315" s="225">
        <f t="shared" si="59"/>
        <v>61914.3</v>
      </c>
      <c r="H315" s="204"/>
      <c r="I315" s="322">
        <f t="shared" si="57"/>
        <v>5.0000000000000044E-2</v>
      </c>
      <c r="J315" s="543"/>
      <c r="K315" s="524"/>
      <c r="L315" s="524"/>
      <c r="M315" s="524"/>
    </row>
    <row r="316" spans="1:13" customFormat="1" ht="12.75" hidden="1" outlineLevel="1" x14ac:dyDescent="0.2">
      <c r="A316" s="176">
        <v>5395200000</v>
      </c>
      <c r="B316" s="319" t="s">
        <v>405</v>
      </c>
      <c r="C316" s="205">
        <f>IFERROR(VLOOKUP(A:A,'PPTO 2017'!A:E,3,0),0)</f>
        <v>0</v>
      </c>
      <c r="D316" s="205">
        <f>IFERROR(VLOOKUP(A:A,EJEC!A:G,5,0),0)</f>
        <v>0</v>
      </c>
      <c r="E316" s="205">
        <v>0</v>
      </c>
      <c r="F316" s="322" t="str">
        <f t="shared" si="58"/>
        <v/>
      </c>
      <c r="G316" s="225">
        <f t="shared" si="59"/>
        <v>0</v>
      </c>
      <c r="H316" s="204" t="e">
        <f t="shared" si="60"/>
        <v>#DIV/0!</v>
      </c>
      <c r="I316" s="322" t="str">
        <f t="shared" si="57"/>
        <v/>
      </c>
      <c r="J316" s="543"/>
      <c r="K316" s="524"/>
      <c r="L316" s="524"/>
      <c r="M316" s="524"/>
    </row>
    <row r="317" spans="1:13" customFormat="1" ht="12.75" hidden="1" outlineLevel="1" x14ac:dyDescent="0.2">
      <c r="A317" s="610">
        <v>5395250000</v>
      </c>
      <c r="B317" s="319" t="s">
        <v>766</v>
      </c>
      <c r="C317" s="205">
        <f>IFERROR(VLOOKUP(A:A,'PPTO 2017'!A:E,3,0),0)</f>
        <v>0</v>
      </c>
      <c r="D317" s="205">
        <f>IFERROR(VLOOKUP(A:A,EJEC!A:G,5,0),0)</f>
        <v>0</v>
      </c>
      <c r="E317" s="205">
        <v>0</v>
      </c>
      <c r="F317" s="322" t="str">
        <f>IF(E317=0,"",IF(C317=0,"",(E317/C317)))</f>
        <v/>
      </c>
      <c r="G317" s="225">
        <f t="shared" si="59"/>
        <v>0</v>
      </c>
      <c r="H317" s="204" t="e">
        <f>(+G317/E317)-1</f>
        <v>#DIV/0!</v>
      </c>
      <c r="I317" s="322" t="str">
        <f>IF(G317=0,"",IF(E317=0,"",(G317/E317)-1))</f>
        <v/>
      </c>
      <c r="J317" s="543"/>
      <c r="K317" s="524"/>
      <c r="L317" s="524"/>
      <c r="M317" s="524"/>
    </row>
    <row r="318" spans="1:13" customFormat="1" ht="12.75" hidden="1" outlineLevel="1" x14ac:dyDescent="0.2">
      <c r="A318" s="610">
        <v>5395950200</v>
      </c>
      <c r="B318" s="319" t="s">
        <v>767</v>
      </c>
      <c r="C318" s="205">
        <f>IFERROR(VLOOKUP(A:A,'PPTO 2017'!A:E,3,0),0)</f>
        <v>0</v>
      </c>
      <c r="D318" s="205">
        <f>IFERROR(VLOOKUP(A:A,EJEC!A:G,5,0),0)</f>
        <v>0</v>
      </c>
      <c r="E318" s="205">
        <v>0</v>
      </c>
      <c r="F318" s="322" t="str">
        <f>IF(E318=0,"",IF(C318=0,"",(E318/C318)))</f>
        <v/>
      </c>
      <c r="G318" s="225">
        <f t="shared" si="59"/>
        <v>0</v>
      </c>
      <c r="H318" s="204" t="e">
        <f>(+G318/E318)-1</f>
        <v>#DIV/0!</v>
      </c>
      <c r="I318" s="322" t="str">
        <f>IF(G318=0,"",IF(E318=0,"",(G318/E318)-1))</f>
        <v/>
      </c>
      <c r="J318" s="543"/>
      <c r="K318" s="524"/>
      <c r="L318" s="524"/>
      <c r="M318" s="524"/>
    </row>
    <row r="319" spans="1:13" customFormat="1" ht="12.75" hidden="1" outlineLevel="1" x14ac:dyDescent="0.2">
      <c r="A319" s="176">
        <v>5395950000</v>
      </c>
      <c r="B319" s="317" t="s">
        <v>84</v>
      </c>
      <c r="C319" s="205">
        <f>IFERROR(VLOOKUP(A:A,'PPTO 2017'!A:E,3,0),0)</f>
        <v>3400</v>
      </c>
      <c r="D319" s="205">
        <f>IFERROR(VLOOKUP(A:A,EJEC!A:G,5,0),0)</f>
        <v>0</v>
      </c>
      <c r="E319" s="205">
        <v>0</v>
      </c>
      <c r="F319" s="322" t="str">
        <f t="shared" si="58"/>
        <v/>
      </c>
      <c r="G319" s="316">
        <f>(SUMIF(HONORARIOS!$B$27:$B$165,A319,HONORARIOS!$G$27:$G$165)+SUMIF(ASESOR.Y.CONSULT.!$A$7:$A$25,PRESUPUESTO!A319,ASESOR.Y.CONSULT.!$N$7:$N$25)+SUMIF('PROY INVEST.'!$A$5:$A$26,PRESUPUESTO!A319,'PROY INVEST.'!$N$5:$N$26)+SUMIF(P.PROY.SOCIAL!$A$5:$A$28,PRESUPUESTO!A319,P.PROY.SOCIAL!$N$5:$N$28)+SUMIF(GEST.REC.HUM.!$A$6:$A$39,PRESUPUESTO!A319,GEST.REC.HUM.!$N$6:$N$39)+SUMIF('OTRAS ACTIV.'!$A$6:$A$39,PRESUPUESTO!A319,'OTRAS ACTIV.'!$N$6:$N$39)+SUMIF('ADICIONALES PD'!$A$6:$A$23,PRESUPUESTO!A319,'ADICIONALES PD'!$N$6:$N$23)+SUMIF(SALIDAS!$A$6:$A$19,PRESUPUESTO!A319,SALIDAS!$AE$6:$AE$19)+SUMIF(BIBLIOTECA!$A$7:$A$41,PRESUPUESTO!A319,BIBLIOTECA!$F$5:$F$41)+SUMIF(AFILIACIONES!$A$5:$A$25,PRESUPUESTO!A319,AFILIACIONES!$E$5:$E$25)+SUMIF(IMPRESOS.PUBLIC!$A$7:$A$34,PRESUPUESTO!A319,IMPRESOS.PUBLIC!$D$7:$D$34)+SUMIF(MANTEN.EQUIP.!$A$7:$A$27,PRESUPUESTO!A319,MANTEN.EQUIP.!$D$7:$D$27)+SUMIF(INVER.EQUIPO.COMP!$A$7:$A$37,PRESUPUESTO!A319,INVER.EQUIPO.COMP!$E$7:$E$37)+SUMIF(INVER.OTROS.EQUIPOS!$A$7:$A$37,PRESUPUESTO!A319,INVER.OTROS.EQUIPOS!$E$7:$E$37)+SUMIF(INVER.MUEBLES!$A$7:$A$35,PRESUPUESTO!A319,INVER.MUEBLES!$E$7:$E$35)+SUMIF(ADECUAC.LOCATIVAS!$A$7:$A$29,PRESUPUESTO!A319,ADECUAC.LOCATIVAS!$E$7:$E$29))/1000</f>
        <v>24200</v>
      </c>
      <c r="H319" s="204" t="e">
        <f t="shared" si="60"/>
        <v>#DIV/0!</v>
      </c>
      <c r="I319" s="322" t="str">
        <f t="shared" si="57"/>
        <v/>
      </c>
      <c r="J319" s="543"/>
      <c r="K319" s="524"/>
      <c r="L319" s="524"/>
      <c r="M319" s="524"/>
    </row>
    <row r="320" spans="1:13" customFormat="1" ht="12.75" hidden="1" outlineLevel="1" x14ac:dyDescent="0.2">
      <c r="A320" s="610">
        <v>6160050200</v>
      </c>
      <c r="B320" s="317" t="s">
        <v>768</v>
      </c>
      <c r="C320" s="205">
        <f>IFERROR(VLOOKUP(A:A,'PPTO 2017'!A:E,3,0),0)</f>
        <v>0</v>
      </c>
      <c r="D320" s="205">
        <f>IFERROR(VLOOKUP(A:A,EJEC!A:G,5,0),0)</f>
        <v>0</v>
      </c>
      <c r="E320" s="205">
        <v>0</v>
      </c>
      <c r="F320" s="322" t="str">
        <f>IF(E320=0,"",IF(C320=0,"",(E320/C320)))</f>
        <v/>
      </c>
      <c r="G320" s="607">
        <f>+E320*$O$2</f>
        <v>0</v>
      </c>
      <c r="H320" s="204" t="e">
        <f>(+G320/E320)-1</f>
        <v>#DIV/0!</v>
      </c>
      <c r="I320" s="322" t="str">
        <f>IF(G320=0,"",IF(E320=0,"",(G320/E320)-1))</f>
        <v/>
      </c>
      <c r="J320" s="543"/>
      <c r="K320" s="524"/>
      <c r="L320" s="524"/>
      <c r="M320" s="524"/>
    </row>
    <row r="321" spans="1:13" customFormat="1" ht="12.75" collapsed="1" x14ac:dyDescent="0.2">
      <c r="A321" s="176"/>
      <c r="B321" s="213" t="s">
        <v>408</v>
      </c>
      <c r="C321" s="214">
        <f>SUM(C300:C320)</f>
        <v>92910.85</v>
      </c>
      <c r="D321" s="214">
        <f>SUM(D300:D320)</f>
        <v>80487.728000000003</v>
      </c>
      <c r="E321" s="214">
        <f>SUM(E300:E320)</f>
        <v>86466</v>
      </c>
      <c r="F321" s="541">
        <f t="shared" si="58"/>
        <v>0.9306340432791218</v>
      </c>
      <c r="G321" s="214">
        <f>SUM(G300:G320)</f>
        <v>114989.3</v>
      </c>
      <c r="H321" s="228">
        <f>(+G321/E321)-1</f>
        <v>0.32987879628987127</v>
      </c>
      <c r="I321" s="322">
        <f t="shared" si="57"/>
        <v>0.32987879628987127</v>
      </c>
      <c r="J321" s="543"/>
      <c r="K321" s="524"/>
      <c r="L321" s="524"/>
      <c r="M321" s="524"/>
    </row>
    <row r="322" spans="1:13" customFormat="1" ht="12.75" x14ac:dyDescent="0.2">
      <c r="A322" s="1"/>
      <c r="B322" s="209" t="s">
        <v>409</v>
      </c>
      <c r="C322" s="210">
        <f>+C297-C321</f>
        <v>7089.1499999999942</v>
      </c>
      <c r="D322" s="210">
        <f>+D297-D321</f>
        <v>-41185.678</v>
      </c>
      <c r="E322" s="210">
        <f>+E297-E321</f>
        <v>-47328</v>
      </c>
      <c r="F322" s="926">
        <f t="shared" si="58"/>
        <v>-6.6761177292059051</v>
      </c>
      <c r="G322" s="210">
        <f>+G297-G321</f>
        <v>-73894.399999999994</v>
      </c>
      <c r="H322" s="211">
        <f>(+G322/E322)-1</f>
        <v>0.56132521974306959</v>
      </c>
      <c r="I322" s="322">
        <f t="shared" ref="I322:I330" si="61">IF(G322=0,"",IF(E322=0,"",(G322/E322)-1))</f>
        <v>0.56132521974306959</v>
      </c>
      <c r="J322" s="543"/>
      <c r="K322" s="524"/>
      <c r="L322" s="524"/>
      <c r="M322" s="524"/>
    </row>
    <row r="323" spans="1:13" customFormat="1" ht="12.75" x14ac:dyDescent="0.2">
      <c r="A323" s="3"/>
      <c r="B323" s="216" t="s">
        <v>152</v>
      </c>
      <c r="C323" s="210">
        <f>+C244+C322</f>
        <v>6126470.5203312319</v>
      </c>
      <c r="D323" s="210">
        <f>+D244+D322</f>
        <v>5254629.5760000041</v>
      </c>
      <c r="E323" s="210">
        <f>+E244+E322</f>
        <v>5508270.0420000032</v>
      </c>
      <c r="F323" s="926">
        <f t="shared" ref="F323:F330" si="62">IF(E323=0,"",IF(C323=0,"",(E323/C323)))</f>
        <v>0.89909353578382922</v>
      </c>
      <c r="G323" s="210">
        <f>+G244+G322</f>
        <v>5444763.2070045117</v>
      </c>
      <c r="H323" s="211">
        <f>(+G323/E323)-1</f>
        <v>-1.1529361217089584E-2</v>
      </c>
      <c r="I323" s="322">
        <f t="shared" si="61"/>
        <v>-1.1529361217089584E-2</v>
      </c>
      <c r="J323" s="543"/>
      <c r="K323" s="524"/>
      <c r="L323" s="524"/>
      <c r="M323" s="524"/>
    </row>
    <row r="324" spans="1:13" customFormat="1" ht="12.75" hidden="1" x14ac:dyDescent="0.2">
      <c r="A324" s="1"/>
      <c r="B324" s="206" t="s">
        <v>238</v>
      </c>
      <c r="C324" s="205"/>
      <c r="D324" s="205"/>
      <c r="E324" s="205"/>
      <c r="F324" s="322" t="str">
        <f t="shared" si="62"/>
        <v/>
      </c>
      <c r="G324" s="208"/>
      <c r="H324" s="204" t="s">
        <v>169</v>
      </c>
      <c r="I324" s="322" t="str">
        <f t="shared" si="61"/>
        <v/>
      </c>
      <c r="J324" s="543"/>
      <c r="K324" s="524"/>
      <c r="L324" s="524"/>
      <c r="M324" s="524"/>
    </row>
    <row r="325" spans="1:13" customFormat="1" ht="12.75" hidden="1" outlineLevel="1" x14ac:dyDescent="0.2">
      <c r="A325" s="1"/>
      <c r="B325" s="206" t="s">
        <v>410</v>
      </c>
      <c r="C325" s="205"/>
      <c r="D325" s="205"/>
      <c r="E325" s="205"/>
      <c r="F325" s="322" t="str">
        <f t="shared" si="62"/>
        <v/>
      </c>
      <c r="G325" s="208"/>
      <c r="H325" s="204" t="s">
        <v>169</v>
      </c>
      <c r="I325" s="322" t="str">
        <f t="shared" si="61"/>
        <v/>
      </c>
      <c r="J325" s="543"/>
      <c r="K325" s="524"/>
      <c r="L325" s="524"/>
      <c r="M325" s="524"/>
    </row>
    <row r="326" spans="1:13" customFormat="1" ht="12.75" hidden="1" outlineLevel="1" x14ac:dyDescent="0.2">
      <c r="A326" s="1">
        <v>1524050000</v>
      </c>
      <c r="B326" s="320" t="s">
        <v>411</v>
      </c>
      <c r="C326" s="205">
        <f>IFERROR(VLOOKUP(A:A,'PPTO 2017'!A:E,3,0),0)</f>
        <v>1600</v>
      </c>
      <c r="D326" s="205">
        <f>IFERROR(VLOOKUP(A:A,EJEC!A:G,5,0),0)</f>
        <v>0</v>
      </c>
      <c r="E326" s="205">
        <v>1450</v>
      </c>
      <c r="F326" s="322">
        <f t="shared" si="62"/>
        <v>0.90625</v>
      </c>
      <c r="G326" s="226">
        <f>(SUMIF(HONORARIOS!$B$27:$B$165,A326,HONORARIOS!$G$27:$G$165)+SUMIF(ASESOR.Y.CONSULT.!$A$7:$A$25,PRESUPUESTO!A326,ASESOR.Y.CONSULT.!$N$7:$N$25)+SUMIF('PROY INVEST.'!$A$5:$A$26,PRESUPUESTO!A326,'PROY INVEST.'!$N$5:$N$26)+SUMIF(P.PROY.SOCIAL!$A$5:$A$28,PRESUPUESTO!A326,P.PROY.SOCIAL!$N$5:$N$28)+SUMIF(GEST.REC.HUM.!$A$6:$A$39,PRESUPUESTO!A326,GEST.REC.HUM.!$N$6:$N$39)+SUMIF('OTRAS ACTIV.'!$A$6:$A$39,PRESUPUESTO!A326,'OTRAS ACTIV.'!$N$6:$N$39)+SUMIF('ADICIONALES PD'!$A$6:$A$23,PRESUPUESTO!A326,'ADICIONALES PD'!$N$6:$N$23)+SUMIF(SALIDAS!$A$6:$A$19,PRESUPUESTO!A326,SALIDAS!$AE$6:$AE$19)+SUMIF(BIBLIOTECA!$A$7:$A$41,PRESUPUESTO!A326,BIBLIOTECA!$F$5:$F$41)+SUMIF(AFILIACIONES!$A$5:$A$25,PRESUPUESTO!A326,AFILIACIONES!$E$5:$E$25)+SUMIF(IMPRESOS.PUBLIC!$A$7:$A$34,PRESUPUESTO!A326,IMPRESOS.PUBLIC!$D$7:$D$34)+SUMIF(MANTEN.EQUIP.!$A$7:$A$27,PRESUPUESTO!A326,MANTEN.EQUIP.!$D$7:$D$27)+SUMIF(INVER.EQUIPO.COMP!$A$7:$A$37,PRESUPUESTO!A326,INVER.EQUIPO.COMP!$E$7:$E$37)+SUMIF(INVER.OTROS.EQUIPOS!$A$7:$A$37,PRESUPUESTO!A326,INVER.OTROS.EQUIPOS!$E$7:$E$37)+SUMIF(INVER.MUEBLES!$A$7:$A$35,PRESUPUESTO!A326,INVER.MUEBLES!$E$7:$E$35)+SUMIF(ADECUAC.LOCATIVAS!$A$7:$A$29,PRESUPUESTO!A326,ADECUAC.LOCATIVAS!$E$7:$E$29))/1000</f>
        <v>12000</v>
      </c>
      <c r="H326" s="204">
        <f>(+G326/E326)-1</f>
        <v>7.2758620689655178</v>
      </c>
      <c r="I326" s="322">
        <f t="shared" si="61"/>
        <v>7.2758620689655178</v>
      </c>
      <c r="J326" s="543"/>
      <c r="K326" s="524"/>
      <c r="L326" s="524"/>
      <c r="M326" s="524"/>
    </row>
    <row r="327" spans="1:13" customFormat="1" ht="12.75" hidden="1" outlineLevel="1" x14ac:dyDescent="0.2">
      <c r="A327" s="1">
        <v>1528050000</v>
      </c>
      <c r="B327" s="320" t="s">
        <v>655</v>
      </c>
      <c r="C327" s="205">
        <f>IFERROR(VLOOKUP(A:A,'PPTO 2017'!A:E,3,0),0)</f>
        <v>11800</v>
      </c>
      <c r="D327" s="205">
        <f>IFERROR(VLOOKUP(A:A,EJEC!A:G,5,0),0)</f>
        <v>0</v>
      </c>
      <c r="E327" s="205">
        <v>10500</v>
      </c>
      <c r="F327" s="322">
        <f t="shared" si="62"/>
        <v>0.88983050847457623</v>
      </c>
      <c r="G327" s="226">
        <f>(SUMIF(HONORARIOS!$B$27:$B$165,A327,HONORARIOS!$G$27:$G$165)+SUMIF(ASESOR.Y.CONSULT.!$A$7:$A$25,PRESUPUESTO!A327,ASESOR.Y.CONSULT.!$N$7:$N$25)+SUMIF('PROY INVEST.'!$A$5:$A$26,PRESUPUESTO!A327,'PROY INVEST.'!$N$5:$N$26)+SUMIF(P.PROY.SOCIAL!$A$5:$A$28,PRESUPUESTO!A327,P.PROY.SOCIAL!$N$5:$N$28)+SUMIF(GEST.REC.HUM.!$A$6:$A$39,PRESUPUESTO!A327,GEST.REC.HUM.!$N$6:$N$39)+SUMIF('OTRAS ACTIV.'!$A$6:$A$39,PRESUPUESTO!A327,'OTRAS ACTIV.'!$N$6:$N$39)+SUMIF('ADICIONALES PD'!$A$6:$A$23,PRESUPUESTO!A327,'ADICIONALES PD'!$N$6:$N$23)+SUMIF(SALIDAS!$A$6:$A$19,PRESUPUESTO!A327,SALIDAS!$AE$6:$AE$19)+SUMIF(BIBLIOTECA!$A$7:$A$41,PRESUPUESTO!A327,BIBLIOTECA!$F$5:$F$41)+SUMIF(AFILIACIONES!$A$5:$A$25,PRESUPUESTO!A327,AFILIACIONES!$E$5:$E$25)+SUMIF(IMPRESOS.PUBLIC!$A$7:$A$34,PRESUPUESTO!A327,IMPRESOS.PUBLIC!$D$7:$D$34)+SUMIF(MANTEN.EQUIP.!$A$7:$A$27,PRESUPUESTO!A327,MANTEN.EQUIP.!$D$7:$D$27)+SUMIF(INVER.EQUIPO.COMP!$A$7:$A$37,PRESUPUESTO!A327,INVER.EQUIPO.COMP!$E$7:$E$37)+SUMIF(INVER.OTROS.EQUIPOS!$A$7:$A$37,PRESUPUESTO!A327,INVER.OTROS.EQUIPOS!$E$7:$E$37)+SUMIF(INVER.MUEBLES!$A$7:$A$35,PRESUPUESTO!A327,INVER.MUEBLES!$E$7:$E$35)+SUMIF(ADECUAC.LOCATIVAS!$A$7:$A$29,PRESUPUESTO!A327,ADECUAC.LOCATIVAS!$E$7:$E$29))/1000</f>
        <v>0</v>
      </c>
      <c r="H327" s="204">
        <f>(+G327/E327)-1</f>
        <v>-1</v>
      </c>
      <c r="I327" s="322" t="str">
        <f t="shared" si="61"/>
        <v/>
      </c>
      <c r="J327" s="543"/>
      <c r="K327" s="524"/>
      <c r="L327" s="524"/>
      <c r="M327" s="524"/>
    </row>
    <row r="328" spans="1:13" customFormat="1" ht="12.75" hidden="1" outlineLevel="1" x14ac:dyDescent="0.2">
      <c r="A328" s="1">
        <v>1532050000</v>
      </c>
      <c r="B328" s="320" t="s">
        <v>656</v>
      </c>
      <c r="C328" s="205">
        <f>IFERROR(VLOOKUP(A:A,'PPTO 2017'!A:E,3,0),0)</f>
        <v>502500</v>
      </c>
      <c r="D328" s="205">
        <f>IFERROR(VLOOKUP(A:A,EJEC!A:G,5,0),0)</f>
        <v>0</v>
      </c>
      <c r="E328" s="205">
        <v>425000</v>
      </c>
      <c r="F328" s="322">
        <f t="shared" si="62"/>
        <v>0.845771144278607</v>
      </c>
      <c r="G328" s="226">
        <f>(SUMIF(HONORARIOS!$B$27:$B$165,A328,HONORARIOS!$G$27:$G$165)+SUMIF(ASESOR.Y.CONSULT.!$A$7:$A$25,PRESUPUESTO!A328,ASESOR.Y.CONSULT.!$N$7:$N$25)+SUMIF('PROY INVEST.'!$A$5:$A$26,PRESUPUESTO!A328,'PROY INVEST.'!$N$5:$N$26)+SUMIF(P.PROY.SOCIAL!$A$5:$A$28,PRESUPUESTO!A328,P.PROY.SOCIAL!$N$5:$N$28)+SUMIF(GEST.REC.HUM.!$A$6:$A$39,PRESUPUESTO!A328,GEST.REC.HUM.!$N$6:$N$39)+SUMIF('OTRAS ACTIV.'!$A$6:$A$39,PRESUPUESTO!A328,'OTRAS ACTIV.'!$N$6:$N$39)+SUMIF('ADICIONALES PD'!$A$6:$A$23,PRESUPUESTO!A328,'ADICIONALES PD'!$N$6:$N$23)+SUMIF(SALIDAS!$A$6:$A$19,PRESUPUESTO!A328,SALIDAS!$AE$6:$AE$19)+SUMIF(BIBLIOTECA!$A$7:$A$41,PRESUPUESTO!A328,BIBLIOTECA!$F$5:$F$41)+SUMIF(AFILIACIONES!$A$5:$A$25,PRESUPUESTO!A328,AFILIACIONES!$E$5:$E$25)+SUMIF(IMPRESOS.PUBLIC!$A$7:$A$34,PRESUPUESTO!A328,IMPRESOS.PUBLIC!$D$7:$D$34)+SUMIF(MANTEN.EQUIP.!$A$7:$A$27,PRESUPUESTO!A328,MANTEN.EQUIP.!$D$7:$D$27)+SUMIF(INVER.EQUIPO.COMP!$A$7:$A$37,PRESUPUESTO!A328,INVER.EQUIPO.COMP!$E$7:$E$37)+SUMIF(INVER.OTROS.EQUIPOS!$A$7:$A$37,PRESUPUESTO!A328,INVER.OTROS.EQUIPOS!$E$7:$E$37)+SUMIF(INVER.MUEBLES!$A$7:$A$35,PRESUPUESTO!A328,INVER.MUEBLES!$E$7:$E$35)+SUMIF(ADECUAC.LOCATIVAS!$A$7:$A$29,PRESUPUESTO!A328,ADECUAC.LOCATIVAS!$E$7:$E$29))/1000</f>
        <v>700000</v>
      </c>
      <c r="H328" s="204">
        <f>(+G328/E328)-1</f>
        <v>0.64705882352941169</v>
      </c>
      <c r="I328" s="322">
        <f t="shared" si="61"/>
        <v>0.64705882352941169</v>
      </c>
      <c r="J328" s="543"/>
      <c r="K328" s="524"/>
      <c r="L328" s="524"/>
      <c r="M328" s="524"/>
    </row>
    <row r="329" spans="1:13" customFormat="1" ht="12.75" collapsed="1" x14ac:dyDescent="0.2">
      <c r="A329" s="1"/>
      <c r="B329" s="217" t="s">
        <v>239</v>
      </c>
      <c r="C329" s="214">
        <f>SUM(C326:C328)</f>
        <v>515900</v>
      </c>
      <c r="D329" s="214">
        <f>SUM(D326:D328)</f>
        <v>0</v>
      </c>
      <c r="E329" s="214">
        <f>SUM(E326:E328)</f>
        <v>436950</v>
      </c>
      <c r="F329" s="541">
        <f t="shared" si="62"/>
        <v>0.8469664663694515</v>
      </c>
      <c r="G329" s="214">
        <f>SUM(G326:G328)</f>
        <v>712000</v>
      </c>
      <c r="H329" s="228">
        <f>(+G329/E329)-1</f>
        <v>0.62947705687149558</v>
      </c>
      <c r="I329" s="322">
        <f t="shared" si="61"/>
        <v>0.62947705687149558</v>
      </c>
      <c r="J329" s="543"/>
      <c r="K329" s="524"/>
      <c r="L329" s="524"/>
      <c r="M329" s="524"/>
    </row>
    <row r="330" spans="1:13" customFormat="1" ht="13.5" thickBot="1" x14ac:dyDescent="0.25">
      <c r="A330" s="1"/>
      <c r="B330" s="218" t="s">
        <v>240</v>
      </c>
      <c r="C330" s="219">
        <f>+C323-C329</f>
        <v>5610570.5203312319</v>
      </c>
      <c r="D330" s="219">
        <f>+D323-D329</f>
        <v>5254629.5760000041</v>
      </c>
      <c r="E330" s="219">
        <f>+E323-E329</f>
        <v>5071320.0420000032</v>
      </c>
      <c r="F330" s="928">
        <f t="shared" si="62"/>
        <v>0.90388669452114956</v>
      </c>
      <c r="G330" s="219">
        <f>+G323-G329</f>
        <v>4732763.2070045117</v>
      </c>
      <c r="H330" s="211">
        <f>(+G330/E330)-1</f>
        <v>-6.675911443009086E-2</v>
      </c>
      <c r="I330" s="322">
        <f t="shared" si="61"/>
        <v>-6.675911443009086E-2</v>
      </c>
      <c r="J330" s="543"/>
      <c r="K330" s="524"/>
      <c r="L330" s="524"/>
      <c r="M330" s="524"/>
    </row>
    <row r="331" spans="1:13" ht="16.5" customHeight="1" x14ac:dyDescent="0.2">
      <c r="B331" s="220" t="s">
        <v>842</v>
      </c>
      <c r="C331" s="680">
        <f>IFERROR((C330/(+C29+C297)),"Sin datos")</f>
        <v>0.15742897802091863</v>
      </c>
      <c r="D331" s="680"/>
      <c r="E331" s="680">
        <f>IFERROR((E330/(+E29+E297)),"Sin datos")</f>
        <v>0.14058654744556151</v>
      </c>
      <c r="F331" s="681"/>
      <c r="G331" s="680">
        <f>IFERROR(G330/(+G29+G297),"Sin datos")</f>
        <v>0.12344569321727233</v>
      </c>
      <c r="J331" s="544"/>
      <c r="K331" s="523"/>
      <c r="L331" s="523"/>
      <c r="M331" s="523"/>
    </row>
    <row r="332" spans="1:13" ht="16.5" customHeight="1" x14ac:dyDescent="0.2">
      <c r="B332" s="220" t="s">
        <v>843</v>
      </c>
      <c r="C332" s="788">
        <f>IFERROR((C29/C243)-1,"Sin datos")</f>
        <v>0.2080052563251098</v>
      </c>
      <c r="D332" s="680"/>
      <c r="E332" s="680">
        <f t="shared" ref="E332:G332" si="63">IFERROR((E29/E243)-1,"Sin datos")</f>
        <v>0.18228314707967219</v>
      </c>
      <c r="F332" s="681"/>
      <c r="G332" s="680">
        <f t="shared" si="63"/>
        <v>0.16835915943029689</v>
      </c>
      <c r="J332" s="544"/>
      <c r="K332" s="523"/>
      <c r="L332" s="523"/>
      <c r="M332" s="523"/>
    </row>
    <row r="333" spans="1:13" ht="27.75" customHeight="1" x14ac:dyDescent="0.2">
      <c r="B333" s="785" t="s">
        <v>841</v>
      </c>
      <c r="C333" s="786">
        <f>IFERROR((SUM(C9:C28)+C297)/(C297+C29),"Sin datos")</f>
        <v>7.3126739374306492E-3</v>
      </c>
      <c r="D333" s="786"/>
      <c r="E333" s="786">
        <f>IFERROR((SUM(E9:E28)+E297)/(E297+E29),"Sin datos")</f>
        <v>2.2197744414428422E-3</v>
      </c>
      <c r="F333" s="787"/>
      <c r="G333" s="786">
        <f t="shared" ref="G333" si="64">IFERROR((SUM(G9:G28)+G297)/(G297+G29),"Sin datos")</f>
        <v>2.6769636734691573E-3</v>
      </c>
      <c r="J333" s="544"/>
      <c r="K333" s="523"/>
      <c r="L333" s="523"/>
      <c r="M333" s="523"/>
    </row>
    <row r="334" spans="1:13" ht="16.5" customHeight="1" thickBot="1" x14ac:dyDescent="0.25">
      <c r="C334" s="681"/>
      <c r="D334" s="681"/>
      <c r="E334" s="681"/>
      <c r="F334" s="681"/>
      <c r="G334" s="681"/>
    </row>
    <row r="335" spans="1:13" ht="16.5" customHeight="1" x14ac:dyDescent="0.2">
      <c r="B335" s="617" t="s">
        <v>775</v>
      </c>
      <c r="C335" s="682">
        <f>IFERROR((C61+C73)/(C29+C297), "Sin datos")</f>
        <v>0.44346405405708089</v>
      </c>
      <c r="D335" s="682"/>
      <c r="E335" s="682">
        <f t="shared" ref="E335:G335" si="65">IFERROR((E61+E73)/(E29+E297), "Sin datos")</f>
        <v>0.44424562917366828</v>
      </c>
      <c r="F335" s="682"/>
      <c r="G335" s="683">
        <f t="shared" si="65"/>
        <v>0.4448576076074634</v>
      </c>
    </row>
    <row r="336" spans="1:13" ht="16.5" customHeight="1" x14ac:dyDescent="0.2">
      <c r="B336" s="616" t="s">
        <v>776</v>
      </c>
      <c r="C336" s="684">
        <f>IFERROR(C61/C29,"Sin datos")</f>
        <v>0.43365390935013665</v>
      </c>
      <c r="D336" s="684"/>
      <c r="E336" s="684">
        <f t="shared" ref="E336:G336" si="66">IFERROR(E61/E29,"Sin datos")</f>
        <v>0.43462087347960005</v>
      </c>
      <c r="F336" s="684"/>
      <c r="G336" s="685">
        <f t="shared" si="66"/>
        <v>0.43719280108027903</v>
      </c>
    </row>
    <row r="337" spans="2:10" ht="16.5" customHeight="1" x14ac:dyDescent="0.2">
      <c r="B337" s="618" t="s">
        <v>777</v>
      </c>
      <c r="C337" s="686">
        <f>IFERROR((C61/(C29+C297)),"Sin datos")</f>
        <v>0.43243710454363121</v>
      </c>
      <c r="D337" s="686"/>
      <c r="E337" s="686">
        <f t="shared" ref="E337:G337" si="67">IFERROR((E61/(E29+E297)),"Sin datos")</f>
        <v>0.43414931891211345</v>
      </c>
      <c r="F337" s="686"/>
      <c r="G337" s="687">
        <f t="shared" si="67"/>
        <v>0.43672417970215566</v>
      </c>
    </row>
    <row r="338" spans="2:10" ht="16.5" customHeight="1" x14ac:dyDescent="0.2">
      <c r="B338" s="616" t="s">
        <v>778</v>
      </c>
      <c r="C338" s="684">
        <f>IFERROR(C73/C29,"Sin datos")</f>
        <v>1.1057977482668983E-2</v>
      </c>
      <c r="D338" s="684"/>
      <c r="E338" s="684">
        <f t="shared" ref="E338:G338" si="68">IFERROR(E73/E29,"Sin datos")</f>
        <v>1.0107276445333593E-2</v>
      </c>
      <c r="F338" s="684"/>
      <c r="G338" s="685">
        <f t="shared" si="68"/>
        <v>8.1421553776369771E-3</v>
      </c>
      <c r="H338" s="196"/>
      <c r="I338" s="196"/>
      <c r="J338" s="196"/>
    </row>
    <row r="339" spans="2:10" ht="16.5" customHeight="1" x14ac:dyDescent="0.2">
      <c r="B339" s="618" t="s">
        <v>839</v>
      </c>
      <c r="C339" s="686">
        <f>IFERROR(C242/(C29+C297),"Sin datos")</f>
        <v>0.29449014149544755</v>
      </c>
      <c r="D339" s="686"/>
      <c r="E339" s="686">
        <f t="shared" ref="E339:G339" si="69">IFERROR(E242/(E29+E297),"Sin datos")</f>
        <v>0.29178850018063579</v>
      </c>
      <c r="F339" s="686"/>
      <c r="G339" s="687">
        <f t="shared" si="69"/>
        <v>0.30010809943756017</v>
      </c>
      <c r="H339" s="196"/>
      <c r="I339" s="196"/>
      <c r="J339" s="196"/>
    </row>
    <row r="340" spans="2:10" ht="16.5" customHeight="1" x14ac:dyDescent="0.2">
      <c r="B340" s="616" t="s">
        <v>780</v>
      </c>
      <c r="C340" s="684">
        <f>IFERROR((C323/(C29+C297)),"Sin datos")</f>
        <v>0.17190479816553328</v>
      </c>
      <c r="D340" s="684"/>
      <c r="E340" s="684">
        <f t="shared" ref="E340:G340" si="70">IFERROR((E323/(E29+E297)),"Sin datos")</f>
        <v>0.15269962478984048</v>
      </c>
      <c r="F340" s="684"/>
      <c r="G340" s="685">
        <f t="shared" si="70"/>
        <v>0.1420169442447092</v>
      </c>
      <c r="H340" s="196"/>
      <c r="I340" s="196"/>
      <c r="J340" s="196"/>
    </row>
    <row r="341" spans="2:10" ht="16.5" customHeight="1" x14ac:dyDescent="0.2">
      <c r="B341" s="618" t="s">
        <v>781</v>
      </c>
      <c r="C341" s="686">
        <f>IFERROR((C329/C29),"Sin datos")</f>
        <v>1.4516552651943463E-2</v>
      </c>
      <c r="D341" s="686"/>
      <c r="E341" s="686">
        <f t="shared" ref="E341:G341" si="71">IFERROR((E329/E29),"Sin datos")</f>
        <v>1.2126234054883344E-2</v>
      </c>
      <c r="F341" s="686"/>
      <c r="G341" s="687">
        <f t="shared" si="71"/>
        <v>1.8591178674346377E-2</v>
      </c>
    </row>
    <row r="342" spans="2:10" ht="16.5" customHeight="1" x14ac:dyDescent="0.2">
      <c r="B342" s="616" t="s">
        <v>782</v>
      </c>
      <c r="C342" s="684">
        <f>IFERROR((C329/(C29+C297)),"Sin datos")</f>
        <v>1.4475820144614647E-2</v>
      </c>
      <c r="D342" s="684"/>
      <c r="E342" s="684">
        <f t="shared" ref="E342:G342" si="72">IFERROR((E329/(E29+E297)),"Sin datos")</f>
        <v>1.2113077344278968E-2</v>
      </c>
      <c r="F342" s="684"/>
      <c r="G342" s="685">
        <f t="shared" si="72"/>
        <v>1.8571251027436859E-2</v>
      </c>
      <c r="H342" s="196"/>
      <c r="I342" s="196"/>
      <c r="J342" s="196"/>
    </row>
    <row r="343" spans="2:10" ht="16.5" customHeight="1" thickBot="1" x14ac:dyDescent="0.25">
      <c r="B343" s="619" t="s">
        <v>783</v>
      </c>
      <c r="C343" s="688">
        <f>IFERROR((C243+C321)/(C29+C297),"Sin datos")</f>
        <v>0.82809520183446672</v>
      </c>
      <c r="D343" s="688"/>
      <c r="E343" s="688">
        <f t="shared" ref="E343:G343" si="73">IFERROR((E243+E321)/(E29+E297),"Sin datos")</f>
        <v>0.84730037521015955</v>
      </c>
      <c r="F343" s="688"/>
      <c r="G343" s="689">
        <f t="shared" si="73"/>
        <v>0.85798305575529088</v>
      </c>
      <c r="H343" s="196"/>
      <c r="I343" s="196"/>
      <c r="J343" s="196"/>
    </row>
    <row r="344" spans="2:10" ht="16.5" customHeight="1" thickBot="1" x14ac:dyDescent="0.25">
      <c r="B344" s="196"/>
      <c r="C344" s="681" t="s">
        <v>169</v>
      </c>
      <c r="D344" s="681"/>
      <c r="E344" s="681"/>
      <c r="F344" s="681"/>
      <c r="G344" s="681"/>
      <c r="H344" s="196"/>
      <c r="I344" s="196"/>
      <c r="J344" s="196"/>
    </row>
    <row r="345" spans="2:10" ht="16.5" customHeight="1" x14ac:dyDescent="0.2">
      <c r="B345" s="615" t="s">
        <v>1238</v>
      </c>
      <c r="C345" s="690"/>
      <c r="D345" s="690"/>
      <c r="E345" s="690"/>
      <c r="F345" s="690"/>
      <c r="G345" s="691">
        <f>IFERROR((G8/E8)-1,"Sin datos")</f>
        <v>6.2337562666855861E-2</v>
      </c>
    </row>
    <row r="346" spans="2:10" ht="16.5" customHeight="1" x14ac:dyDescent="0.2">
      <c r="B346" s="618" t="s">
        <v>1239</v>
      </c>
      <c r="C346" s="686"/>
      <c r="D346" s="686"/>
      <c r="E346" s="686"/>
      <c r="F346" s="686"/>
      <c r="G346" s="687">
        <f>IFERROR((G61/E61)-1,"Sin datos")</f>
        <v>6.9127975105835571E-2</v>
      </c>
    </row>
    <row r="347" spans="2:10" ht="16.5" customHeight="1" x14ac:dyDescent="0.2">
      <c r="B347" s="616" t="s">
        <v>1240</v>
      </c>
      <c r="C347" s="684"/>
      <c r="D347" s="684"/>
      <c r="E347" s="684"/>
      <c r="F347" s="684"/>
      <c r="G347" s="685">
        <f>IFERROR((G73/E73)-1,"Sin datos")</f>
        <v>-0.14380534321801208</v>
      </c>
    </row>
    <row r="348" spans="2:10" ht="16.5" customHeight="1" thickBot="1" x14ac:dyDescent="0.25">
      <c r="B348" s="619" t="s">
        <v>1241</v>
      </c>
      <c r="C348" s="688"/>
      <c r="D348" s="688"/>
      <c r="E348" s="688"/>
      <c r="F348" s="688"/>
      <c r="G348" s="689">
        <f>IFERROR((G176/E176)-1,"Sin datos")</f>
        <v>0.22152920531461495</v>
      </c>
    </row>
  </sheetData>
  <protectedRanges>
    <protectedRange sqref="J4:M333" name="Rango1"/>
  </protectedRanges>
  <mergeCells count="11">
    <mergeCell ref="C1:G1"/>
    <mergeCell ref="J4:M5"/>
    <mergeCell ref="I4:I5"/>
    <mergeCell ref="B2:H2"/>
    <mergeCell ref="B4:B5"/>
    <mergeCell ref="C4:C5"/>
    <mergeCell ref="G4:G5"/>
    <mergeCell ref="H4:H5"/>
    <mergeCell ref="D4:D5"/>
    <mergeCell ref="E4:E5"/>
    <mergeCell ref="F4:F5"/>
  </mergeCells>
  <phoneticPr fontId="27" type="noConversion"/>
  <pageMargins left="0.15748031496062992" right="0.15748031496062992" top="0.15748031496062992" bottom="0.19685039370078741" header="0" footer="0"/>
  <pageSetup scale="85" fitToWidth="3" fitToHeight="5" orientation="portrait" r:id="rId1"/>
  <headerFooter alignWithMargins="0">
    <oddFooter xml:space="preserve">&amp;R&amp;P </oddFooter>
  </headerFooter>
  <ignoredErrors>
    <ignoredError sqref="F29 G143 G84 G73:G74 G323:G325 F176:F177 F260:F267 F297 F321:F323 F329:F330 G176:G179 F61:F65 F72:F80 G78 F82 G245:G246 F251 F253:F257 G270 G275 F84:F95 F97:F115 F217:F249 G297:G299 G241:G243 F67:F70 G217 G214 G153" formula="1"/>
    <ignoredError sqref="F331" evalError="1" formula="1"/>
    <ignoredError sqref="E333" formulaRange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Q65525"/>
  <sheetViews>
    <sheetView workbookViewId="0">
      <selection activeCell="E25" sqref="E25"/>
    </sheetView>
  </sheetViews>
  <sheetFormatPr baseColWidth="10" defaultRowHeight="12.75" x14ac:dyDescent="0.2"/>
  <cols>
    <col min="1" max="1" width="13.5703125" style="5" customWidth="1"/>
    <col min="2" max="2" width="30.140625" style="5" customWidth="1"/>
    <col min="3" max="3" width="22.42578125" style="5" customWidth="1"/>
    <col min="4" max="4" width="26.28515625" style="194" customWidth="1"/>
    <col min="5" max="5" width="15" style="194" customWidth="1"/>
    <col min="6" max="17" width="10.7109375" style="5" customWidth="1"/>
    <col min="18" max="16384" width="11.42578125" style="5"/>
  </cols>
  <sheetData>
    <row r="2" spans="1:17" ht="18" x14ac:dyDescent="0.25">
      <c r="A2" s="1300" t="s">
        <v>477</v>
      </c>
      <c r="B2" s="1300"/>
      <c r="C2" s="1300"/>
      <c r="D2" s="1300"/>
      <c r="E2" s="1300"/>
    </row>
    <row r="3" spans="1:17" ht="18" x14ac:dyDescent="0.25">
      <c r="A3" s="1304" t="str">
        <f>+PRESUPUESTO!B2</f>
        <v>MEDICINA PREGRADO</v>
      </c>
      <c r="B3" s="1304"/>
      <c r="C3" s="1304"/>
      <c r="D3" s="1304"/>
      <c r="E3" s="1304"/>
    </row>
    <row r="4" spans="1:17" ht="18.75" thickBot="1" x14ac:dyDescent="0.3">
      <c r="A4" s="1256">
        <v>2018</v>
      </c>
      <c r="B4" s="1256"/>
      <c r="C4" s="1256"/>
      <c r="D4" s="1256"/>
      <c r="E4" s="1256"/>
      <c r="F4" s="1290" t="s">
        <v>492</v>
      </c>
      <c r="G4" s="1290"/>
      <c r="H4" s="1290"/>
      <c r="I4" s="1290"/>
      <c r="J4" s="1290"/>
      <c r="K4" s="1290"/>
      <c r="L4" s="1290"/>
      <c r="M4" s="1290"/>
      <c r="N4" s="1290"/>
      <c r="O4" s="1290"/>
      <c r="P4" s="1290"/>
      <c r="Q4" s="1290"/>
    </row>
    <row r="5" spans="1:17" ht="12.75" customHeight="1" x14ac:dyDescent="0.2">
      <c r="A5" s="1273" t="s">
        <v>418</v>
      </c>
      <c r="B5" s="1278" t="s">
        <v>256</v>
      </c>
      <c r="C5" s="1257" t="s">
        <v>257</v>
      </c>
      <c r="D5" s="1301" t="s">
        <v>255</v>
      </c>
      <c r="E5" s="1259" t="s">
        <v>475</v>
      </c>
      <c r="F5" s="1288" t="s">
        <v>484</v>
      </c>
      <c r="G5" s="1288" t="s">
        <v>485</v>
      </c>
      <c r="H5" s="1288" t="s">
        <v>486</v>
      </c>
      <c r="I5" s="1288" t="s">
        <v>487</v>
      </c>
      <c r="J5" s="1288" t="s">
        <v>488</v>
      </c>
      <c r="K5" s="1288" t="s">
        <v>489</v>
      </c>
      <c r="L5" s="1288" t="s">
        <v>490</v>
      </c>
      <c r="M5" s="1288" t="s">
        <v>491</v>
      </c>
      <c r="N5" s="1288" t="s">
        <v>251</v>
      </c>
      <c r="O5" s="1288" t="s">
        <v>252</v>
      </c>
      <c r="P5" s="1288" t="s">
        <v>253</v>
      </c>
      <c r="Q5" s="1288" t="s">
        <v>254</v>
      </c>
    </row>
    <row r="6" spans="1:17" ht="13.5" thickBot="1" x14ac:dyDescent="0.25">
      <c r="A6" s="1274"/>
      <c r="B6" s="1279"/>
      <c r="C6" s="1258"/>
      <c r="D6" s="1302"/>
      <c r="E6" s="1303"/>
      <c r="F6" s="1289"/>
      <c r="G6" s="1289"/>
      <c r="H6" s="1289"/>
      <c r="I6" s="1289"/>
      <c r="J6" s="1289"/>
      <c r="K6" s="1289"/>
      <c r="L6" s="1289"/>
      <c r="M6" s="1289"/>
      <c r="N6" s="1289"/>
      <c r="O6" s="1289"/>
      <c r="P6" s="1289"/>
      <c r="Q6" s="1289"/>
    </row>
    <row r="7" spans="1:17" x14ac:dyDescent="0.2">
      <c r="A7" s="891"/>
      <c r="C7" s="556"/>
      <c r="D7" s="557"/>
      <c r="E7" s="995"/>
      <c r="F7" s="996"/>
      <c r="G7" s="558">
        <v>0</v>
      </c>
      <c r="H7" s="558">
        <v>0</v>
      </c>
      <c r="I7" s="558">
        <v>0</v>
      </c>
      <c r="J7" s="558">
        <v>0</v>
      </c>
      <c r="K7" s="558">
        <v>0</v>
      </c>
      <c r="L7" s="558">
        <v>0</v>
      </c>
      <c r="M7" s="558">
        <v>0</v>
      </c>
      <c r="N7" s="558">
        <v>0</v>
      </c>
      <c r="O7" s="558">
        <v>0</v>
      </c>
      <c r="P7" s="558">
        <v>0</v>
      </c>
      <c r="Q7" s="558">
        <v>0</v>
      </c>
    </row>
    <row r="8" spans="1:17" x14ac:dyDescent="0.2">
      <c r="A8" s="892"/>
      <c r="B8" s="997" t="s">
        <v>1271</v>
      </c>
      <c r="C8" s="997"/>
      <c r="D8" s="998"/>
      <c r="E8" s="995">
        <v>10000000</v>
      </c>
      <c r="F8" s="996"/>
      <c r="G8" s="560">
        <v>0</v>
      </c>
      <c r="H8" s="560">
        <v>0</v>
      </c>
      <c r="I8" s="560">
        <v>0</v>
      </c>
      <c r="J8" s="560">
        <v>0</v>
      </c>
      <c r="K8" s="560">
        <v>0</v>
      </c>
      <c r="L8" s="560">
        <v>0</v>
      </c>
      <c r="M8" s="560">
        <v>0</v>
      </c>
      <c r="N8" s="560">
        <v>0</v>
      </c>
      <c r="O8" s="560">
        <v>0</v>
      </c>
      <c r="P8" s="560">
        <v>0</v>
      </c>
      <c r="Q8" s="560">
        <v>0</v>
      </c>
    </row>
    <row r="9" spans="1:17" x14ac:dyDescent="0.2">
      <c r="A9" s="892"/>
      <c r="B9" s="997"/>
      <c r="C9" s="997"/>
      <c r="D9" s="998"/>
      <c r="E9" s="995"/>
      <c r="F9" s="996"/>
      <c r="G9" s="560">
        <v>0</v>
      </c>
      <c r="H9" s="560">
        <v>0</v>
      </c>
      <c r="I9" s="560">
        <v>0</v>
      </c>
      <c r="J9" s="560">
        <v>0</v>
      </c>
      <c r="K9" s="560">
        <v>0</v>
      </c>
      <c r="L9" s="560">
        <v>0</v>
      </c>
      <c r="M9" s="560">
        <v>0</v>
      </c>
      <c r="N9" s="560">
        <v>0</v>
      </c>
      <c r="O9" s="560">
        <v>0</v>
      </c>
      <c r="P9" s="560">
        <v>0</v>
      </c>
      <c r="Q9" s="560">
        <v>0</v>
      </c>
    </row>
    <row r="10" spans="1:17" x14ac:dyDescent="0.2">
      <c r="A10" s="892"/>
      <c r="B10" s="556" t="s">
        <v>169</v>
      </c>
      <c r="C10" s="556"/>
      <c r="D10" s="557"/>
      <c r="E10" s="562">
        <f t="shared" ref="E10:E15" si="0">SUM(F10:Q10)</f>
        <v>0</v>
      </c>
      <c r="F10" s="559">
        <v>0</v>
      </c>
      <c r="G10" s="560">
        <v>0</v>
      </c>
      <c r="H10" s="560">
        <v>0</v>
      </c>
      <c r="I10" s="560">
        <v>0</v>
      </c>
      <c r="J10" s="560">
        <v>0</v>
      </c>
      <c r="K10" s="560">
        <v>0</v>
      </c>
      <c r="L10" s="560">
        <v>0</v>
      </c>
      <c r="M10" s="560">
        <v>0</v>
      </c>
      <c r="N10" s="560">
        <v>0</v>
      </c>
      <c r="O10" s="560">
        <v>0</v>
      </c>
      <c r="P10" s="560">
        <v>0</v>
      </c>
      <c r="Q10" s="560">
        <v>0</v>
      </c>
    </row>
    <row r="11" spans="1:17" x14ac:dyDescent="0.2">
      <c r="A11" s="892"/>
      <c r="B11" s="556"/>
      <c r="C11" s="556"/>
      <c r="D11" s="557"/>
      <c r="E11" s="562">
        <f t="shared" si="0"/>
        <v>0</v>
      </c>
      <c r="F11" s="559">
        <v>0</v>
      </c>
      <c r="G11" s="560">
        <v>0</v>
      </c>
      <c r="H11" s="560">
        <v>0</v>
      </c>
      <c r="I11" s="560">
        <v>0</v>
      </c>
      <c r="J11" s="560">
        <v>0</v>
      </c>
      <c r="K11" s="560">
        <v>0</v>
      </c>
      <c r="L11" s="560">
        <v>0</v>
      </c>
      <c r="M11" s="560">
        <v>0</v>
      </c>
      <c r="N11" s="560">
        <v>0</v>
      </c>
      <c r="O11" s="560">
        <v>0</v>
      </c>
      <c r="P11" s="560">
        <v>0</v>
      </c>
      <c r="Q11" s="560">
        <v>0</v>
      </c>
    </row>
    <row r="12" spans="1:17" x14ac:dyDescent="0.2">
      <c r="A12" s="892"/>
      <c r="B12" s="556"/>
      <c r="C12" s="556"/>
      <c r="D12" s="557"/>
      <c r="E12" s="562">
        <f t="shared" si="0"/>
        <v>0</v>
      </c>
      <c r="F12" s="559">
        <v>0</v>
      </c>
      <c r="G12" s="560">
        <v>0</v>
      </c>
      <c r="H12" s="560">
        <v>0</v>
      </c>
      <c r="I12" s="560">
        <v>0</v>
      </c>
      <c r="J12" s="560">
        <v>0</v>
      </c>
      <c r="K12" s="560">
        <v>0</v>
      </c>
      <c r="L12" s="560">
        <v>0</v>
      </c>
      <c r="M12" s="560">
        <v>0</v>
      </c>
      <c r="N12" s="560">
        <v>0</v>
      </c>
      <c r="O12" s="560">
        <v>0</v>
      </c>
      <c r="P12" s="560">
        <v>0</v>
      </c>
      <c r="Q12" s="560">
        <v>0</v>
      </c>
    </row>
    <row r="13" spans="1:17" x14ac:dyDescent="0.2">
      <c r="A13" s="892"/>
      <c r="B13" s="556"/>
      <c r="C13" s="556"/>
      <c r="D13" s="557"/>
      <c r="E13" s="562">
        <f t="shared" si="0"/>
        <v>0</v>
      </c>
      <c r="F13" s="559">
        <v>0</v>
      </c>
      <c r="G13" s="560">
        <v>0</v>
      </c>
      <c r="H13" s="560">
        <v>0</v>
      </c>
      <c r="I13" s="560">
        <v>0</v>
      </c>
      <c r="J13" s="560">
        <v>0</v>
      </c>
      <c r="K13" s="560">
        <v>0</v>
      </c>
      <c r="L13" s="560">
        <v>0</v>
      </c>
      <c r="M13" s="560">
        <v>0</v>
      </c>
      <c r="N13" s="560">
        <v>0</v>
      </c>
      <c r="O13" s="560">
        <v>0</v>
      </c>
      <c r="P13" s="560">
        <v>0</v>
      </c>
      <c r="Q13" s="560">
        <v>0</v>
      </c>
    </row>
    <row r="14" spans="1:17" x14ac:dyDescent="0.2">
      <c r="A14" s="892"/>
      <c r="B14" s="556"/>
      <c r="C14" s="556"/>
      <c r="D14" s="557"/>
      <c r="E14" s="562">
        <f t="shared" si="0"/>
        <v>0</v>
      </c>
      <c r="F14" s="559">
        <v>0</v>
      </c>
      <c r="G14" s="560">
        <v>0</v>
      </c>
      <c r="H14" s="560">
        <v>0</v>
      </c>
      <c r="I14" s="560">
        <v>0</v>
      </c>
      <c r="J14" s="560">
        <v>0</v>
      </c>
      <c r="K14" s="560">
        <v>0</v>
      </c>
      <c r="L14" s="560">
        <v>0</v>
      </c>
      <c r="M14" s="560">
        <v>0</v>
      </c>
      <c r="N14" s="560">
        <v>0</v>
      </c>
      <c r="O14" s="560">
        <v>0</v>
      </c>
      <c r="P14" s="560">
        <v>0</v>
      </c>
      <c r="Q14" s="560">
        <v>0</v>
      </c>
    </row>
    <row r="15" spans="1:17" ht="13.5" thickBot="1" x14ac:dyDescent="0.25">
      <c r="A15" s="893"/>
      <c r="B15" s="894"/>
      <c r="C15" s="556"/>
      <c r="D15" s="557"/>
      <c r="E15" s="562">
        <f t="shared" si="0"/>
        <v>0</v>
      </c>
      <c r="F15" s="559">
        <v>0</v>
      </c>
      <c r="G15" s="560">
        <v>0</v>
      </c>
      <c r="H15" s="560">
        <v>0</v>
      </c>
      <c r="I15" s="560">
        <v>0</v>
      </c>
      <c r="J15" s="560">
        <v>0</v>
      </c>
      <c r="K15" s="560">
        <v>0</v>
      </c>
      <c r="L15" s="560">
        <v>0</v>
      </c>
      <c r="M15" s="560">
        <v>0</v>
      </c>
      <c r="N15" s="560">
        <v>0</v>
      </c>
      <c r="O15" s="560">
        <v>0</v>
      </c>
      <c r="P15" s="560">
        <v>0</v>
      </c>
      <c r="Q15" s="560">
        <v>0</v>
      </c>
    </row>
    <row r="16" spans="1:17" ht="22.5" customHeight="1" thickBot="1" x14ac:dyDescent="0.25">
      <c r="A16" s="1297" t="s">
        <v>825</v>
      </c>
      <c r="B16" s="1298"/>
      <c r="C16" s="1298"/>
      <c r="D16" s="1299"/>
      <c r="E16" s="848">
        <f>SUM(E7:E15)</f>
        <v>10000000</v>
      </c>
      <c r="F16" s="671">
        <v>0</v>
      </c>
      <c r="G16" s="672">
        <v>0</v>
      </c>
      <c r="H16" s="672">
        <v>0</v>
      </c>
      <c r="I16" s="672">
        <v>0</v>
      </c>
      <c r="J16" s="672">
        <v>0</v>
      </c>
      <c r="K16" s="672">
        <v>0</v>
      </c>
      <c r="L16" s="672">
        <v>0</v>
      </c>
      <c r="M16" s="672">
        <v>0</v>
      </c>
      <c r="N16" s="672">
        <v>0</v>
      </c>
      <c r="O16" s="672">
        <v>0</v>
      </c>
      <c r="P16" s="672">
        <v>0</v>
      </c>
      <c r="Q16" s="672">
        <v>0</v>
      </c>
    </row>
    <row r="17" spans="1:17" x14ac:dyDescent="0.2">
      <c r="A17" s="891"/>
      <c r="B17" s="556" t="s">
        <v>1413</v>
      </c>
      <c r="C17" s="999"/>
      <c r="D17" s="999"/>
      <c r="E17" s="1000">
        <v>2000000</v>
      </c>
      <c r="F17" s="996"/>
      <c r="G17" s="560">
        <v>0</v>
      </c>
      <c r="H17" s="560">
        <v>0</v>
      </c>
      <c r="I17" s="560">
        <v>0</v>
      </c>
      <c r="J17" s="560">
        <v>0</v>
      </c>
      <c r="K17" s="560">
        <v>0</v>
      </c>
      <c r="L17" s="560">
        <v>0</v>
      </c>
      <c r="M17" s="560">
        <v>0</v>
      </c>
      <c r="N17" s="560">
        <v>0</v>
      </c>
      <c r="O17" s="560">
        <v>0</v>
      </c>
      <c r="P17" s="560">
        <v>0</v>
      </c>
      <c r="Q17" s="560">
        <v>0</v>
      </c>
    </row>
    <row r="18" spans="1:17" x14ac:dyDescent="0.2">
      <c r="A18" s="892"/>
      <c r="B18" s="556"/>
      <c r="C18" s="556"/>
      <c r="D18" s="557"/>
      <c r="E18" s="562">
        <f t="shared" ref="E18:E23" si="1">SUM(F18:Q18)</f>
        <v>0</v>
      </c>
      <c r="F18" s="559">
        <v>0</v>
      </c>
      <c r="G18" s="560">
        <v>0</v>
      </c>
      <c r="H18" s="560">
        <v>0</v>
      </c>
      <c r="I18" s="560">
        <v>0</v>
      </c>
      <c r="J18" s="560">
        <v>0</v>
      </c>
      <c r="K18" s="560">
        <v>0</v>
      </c>
      <c r="L18" s="560">
        <v>0</v>
      </c>
      <c r="M18" s="560">
        <v>0</v>
      </c>
      <c r="N18" s="560">
        <v>0</v>
      </c>
      <c r="O18" s="560">
        <v>0</v>
      </c>
      <c r="P18" s="560">
        <v>0</v>
      </c>
      <c r="Q18" s="560">
        <v>0</v>
      </c>
    </row>
    <row r="19" spans="1:17" x14ac:dyDescent="0.2">
      <c r="A19" s="892"/>
      <c r="B19" s="556"/>
      <c r="C19" s="556"/>
      <c r="D19" s="557"/>
      <c r="E19" s="562">
        <f t="shared" si="1"/>
        <v>0</v>
      </c>
      <c r="F19" s="559">
        <v>0</v>
      </c>
      <c r="G19" s="560">
        <v>0</v>
      </c>
      <c r="H19" s="560">
        <v>0</v>
      </c>
      <c r="I19" s="560">
        <v>0</v>
      </c>
      <c r="J19" s="560">
        <v>0</v>
      </c>
      <c r="K19" s="560">
        <v>0</v>
      </c>
      <c r="L19" s="560">
        <v>0</v>
      </c>
      <c r="M19" s="560">
        <v>0</v>
      </c>
      <c r="N19" s="560">
        <v>0</v>
      </c>
      <c r="O19" s="560">
        <v>0</v>
      </c>
      <c r="P19" s="560">
        <v>0</v>
      </c>
      <c r="Q19" s="560">
        <v>0</v>
      </c>
    </row>
    <row r="20" spans="1:17" x14ac:dyDescent="0.2">
      <c r="A20" s="892"/>
      <c r="B20" s="556"/>
      <c r="C20" s="556"/>
      <c r="D20" s="557"/>
      <c r="E20" s="562">
        <f t="shared" si="1"/>
        <v>0</v>
      </c>
      <c r="F20" s="559">
        <v>0</v>
      </c>
      <c r="G20" s="560">
        <v>0</v>
      </c>
      <c r="H20" s="560">
        <v>0</v>
      </c>
      <c r="I20" s="560">
        <v>0</v>
      </c>
      <c r="J20" s="560">
        <v>0</v>
      </c>
      <c r="K20" s="560">
        <v>0</v>
      </c>
      <c r="L20" s="560">
        <v>0</v>
      </c>
      <c r="M20" s="560">
        <v>0</v>
      </c>
      <c r="N20" s="560">
        <v>0</v>
      </c>
      <c r="O20" s="560">
        <v>0</v>
      </c>
      <c r="P20" s="560">
        <v>0</v>
      </c>
      <c r="Q20" s="560">
        <v>0</v>
      </c>
    </row>
    <row r="21" spans="1:17" x14ac:dyDescent="0.2">
      <c r="A21" s="892"/>
      <c r="B21" s="556"/>
      <c r="C21" s="556"/>
      <c r="D21" s="557"/>
      <c r="E21" s="562">
        <f t="shared" si="1"/>
        <v>0</v>
      </c>
      <c r="F21" s="559">
        <v>0</v>
      </c>
      <c r="G21" s="560">
        <v>0</v>
      </c>
      <c r="H21" s="560">
        <v>0</v>
      </c>
      <c r="I21" s="560">
        <v>0</v>
      </c>
      <c r="J21" s="560">
        <v>0</v>
      </c>
      <c r="K21" s="560">
        <v>0</v>
      </c>
      <c r="L21" s="560">
        <v>0</v>
      </c>
      <c r="M21" s="560">
        <v>0</v>
      </c>
      <c r="N21" s="560">
        <v>0</v>
      </c>
      <c r="O21" s="560">
        <v>0</v>
      </c>
      <c r="P21" s="560">
        <v>0</v>
      </c>
      <c r="Q21" s="560">
        <v>0</v>
      </c>
    </row>
    <row r="22" spans="1:17" x14ac:dyDescent="0.2">
      <c r="A22" s="892"/>
      <c r="B22" s="556"/>
      <c r="C22" s="556"/>
      <c r="D22" s="557"/>
      <c r="E22" s="562">
        <f t="shared" si="1"/>
        <v>0</v>
      </c>
      <c r="F22" s="559">
        <v>0</v>
      </c>
      <c r="G22" s="560">
        <v>0</v>
      </c>
      <c r="H22" s="560">
        <v>0</v>
      </c>
      <c r="I22" s="560">
        <v>0</v>
      </c>
      <c r="J22" s="560">
        <v>0</v>
      </c>
      <c r="K22" s="560">
        <v>0</v>
      </c>
      <c r="L22" s="560">
        <v>0</v>
      </c>
      <c r="M22" s="560">
        <v>0</v>
      </c>
      <c r="N22" s="560">
        <v>0</v>
      </c>
      <c r="O22" s="560">
        <v>0</v>
      </c>
      <c r="P22" s="560">
        <v>0</v>
      </c>
      <c r="Q22" s="560">
        <v>0</v>
      </c>
    </row>
    <row r="23" spans="1:17" ht="13.5" thickBot="1" x14ac:dyDescent="0.25">
      <c r="A23" s="893"/>
      <c r="B23" s="894"/>
      <c r="C23" s="556"/>
      <c r="D23" s="557"/>
      <c r="E23" s="562">
        <f t="shared" si="1"/>
        <v>0</v>
      </c>
      <c r="F23" s="559">
        <v>0</v>
      </c>
      <c r="G23" s="560">
        <v>0</v>
      </c>
      <c r="H23" s="560">
        <v>0</v>
      </c>
      <c r="I23" s="560">
        <v>0</v>
      </c>
      <c r="J23" s="560">
        <v>0</v>
      </c>
      <c r="K23" s="560">
        <v>0</v>
      </c>
      <c r="L23" s="560">
        <v>0</v>
      </c>
      <c r="M23" s="560">
        <v>0</v>
      </c>
      <c r="N23" s="560">
        <v>0</v>
      </c>
      <c r="O23" s="560">
        <v>0</v>
      </c>
      <c r="P23" s="560">
        <v>0</v>
      </c>
      <c r="Q23" s="560">
        <v>0</v>
      </c>
    </row>
    <row r="24" spans="1:17" ht="13.5" thickBot="1" x14ac:dyDescent="0.25">
      <c r="A24" s="1291" t="s">
        <v>826</v>
      </c>
      <c r="B24" s="1292"/>
      <c r="C24" s="1292"/>
      <c r="D24" s="1293"/>
      <c r="E24" s="848">
        <f>SUM(E17:E23)</f>
        <v>2000000</v>
      </c>
      <c r="F24" s="559">
        <v>0</v>
      </c>
      <c r="G24" s="560">
        <v>0</v>
      </c>
      <c r="H24" s="560">
        <v>0</v>
      </c>
      <c r="I24" s="560">
        <v>0</v>
      </c>
      <c r="J24" s="560">
        <v>0</v>
      </c>
      <c r="K24" s="560">
        <v>0</v>
      </c>
      <c r="L24" s="560">
        <v>0</v>
      </c>
      <c r="M24" s="560">
        <v>0</v>
      </c>
      <c r="N24" s="560">
        <v>0</v>
      </c>
      <c r="O24" s="560">
        <v>0</v>
      </c>
      <c r="P24" s="560">
        <v>0</v>
      </c>
      <c r="Q24" s="560">
        <v>0</v>
      </c>
    </row>
    <row r="25" spans="1:17" ht="13.5" thickBot="1" x14ac:dyDescent="0.25">
      <c r="A25" s="673">
        <v>5125100000</v>
      </c>
      <c r="B25" s="1294"/>
      <c r="C25" s="1295"/>
      <c r="D25" s="1296"/>
      <c r="E25" s="563">
        <f>+E16+E24</f>
        <v>12000000</v>
      </c>
      <c r="F25" s="278">
        <f t="shared" ref="F25:Q25" si="2">+F16+F24</f>
        <v>0</v>
      </c>
      <c r="G25" s="278">
        <f t="shared" si="2"/>
        <v>0</v>
      </c>
      <c r="H25" s="278">
        <f t="shared" si="2"/>
        <v>0</v>
      </c>
      <c r="I25" s="278">
        <f t="shared" si="2"/>
        <v>0</v>
      </c>
      <c r="J25" s="278">
        <f t="shared" si="2"/>
        <v>0</v>
      </c>
      <c r="K25" s="278">
        <f t="shared" si="2"/>
        <v>0</v>
      </c>
      <c r="L25" s="278">
        <f t="shared" si="2"/>
        <v>0</v>
      </c>
      <c r="M25" s="278">
        <f t="shared" si="2"/>
        <v>0</v>
      </c>
      <c r="N25" s="278">
        <f t="shared" si="2"/>
        <v>0</v>
      </c>
      <c r="O25" s="278">
        <f t="shared" si="2"/>
        <v>0</v>
      </c>
      <c r="P25" s="278">
        <f t="shared" si="2"/>
        <v>0</v>
      </c>
      <c r="Q25" s="278">
        <f t="shared" si="2"/>
        <v>0</v>
      </c>
    </row>
    <row r="26" spans="1:17" x14ac:dyDescent="0.2">
      <c r="E26" s="5"/>
    </row>
    <row r="27" spans="1:17" x14ac:dyDescent="0.2">
      <c r="A27" s="251" t="s">
        <v>476</v>
      </c>
      <c r="B27" s="252"/>
      <c r="C27" s="252"/>
      <c r="D27" s="252"/>
      <c r="E27" s="5"/>
    </row>
    <row r="29" spans="1:17" x14ac:dyDescent="0.2">
      <c r="E29" s="572"/>
      <c r="F29" s="572"/>
    </row>
    <row r="65525" spans="6:6" x14ac:dyDescent="0.2">
      <c r="F65525" s="6">
        <v>0</v>
      </c>
    </row>
  </sheetData>
  <mergeCells count="24">
    <mergeCell ref="I5:I6"/>
    <mergeCell ref="K5:K6"/>
    <mergeCell ref="Q5:Q6"/>
    <mergeCell ref="F4:Q4"/>
    <mergeCell ref="F5:F6"/>
    <mergeCell ref="G5:G6"/>
    <mergeCell ref="H5:H6"/>
    <mergeCell ref="L5:L6"/>
    <mergeCell ref="M5:M6"/>
    <mergeCell ref="O5:O6"/>
    <mergeCell ref="P5:P6"/>
    <mergeCell ref="J5:J6"/>
    <mergeCell ref="N5:N6"/>
    <mergeCell ref="A24:D24"/>
    <mergeCell ref="B25:D25"/>
    <mergeCell ref="A16:D16"/>
    <mergeCell ref="A2:E2"/>
    <mergeCell ref="A4:E4"/>
    <mergeCell ref="D5:D6"/>
    <mergeCell ref="E5:E6"/>
    <mergeCell ref="B5:B6"/>
    <mergeCell ref="A3:E3"/>
    <mergeCell ref="A5:A6"/>
    <mergeCell ref="C5:C6"/>
  </mergeCells>
  <phoneticPr fontId="27" type="noConversion"/>
  <pageMargins left="0.17" right="0.25" top="0.81" bottom="1" header="0" footer="0"/>
  <pageSetup scale="60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BASE!$F$3:$F$4</xm:f>
          </x14:formula1>
          <xm:sqref>A7:A15 A17:A23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P65532"/>
  <sheetViews>
    <sheetView topLeftCell="A4" workbookViewId="0">
      <selection activeCell="C11" sqref="C11:D11"/>
    </sheetView>
  </sheetViews>
  <sheetFormatPr baseColWidth="10" defaultRowHeight="12.75" x14ac:dyDescent="0.2"/>
  <cols>
    <col min="1" max="1" width="12.140625" style="5" customWidth="1"/>
    <col min="2" max="2" width="38.140625" style="5" customWidth="1"/>
    <col min="3" max="3" width="32.42578125" style="194" customWidth="1"/>
    <col min="4" max="4" width="18" style="194" customWidth="1"/>
    <col min="5" max="16" width="10.7109375" style="5" customWidth="1"/>
    <col min="17" max="16384" width="11.42578125" style="5"/>
  </cols>
  <sheetData>
    <row r="2" spans="1:16" ht="18" x14ac:dyDescent="0.25">
      <c r="A2" s="1255" t="s">
        <v>235</v>
      </c>
      <c r="B2" s="1255"/>
      <c r="C2" s="1255"/>
      <c r="D2" s="1255"/>
    </row>
    <row r="3" spans="1:16" ht="18" x14ac:dyDescent="0.25">
      <c r="A3" s="1254" t="str">
        <f>+PRESUPUESTO!B2</f>
        <v>MEDICINA PREGRADO</v>
      </c>
      <c r="B3" s="1254"/>
      <c r="C3" s="1254"/>
      <c r="D3" s="1254"/>
    </row>
    <row r="4" spans="1:16" ht="18.75" thickBot="1" x14ac:dyDescent="0.3">
      <c r="A4" s="1256">
        <v>2018</v>
      </c>
      <c r="B4" s="1256"/>
      <c r="C4" s="1256"/>
      <c r="D4" s="1256"/>
      <c r="E4" s="1290" t="s">
        <v>492</v>
      </c>
      <c r="F4" s="1290"/>
      <c r="G4" s="1290"/>
      <c r="H4" s="1290"/>
      <c r="I4" s="1290"/>
      <c r="J4" s="1290"/>
      <c r="K4" s="1290"/>
      <c r="L4" s="1290"/>
      <c r="M4" s="1290"/>
      <c r="N4" s="1290"/>
      <c r="O4" s="1290"/>
      <c r="P4" s="1290"/>
    </row>
    <row r="5" spans="1:16" ht="12.75" customHeight="1" x14ac:dyDescent="0.2">
      <c r="A5" s="1273" t="s">
        <v>418</v>
      </c>
      <c r="B5" s="1278" t="s">
        <v>281</v>
      </c>
      <c r="C5" s="1278" t="s">
        <v>255</v>
      </c>
      <c r="D5" s="1278" t="s">
        <v>475</v>
      </c>
      <c r="E5" s="1288" t="s">
        <v>484</v>
      </c>
      <c r="F5" s="1288" t="s">
        <v>485</v>
      </c>
      <c r="G5" s="1288" t="s">
        <v>486</v>
      </c>
      <c r="H5" s="1288" t="s">
        <v>487</v>
      </c>
      <c r="I5" s="1288" t="s">
        <v>488</v>
      </c>
      <c r="J5" s="1288" t="s">
        <v>489</v>
      </c>
      <c r="K5" s="1288" t="s">
        <v>490</v>
      </c>
      <c r="L5" s="1288" t="s">
        <v>491</v>
      </c>
      <c r="M5" s="1288" t="s">
        <v>251</v>
      </c>
      <c r="N5" s="1288" t="s">
        <v>252</v>
      </c>
      <c r="O5" s="1288" t="s">
        <v>253</v>
      </c>
      <c r="P5" s="1288" t="s">
        <v>254</v>
      </c>
    </row>
    <row r="6" spans="1:16" ht="13.5" thickBot="1" x14ac:dyDescent="0.25">
      <c r="A6" s="1305"/>
      <c r="B6" s="1279"/>
      <c r="C6" s="1279"/>
      <c r="D6" s="1279"/>
      <c r="E6" s="1289"/>
      <c r="F6" s="1289"/>
      <c r="G6" s="1289"/>
      <c r="H6" s="1289"/>
      <c r="I6" s="1289"/>
      <c r="J6" s="1289"/>
      <c r="K6" s="1289"/>
      <c r="L6" s="1289"/>
      <c r="M6" s="1289"/>
      <c r="N6" s="1289"/>
      <c r="O6" s="1289"/>
      <c r="P6" s="1289"/>
    </row>
    <row r="7" spans="1:16" x14ac:dyDescent="0.2">
      <c r="A7" s="897"/>
      <c r="B7" s="1008" t="s">
        <v>1285</v>
      </c>
      <c r="C7" s="999"/>
      <c r="D7" s="1009">
        <v>50000000</v>
      </c>
      <c r="E7" s="564">
        <v>0</v>
      </c>
      <c r="F7" s="297">
        <v>0</v>
      </c>
      <c r="G7" s="297">
        <v>0</v>
      </c>
      <c r="H7" s="297">
        <v>0</v>
      </c>
      <c r="I7" s="297">
        <v>0</v>
      </c>
      <c r="J7" s="297">
        <v>0</v>
      </c>
      <c r="K7" s="297">
        <v>0</v>
      </c>
      <c r="L7" s="297">
        <v>0</v>
      </c>
      <c r="M7" s="297">
        <v>0</v>
      </c>
      <c r="N7" s="297">
        <v>0</v>
      </c>
      <c r="O7" s="297">
        <v>0</v>
      </c>
      <c r="P7" s="297">
        <v>0</v>
      </c>
    </row>
    <row r="8" spans="1:16" x14ac:dyDescent="0.2">
      <c r="A8" s="892"/>
      <c r="B8" s="997" t="s">
        <v>1286</v>
      </c>
      <c r="C8" s="998"/>
      <c r="D8" s="1010">
        <v>35000000</v>
      </c>
      <c r="E8" s="565">
        <v>0</v>
      </c>
      <c r="F8" s="253">
        <v>0</v>
      </c>
      <c r="G8" s="253">
        <v>0</v>
      </c>
      <c r="H8" s="253">
        <v>0</v>
      </c>
      <c r="I8" s="253">
        <v>0</v>
      </c>
      <c r="J8" s="253">
        <v>0</v>
      </c>
      <c r="K8" s="253">
        <v>0</v>
      </c>
      <c r="L8" s="253">
        <v>0</v>
      </c>
      <c r="M8" s="253">
        <v>0</v>
      </c>
      <c r="N8" s="253">
        <v>0</v>
      </c>
      <c r="O8" s="253">
        <v>0</v>
      </c>
      <c r="P8" s="253">
        <v>0</v>
      </c>
    </row>
    <row r="9" spans="1:16" x14ac:dyDescent="0.2">
      <c r="A9" s="892"/>
      <c r="B9" s="997" t="s">
        <v>1414</v>
      </c>
      <c r="C9" s="998"/>
      <c r="D9" s="1010">
        <v>15000000</v>
      </c>
      <c r="E9" s="565">
        <v>0</v>
      </c>
      <c r="F9" s="253">
        <v>0</v>
      </c>
      <c r="G9" s="253">
        <v>0</v>
      </c>
      <c r="H9" s="253">
        <v>0</v>
      </c>
      <c r="I9" s="253">
        <v>0</v>
      </c>
      <c r="J9" s="253">
        <v>0</v>
      </c>
      <c r="K9" s="253">
        <v>0</v>
      </c>
      <c r="L9" s="253">
        <v>0</v>
      </c>
      <c r="M9" s="253">
        <v>0</v>
      </c>
      <c r="N9" s="253">
        <v>0</v>
      </c>
      <c r="O9" s="253">
        <v>0</v>
      </c>
      <c r="P9" s="253">
        <v>0</v>
      </c>
    </row>
    <row r="10" spans="1:16" x14ac:dyDescent="0.2">
      <c r="A10" s="892"/>
      <c r="B10" s="997"/>
      <c r="C10" s="998"/>
      <c r="D10" s="1010"/>
      <c r="E10" s="565">
        <v>0</v>
      </c>
      <c r="F10" s="253">
        <v>0</v>
      </c>
      <c r="G10" s="253">
        <v>0</v>
      </c>
      <c r="H10" s="253">
        <v>0</v>
      </c>
      <c r="I10" s="253">
        <v>0</v>
      </c>
      <c r="J10" s="253">
        <v>0</v>
      </c>
      <c r="K10" s="253">
        <v>0</v>
      </c>
      <c r="L10" s="253">
        <v>0</v>
      </c>
      <c r="M10" s="253">
        <v>0</v>
      </c>
      <c r="N10" s="253">
        <v>0</v>
      </c>
      <c r="O10" s="253">
        <v>0</v>
      </c>
      <c r="P10" s="253">
        <v>0</v>
      </c>
    </row>
    <row r="11" spans="1:16" x14ac:dyDescent="0.2">
      <c r="A11" s="892"/>
      <c r="B11" s="997"/>
      <c r="C11" s="1059" t="s">
        <v>1463</v>
      </c>
      <c r="D11" s="1059">
        <v>-20000000</v>
      </c>
      <c r="E11" s="565">
        <v>0</v>
      </c>
      <c r="F11" s="253">
        <v>0</v>
      </c>
      <c r="G11" s="253">
        <v>0</v>
      </c>
      <c r="H11" s="253">
        <v>0</v>
      </c>
      <c r="I11" s="253">
        <v>0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</row>
    <row r="12" spans="1:16" x14ac:dyDescent="0.2">
      <c r="A12" s="892"/>
      <c r="B12" s="997"/>
      <c r="C12" s="998"/>
      <c r="D12" s="1010"/>
      <c r="E12" s="565">
        <v>0</v>
      </c>
      <c r="F12" s="253">
        <v>0</v>
      </c>
      <c r="G12" s="253">
        <v>0</v>
      </c>
      <c r="H12" s="253">
        <v>0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</row>
    <row r="13" spans="1:16" x14ac:dyDescent="0.2">
      <c r="A13" s="892"/>
      <c r="B13" s="997"/>
      <c r="C13" s="998"/>
      <c r="D13" s="1010"/>
      <c r="E13" s="565">
        <v>0</v>
      </c>
      <c r="F13" s="253">
        <v>0</v>
      </c>
      <c r="G13" s="253">
        <v>0</v>
      </c>
      <c r="H13" s="253">
        <v>0</v>
      </c>
      <c r="I13" s="253">
        <v>0</v>
      </c>
      <c r="J13" s="253">
        <v>0</v>
      </c>
      <c r="K13" s="253">
        <v>0</v>
      </c>
      <c r="L13" s="253">
        <v>0</v>
      </c>
      <c r="M13" s="253">
        <v>0</v>
      </c>
      <c r="N13" s="253">
        <v>0</v>
      </c>
      <c r="O13" s="253">
        <v>0</v>
      </c>
      <c r="P13" s="253">
        <v>0</v>
      </c>
    </row>
    <row r="14" spans="1:16" x14ac:dyDescent="0.2">
      <c r="A14" s="892"/>
      <c r="B14" s="997"/>
      <c r="C14" s="998"/>
      <c r="D14" s="1010"/>
      <c r="E14" s="565">
        <v>0</v>
      </c>
      <c r="F14" s="253">
        <v>0</v>
      </c>
      <c r="G14" s="253">
        <v>0</v>
      </c>
      <c r="H14" s="253">
        <v>0</v>
      </c>
      <c r="I14" s="253">
        <v>0</v>
      </c>
      <c r="J14" s="253">
        <v>0</v>
      </c>
      <c r="K14" s="253">
        <v>0</v>
      </c>
      <c r="L14" s="253">
        <v>0</v>
      </c>
      <c r="M14" s="253">
        <v>0</v>
      </c>
      <c r="N14" s="253">
        <v>0</v>
      </c>
      <c r="O14" s="253">
        <v>0</v>
      </c>
      <c r="P14" s="253">
        <v>0</v>
      </c>
    </row>
    <row r="15" spans="1:16" x14ac:dyDescent="0.2">
      <c r="A15" s="892"/>
      <c r="B15" s="556"/>
      <c r="C15" s="557"/>
      <c r="D15" s="566">
        <f t="shared" ref="D15:D33" si="0">SUM(E15:P15)</f>
        <v>0</v>
      </c>
      <c r="E15" s="565">
        <v>0</v>
      </c>
      <c r="F15" s="253">
        <v>0</v>
      </c>
      <c r="G15" s="253">
        <v>0</v>
      </c>
      <c r="H15" s="253">
        <v>0</v>
      </c>
      <c r="I15" s="253">
        <v>0</v>
      </c>
      <c r="J15" s="253">
        <v>0</v>
      </c>
      <c r="K15" s="253">
        <v>0</v>
      </c>
      <c r="L15" s="253">
        <v>0</v>
      </c>
      <c r="M15" s="253">
        <v>0</v>
      </c>
      <c r="N15" s="253">
        <v>0</v>
      </c>
      <c r="O15" s="253">
        <v>0</v>
      </c>
      <c r="P15" s="253">
        <v>0</v>
      </c>
    </row>
    <row r="16" spans="1:16" x14ac:dyDescent="0.2">
      <c r="A16" s="892"/>
      <c r="B16" s="556"/>
      <c r="C16" s="557"/>
      <c r="D16" s="566">
        <f t="shared" si="0"/>
        <v>0</v>
      </c>
      <c r="E16" s="565">
        <v>0</v>
      </c>
      <c r="F16" s="253">
        <v>0</v>
      </c>
      <c r="G16" s="253">
        <v>0</v>
      </c>
      <c r="H16" s="253">
        <v>0</v>
      </c>
      <c r="I16" s="253">
        <v>0</v>
      </c>
      <c r="J16" s="253">
        <v>0</v>
      </c>
      <c r="K16" s="253">
        <v>0</v>
      </c>
      <c r="L16" s="253">
        <v>0</v>
      </c>
      <c r="M16" s="253">
        <v>0</v>
      </c>
      <c r="N16" s="253">
        <v>0</v>
      </c>
      <c r="O16" s="253">
        <v>0</v>
      </c>
      <c r="P16" s="253">
        <v>0</v>
      </c>
    </row>
    <row r="17" spans="1:16" x14ac:dyDescent="0.2">
      <c r="A17" s="892"/>
      <c r="B17" s="556"/>
      <c r="C17" s="557"/>
      <c r="D17" s="566">
        <f t="shared" si="0"/>
        <v>0</v>
      </c>
      <c r="E17" s="565">
        <v>0</v>
      </c>
      <c r="F17" s="253">
        <v>0</v>
      </c>
      <c r="G17" s="253">
        <v>0</v>
      </c>
      <c r="H17" s="253">
        <v>0</v>
      </c>
      <c r="I17" s="253">
        <v>0</v>
      </c>
      <c r="J17" s="253">
        <v>0</v>
      </c>
      <c r="K17" s="253">
        <v>0</v>
      </c>
      <c r="L17" s="253">
        <v>0</v>
      </c>
      <c r="M17" s="253">
        <v>0</v>
      </c>
      <c r="N17" s="253">
        <v>0</v>
      </c>
      <c r="O17" s="253">
        <v>0</v>
      </c>
      <c r="P17" s="253">
        <v>0</v>
      </c>
    </row>
    <row r="18" spans="1:16" x14ac:dyDescent="0.2">
      <c r="A18" s="892"/>
      <c r="B18" s="556"/>
      <c r="C18" s="557"/>
      <c r="D18" s="566">
        <f t="shared" si="0"/>
        <v>0</v>
      </c>
      <c r="E18" s="565">
        <v>0</v>
      </c>
      <c r="F18" s="253">
        <v>0</v>
      </c>
      <c r="G18" s="253">
        <v>0</v>
      </c>
      <c r="H18" s="253">
        <v>0</v>
      </c>
      <c r="I18" s="253">
        <v>0</v>
      </c>
      <c r="J18" s="253">
        <v>0</v>
      </c>
      <c r="K18" s="253">
        <v>0</v>
      </c>
      <c r="L18" s="253">
        <v>0</v>
      </c>
      <c r="M18" s="253">
        <v>0</v>
      </c>
      <c r="N18" s="253">
        <v>0</v>
      </c>
      <c r="O18" s="253">
        <v>0</v>
      </c>
      <c r="P18" s="253">
        <v>0</v>
      </c>
    </row>
    <row r="19" spans="1:16" x14ac:dyDescent="0.2">
      <c r="A19" s="892"/>
      <c r="B19" s="556"/>
      <c r="C19" s="557"/>
      <c r="D19" s="566">
        <f t="shared" si="0"/>
        <v>0</v>
      </c>
      <c r="E19" s="565">
        <v>0</v>
      </c>
      <c r="F19" s="253">
        <v>0</v>
      </c>
      <c r="G19" s="253">
        <v>0</v>
      </c>
      <c r="H19" s="253">
        <v>0</v>
      </c>
      <c r="I19" s="253">
        <v>0</v>
      </c>
      <c r="J19" s="253">
        <v>0</v>
      </c>
      <c r="K19" s="253">
        <v>0</v>
      </c>
      <c r="L19" s="253">
        <v>0</v>
      </c>
      <c r="M19" s="253">
        <v>0</v>
      </c>
      <c r="N19" s="253">
        <v>0</v>
      </c>
      <c r="O19" s="253">
        <v>0</v>
      </c>
      <c r="P19" s="253">
        <v>0</v>
      </c>
    </row>
    <row r="20" spans="1:16" x14ac:dyDescent="0.2">
      <c r="A20" s="892"/>
      <c r="B20" s="556"/>
      <c r="C20" s="557"/>
      <c r="D20" s="566">
        <f t="shared" si="0"/>
        <v>0</v>
      </c>
      <c r="E20" s="565">
        <v>0</v>
      </c>
      <c r="F20" s="253">
        <v>0</v>
      </c>
      <c r="G20" s="253">
        <v>0</v>
      </c>
      <c r="H20" s="253">
        <v>0</v>
      </c>
      <c r="I20" s="253">
        <v>0</v>
      </c>
      <c r="J20" s="253">
        <v>0</v>
      </c>
      <c r="K20" s="253">
        <v>0</v>
      </c>
      <c r="L20" s="253">
        <v>0</v>
      </c>
      <c r="M20" s="253">
        <v>0</v>
      </c>
      <c r="N20" s="253">
        <v>0</v>
      </c>
      <c r="O20" s="253">
        <v>0</v>
      </c>
      <c r="P20" s="253">
        <v>0</v>
      </c>
    </row>
    <row r="21" spans="1:16" x14ac:dyDescent="0.2">
      <c r="A21" s="892"/>
      <c r="B21" s="556"/>
      <c r="C21" s="557"/>
      <c r="D21" s="566">
        <f t="shared" si="0"/>
        <v>0</v>
      </c>
      <c r="E21" s="565">
        <v>0</v>
      </c>
      <c r="F21" s="253">
        <v>0</v>
      </c>
      <c r="G21" s="253">
        <v>0</v>
      </c>
      <c r="H21" s="253">
        <v>0</v>
      </c>
      <c r="I21" s="253">
        <v>0</v>
      </c>
      <c r="J21" s="253">
        <v>0</v>
      </c>
      <c r="K21" s="253">
        <v>0</v>
      </c>
      <c r="L21" s="253">
        <v>0</v>
      </c>
      <c r="M21" s="253">
        <v>0</v>
      </c>
      <c r="N21" s="253">
        <v>0</v>
      </c>
      <c r="O21" s="253">
        <v>0</v>
      </c>
      <c r="P21" s="253">
        <v>0</v>
      </c>
    </row>
    <row r="22" spans="1:16" x14ac:dyDescent="0.2">
      <c r="A22" s="892"/>
      <c r="B22" s="556"/>
      <c r="C22" s="557"/>
      <c r="D22" s="566">
        <f t="shared" si="0"/>
        <v>0</v>
      </c>
      <c r="E22" s="565">
        <v>0</v>
      </c>
      <c r="F22" s="253">
        <v>0</v>
      </c>
      <c r="G22" s="253">
        <v>0</v>
      </c>
      <c r="H22" s="253">
        <v>0</v>
      </c>
      <c r="I22" s="253">
        <v>0</v>
      </c>
      <c r="J22" s="253">
        <v>0</v>
      </c>
      <c r="K22" s="253">
        <v>0</v>
      </c>
      <c r="L22" s="253">
        <v>0</v>
      </c>
      <c r="M22" s="253">
        <v>0</v>
      </c>
      <c r="N22" s="253">
        <v>0</v>
      </c>
      <c r="O22" s="253">
        <v>0</v>
      </c>
      <c r="P22" s="253">
        <v>0</v>
      </c>
    </row>
    <row r="23" spans="1:16" x14ac:dyDescent="0.2">
      <c r="A23" s="892"/>
      <c r="B23" s="556"/>
      <c r="C23" s="557"/>
      <c r="D23" s="566">
        <f t="shared" si="0"/>
        <v>0</v>
      </c>
      <c r="E23" s="565">
        <v>0</v>
      </c>
      <c r="F23" s="253">
        <v>0</v>
      </c>
      <c r="G23" s="253">
        <v>0</v>
      </c>
      <c r="H23" s="253">
        <v>0</v>
      </c>
      <c r="I23" s="253">
        <v>0</v>
      </c>
      <c r="J23" s="253">
        <v>0</v>
      </c>
      <c r="K23" s="253">
        <v>0</v>
      </c>
      <c r="L23" s="253">
        <v>0</v>
      </c>
      <c r="M23" s="253">
        <v>0</v>
      </c>
      <c r="N23" s="253">
        <v>0</v>
      </c>
      <c r="O23" s="253">
        <v>0</v>
      </c>
      <c r="P23" s="253">
        <v>0</v>
      </c>
    </row>
    <row r="24" spans="1:16" x14ac:dyDescent="0.2">
      <c r="A24" s="892"/>
      <c r="B24" s="556"/>
      <c r="C24" s="557"/>
      <c r="D24" s="566">
        <f t="shared" si="0"/>
        <v>0</v>
      </c>
      <c r="E24" s="565">
        <v>0</v>
      </c>
      <c r="F24" s="253">
        <v>0</v>
      </c>
      <c r="G24" s="253">
        <v>0</v>
      </c>
      <c r="H24" s="253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</row>
    <row r="25" spans="1:16" x14ac:dyDescent="0.2">
      <c r="A25" s="892"/>
      <c r="B25" s="556"/>
      <c r="C25" s="557"/>
      <c r="D25" s="566">
        <f t="shared" si="0"/>
        <v>0</v>
      </c>
      <c r="E25" s="565">
        <v>0</v>
      </c>
      <c r="F25" s="253">
        <v>0</v>
      </c>
      <c r="G25" s="253">
        <v>0</v>
      </c>
      <c r="H25" s="253">
        <v>0</v>
      </c>
      <c r="I25" s="253">
        <v>0</v>
      </c>
      <c r="J25" s="253">
        <v>0</v>
      </c>
      <c r="K25" s="253">
        <v>0</v>
      </c>
      <c r="L25" s="253">
        <v>0</v>
      </c>
      <c r="M25" s="253">
        <v>0</v>
      </c>
      <c r="N25" s="253">
        <v>0</v>
      </c>
      <c r="O25" s="253">
        <v>0</v>
      </c>
      <c r="P25" s="253">
        <v>0</v>
      </c>
    </row>
    <row r="26" spans="1:16" x14ac:dyDescent="0.2">
      <c r="A26" s="892"/>
      <c r="B26" s="556"/>
      <c r="C26" s="557"/>
      <c r="D26" s="566">
        <f t="shared" si="0"/>
        <v>0</v>
      </c>
      <c r="E26" s="565">
        <v>0</v>
      </c>
      <c r="F26" s="253">
        <v>0</v>
      </c>
      <c r="G26" s="253">
        <v>0</v>
      </c>
      <c r="H26" s="253">
        <v>0</v>
      </c>
      <c r="I26" s="253">
        <v>0</v>
      </c>
      <c r="J26" s="253">
        <v>0</v>
      </c>
      <c r="K26" s="253">
        <v>0</v>
      </c>
      <c r="L26" s="253">
        <v>0</v>
      </c>
      <c r="M26" s="253">
        <v>0</v>
      </c>
      <c r="N26" s="253">
        <v>0</v>
      </c>
      <c r="O26" s="253">
        <v>0</v>
      </c>
      <c r="P26" s="253">
        <v>0</v>
      </c>
    </row>
    <row r="27" spans="1:16" x14ac:dyDescent="0.2">
      <c r="A27" s="892"/>
      <c r="B27" s="556"/>
      <c r="C27" s="557"/>
      <c r="D27" s="566">
        <f t="shared" si="0"/>
        <v>0</v>
      </c>
      <c r="E27" s="565">
        <v>0</v>
      </c>
      <c r="F27" s="253">
        <v>0</v>
      </c>
      <c r="G27" s="253">
        <v>0</v>
      </c>
      <c r="H27" s="253">
        <v>0</v>
      </c>
      <c r="I27" s="253">
        <v>0</v>
      </c>
      <c r="J27" s="253">
        <v>0</v>
      </c>
      <c r="K27" s="253">
        <v>0</v>
      </c>
      <c r="L27" s="253">
        <v>0</v>
      </c>
      <c r="M27" s="253">
        <v>0</v>
      </c>
      <c r="N27" s="253">
        <v>0</v>
      </c>
      <c r="O27" s="253">
        <v>0</v>
      </c>
      <c r="P27" s="253">
        <v>0</v>
      </c>
    </row>
    <row r="28" spans="1:16" x14ac:dyDescent="0.2">
      <c r="A28" s="892"/>
      <c r="B28" s="556"/>
      <c r="C28" s="557"/>
      <c r="D28" s="566">
        <f t="shared" si="0"/>
        <v>0</v>
      </c>
      <c r="E28" s="565">
        <v>0</v>
      </c>
      <c r="F28" s="253">
        <v>0</v>
      </c>
      <c r="G28" s="253">
        <v>0</v>
      </c>
      <c r="H28" s="253">
        <v>0</v>
      </c>
      <c r="I28" s="253">
        <v>0</v>
      </c>
      <c r="J28" s="253">
        <v>0</v>
      </c>
      <c r="K28" s="253">
        <v>0</v>
      </c>
      <c r="L28" s="253">
        <v>0</v>
      </c>
      <c r="M28" s="253">
        <v>0</v>
      </c>
      <c r="N28" s="253">
        <v>0</v>
      </c>
      <c r="O28" s="253">
        <v>0</v>
      </c>
      <c r="P28" s="253">
        <v>0</v>
      </c>
    </row>
    <row r="29" spans="1:16" x14ac:dyDescent="0.2">
      <c r="A29" s="892"/>
      <c r="B29" s="556"/>
      <c r="C29" s="557"/>
      <c r="D29" s="566">
        <f t="shared" si="0"/>
        <v>0</v>
      </c>
      <c r="E29" s="565">
        <v>0</v>
      </c>
      <c r="F29" s="253">
        <v>0</v>
      </c>
      <c r="G29" s="253">
        <v>0</v>
      </c>
      <c r="H29" s="253">
        <v>0</v>
      </c>
      <c r="I29" s="253">
        <v>0</v>
      </c>
      <c r="J29" s="253">
        <v>0</v>
      </c>
      <c r="K29" s="253">
        <v>0</v>
      </c>
      <c r="L29" s="253">
        <v>0</v>
      </c>
      <c r="M29" s="253">
        <v>0</v>
      </c>
      <c r="N29" s="253">
        <v>0</v>
      </c>
      <c r="O29" s="253">
        <v>0</v>
      </c>
      <c r="P29" s="253">
        <v>0</v>
      </c>
    </row>
    <row r="30" spans="1:16" x14ac:dyDescent="0.2">
      <c r="A30" s="892"/>
      <c r="B30" s="556"/>
      <c r="C30" s="557"/>
      <c r="D30" s="566">
        <f t="shared" si="0"/>
        <v>0</v>
      </c>
      <c r="E30" s="565">
        <v>0</v>
      </c>
      <c r="F30" s="253">
        <v>0</v>
      </c>
      <c r="G30" s="253">
        <v>0</v>
      </c>
      <c r="H30" s="253">
        <v>0</v>
      </c>
      <c r="I30" s="253">
        <v>0</v>
      </c>
      <c r="J30" s="253">
        <v>0</v>
      </c>
      <c r="K30" s="253">
        <v>0</v>
      </c>
      <c r="L30" s="253">
        <v>0</v>
      </c>
      <c r="M30" s="253">
        <v>0</v>
      </c>
      <c r="N30" s="253">
        <v>0</v>
      </c>
      <c r="O30" s="253">
        <v>0</v>
      </c>
      <c r="P30" s="253">
        <v>0</v>
      </c>
    </row>
    <row r="31" spans="1:16" x14ac:dyDescent="0.2">
      <c r="A31" s="892"/>
      <c r="B31" s="556"/>
      <c r="C31" s="557"/>
      <c r="D31" s="566">
        <f t="shared" si="0"/>
        <v>0</v>
      </c>
      <c r="E31" s="565">
        <v>0</v>
      </c>
      <c r="F31" s="253">
        <v>0</v>
      </c>
      <c r="G31" s="253">
        <v>0</v>
      </c>
      <c r="H31" s="253">
        <v>0</v>
      </c>
      <c r="I31" s="253">
        <v>0</v>
      </c>
      <c r="J31" s="253">
        <v>0</v>
      </c>
      <c r="K31" s="253">
        <v>0</v>
      </c>
      <c r="L31" s="253">
        <v>0</v>
      </c>
      <c r="M31" s="253">
        <v>0</v>
      </c>
      <c r="N31" s="253">
        <v>0</v>
      </c>
      <c r="O31" s="253">
        <v>0</v>
      </c>
      <c r="P31" s="253">
        <v>0</v>
      </c>
    </row>
    <row r="32" spans="1:16" x14ac:dyDescent="0.2">
      <c r="A32" s="892"/>
      <c r="B32" s="556"/>
      <c r="C32" s="557"/>
      <c r="D32" s="566">
        <f t="shared" si="0"/>
        <v>0</v>
      </c>
      <c r="E32" s="565">
        <v>0</v>
      </c>
      <c r="F32" s="253">
        <v>0</v>
      </c>
      <c r="G32" s="253">
        <v>0</v>
      </c>
      <c r="H32" s="253">
        <v>0</v>
      </c>
      <c r="I32" s="253">
        <v>0</v>
      </c>
      <c r="J32" s="253">
        <v>0</v>
      </c>
      <c r="K32" s="253">
        <v>0</v>
      </c>
      <c r="L32" s="253">
        <v>0</v>
      </c>
      <c r="M32" s="253">
        <v>0</v>
      </c>
      <c r="N32" s="253">
        <v>0</v>
      </c>
      <c r="O32" s="253">
        <v>0</v>
      </c>
      <c r="P32" s="253">
        <v>0</v>
      </c>
    </row>
    <row r="33" spans="1:16" ht="13.5" thickBot="1" x14ac:dyDescent="0.25">
      <c r="A33" s="893"/>
      <c r="B33" s="556"/>
      <c r="C33" s="557"/>
      <c r="D33" s="566">
        <f t="shared" si="0"/>
        <v>0</v>
      </c>
      <c r="E33" s="565">
        <v>0</v>
      </c>
      <c r="F33" s="253">
        <v>0</v>
      </c>
      <c r="G33" s="253">
        <v>0</v>
      </c>
      <c r="H33" s="253">
        <v>0</v>
      </c>
      <c r="I33" s="253">
        <v>0</v>
      </c>
      <c r="J33" s="253">
        <v>0</v>
      </c>
      <c r="K33" s="253">
        <v>0</v>
      </c>
      <c r="L33" s="253">
        <v>0</v>
      </c>
      <c r="M33" s="253">
        <v>0</v>
      </c>
      <c r="N33" s="253">
        <v>0</v>
      </c>
      <c r="O33" s="253">
        <v>0</v>
      </c>
      <c r="P33" s="253">
        <v>0</v>
      </c>
    </row>
    <row r="34" spans="1:16" ht="13.5" thickBot="1" x14ac:dyDescent="0.25">
      <c r="A34" s="896">
        <v>5195950100</v>
      </c>
      <c r="B34" s="173"/>
      <c r="C34" s="175"/>
      <c r="D34" s="195">
        <f>SUM(D7:D33)</f>
        <v>80000000</v>
      </c>
      <c r="E34" s="278">
        <f t="shared" ref="E34:P34" si="1">SUM(E7:E33)</f>
        <v>0</v>
      </c>
      <c r="F34" s="278">
        <f t="shared" si="1"/>
        <v>0</v>
      </c>
      <c r="G34" s="278">
        <f t="shared" si="1"/>
        <v>0</v>
      </c>
      <c r="H34" s="278">
        <f t="shared" si="1"/>
        <v>0</v>
      </c>
      <c r="I34" s="278">
        <f t="shared" si="1"/>
        <v>0</v>
      </c>
      <c r="J34" s="278">
        <f t="shared" si="1"/>
        <v>0</v>
      </c>
      <c r="K34" s="278">
        <f t="shared" si="1"/>
        <v>0</v>
      </c>
      <c r="L34" s="278">
        <f t="shared" si="1"/>
        <v>0</v>
      </c>
      <c r="M34" s="278">
        <f t="shared" si="1"/>
        <v>0</v>
      </c>
      <c r="N34" s="278">
        <f t="shared" si="1"/>
        <v>0</v>
      </c>
      <c r="O34" s="278">
        <f t="shared" si="1"/>
        <v>0</v>
      </c>
      <c r="P34" s="278">
        <f t="shared" si="1"/>
        <v>0</v>
      </c>
    </row>
    <row r="36" spans="1:16" x14ac:dyDescent="0.2">
      <c r="A36" s="251" t="s">
        <v>476</v>
      </c>
      <c r="B36" s="252"/>
      <c r="C36" s="252"/>
      <c r="D36" s="252"/>
      <c r="E36" s="572"/>
    </row>
    <row r="40" spans="1:16" x14ac:dyDescent="0.2">
      <c r="F40" s="572"/>
    </row>
    <row r="65532" spans="5:5" x14ac:dyDescent="0.2">
      <c r="E65532" s="6">
        <v>0</v>
      </c>
    </row>
  </sheetData>
  <mergeCells count="20">
    <mergeCell ref="K5:K6"/>
    <mergeCell ref="L5:L6"/>
    <mergeCell ref="M5:M6"/>
    <mergeCell ref="A3:D3"/>
    <mergeCell ref="B5:B6"/>
    <mergeCell ref="E4:P4"/>
    <mergeCell ref="I5:I6"/>
    <mergeCell ref="J5:J6"/>
    <mergeCell ref="O5:O6"/>
    <mergeCell ref="P5:P6"/>
    <mergeCell ref="E5:E6"/>
    <mergeCell ref="F5:F6"/>
    <mergeCell ref="G5:G6"/>
    <mergeCell ref="H5:H6"/>
    <mergeCell ref="N5:N6"/>
    <mergeCell ref="A2:D2"/>
    <mergeCell ref="A4:D4"/>
    <mergeCell ref="C5:C6"/>
    <mergeCell ref="D5:D6"/>
    <mergeCell ref="A5:A6"/>
  </mergeCells>
  <phoneticPr fontId="27" type="noConversion"/>
  <pageMargins left="0.17" right="0.17" top="1" bottom="1" header="0" footer="0"/>
  <pageSetup scale="70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BASE!$F$3:$F$4</xm:f>
          </x14:formula1>
          <xm:sqref>A7:A33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P65525"/>
  <sheetViews>
    <sheetView zoomScaleNormal="100" workbookViewId="0">
      <selection activeCell="C15" sqref="C15"/>
    </sheetView>
  </sheetViews>
  <sheetFormatPr baseColWidth="10" defaultRowHeight="12.75" x14ac:dyDescent="0.2"/>
  <cols>
    <col min="1" max="1" width="12.140625" style="5" customWidth="1"/>
    <col min="2" max="2" width="44.42578125" style="5" customWidth="1"/>
    <col min="3" max="3" width="28.85546875" style="194" customWidth="1"/>
    <col min="4" max="4" width="18" style="194" customWidth="1"/>
    <col min="5" max="16" width="10.7109375" style="5" customWidth="1"/>
    <col min="17" max="16384" width="11.42578125" style="5"/>
  </cols>
  <sheetData>
    <row r="2" spans="1:16" ht="18" x14ac:dyDescent="0.25">
      <c r="A2" s="1255" t="s">
        <v>483</v>
      </c>
      <c r="B2" s="1255"/>
      <c r="C2" s="1255"/>
      <c r="D2" s="1255"/>
    </row>
    <row r="3" spans="1:16" ht="18" x14ac:dyDescent="0.25">
      <c r="A3" s="1254" t="str">
        <f>+PRESUPUESTO!B2</f>
        <v>MEDICINA PREGRADO</v>
      </c>
      <c r="B3" s="1254"/>
      <c r="C3" s="1254"/>
      <c r="D3" s="1254"/>
    </row>
    <row r="4" spans="1:16" ht="18.75" thickBot="1" x14ac:dyDescent="0.3">
      <c r="A4" s="1256">
        <v>2018</v>
      </c>
      <c r="B4" s="1256"/>
      <c r="C4" s="1256"/>
      <c r="D4" s="1256"/>
      <c r="E4" s="1290" t="s">
        <v>492</v>
      </c>
      <c r="F4" s="1290"/>
      <c r="G4" s="1290"/>
      <c r="H4" s="1290"/>
      <c r="I4" s="1290"/>
      <c r="J4" s="1290"/>
      <c r="K4" s="1290"/>
      <c r="L4" s="1290"/>
      <c r="M4" s="1290"/>
      <c r="N4" s="1290"/>
      <c r="O4" s="1290"/>
      <c r="P4" s="1290"/>
    </row>
    <row r="5" spans="1:16" ht="12.75" customHeight="1" x14ac:dyDescent="0.2">
      <c r="A5" s="1273" t="s">
        <v>418</v>
      </c>
      <c r="B5" s="1278" t="s">
        <v>229</v>
      </c>
      <c r="C5" s="1278" t="s">
        <v>255</v>
      </c>
      <c r="D5" s="1278" t="s">
        <v>475</v>
      </c>
      <c r="E5" s="1288" t="s">
        <v>484</v>
      </c>
      <c r="F5" s="1288" t="s">
        <v>485</v>
      </c>
      <c r="G5" s="1288" t="s">
        <v>486</v>
      </c>
      <c r="H5" s="1288" t="s">
        <v>487</v>
      </c>
      <c r="I5" s="1288" t="s">
        <v>488</v>
      </c>
      <c r="J5" s="1288" t="s">
        <v>489</v>
      </c>
      <c r="K5" s="1288" t="s">
        <v>490</v>
      </c>
      <c r="L5" s="1288" t="s">
        <v>491</v>
      </c>
      <c r="M5" s="1288" t="s">
        <v>251</v>
      </c>
      <c r="N5" s="1288" t="s">
        <v>252</v>
      </c>
      <c r="O5" s="1288" t="s">
        <v>253</v>
      </c>
      <c r="P5" s="1288" t="s">
        <v>254</v>
      </c>
    </row>
    <row r="6" spans="1:16" ht="13.5" thickBot="1" x14ac:dyDescent="0.25">
      <c r="A6" s="1305"/>
      <c r="B6" s="1279"/>
      <c r="C6" s="1279"/>
      <c r="D6" s="1279"/>
      <c r="E6" s="1289"/>
      <c r="F6" s="1289"/>
      <c r="G6" s="1289"/>
      <c r="H6" s="1289"/>
      <c r="I6" s="1289"/>
      <c r="J6" s="1289"/>
      <c r="K6" s="1289"/>
      <c r="L6" s="1289"/>
      <c r="M6" s="1289"/>
      <c r="N6" s="1289"/>
      <c r="O6" s="1289"/>
      <c r="P6" s="1289"/>
    </row>
    <row r="7" spans="1:16" x14ac:dyDescent="0.2">
      <c r="A7" s="891"/>
      <c r="B7" s="556"/>
      <c r="C7" s="557"/>
      <c r="D7" s="764"/>
      <c r="E7" s="253">
        <v>0</v>
      </c>
      <c r="F7" s="254">
        <v>0</v>
      </c>
      <c r="G7" s="254">
        <v>0</v>
      </c>
      <c r="H7" s="254">
        <v>0</v>
      </c>
      <c r="I7" s="254">
        <v>0</v>
      </c>
      <c r="J7" s="254">
        <v>0</v>
      </c>
      <c r="K7" s="254">
        <v>0</v>
      </c>
      <c r="L7" s="254">
        <v>0</v>
      </c>
      <c r="M7" s="254">
        <v>0</v>
      </c>
      <c r="N7" s="254">
        <v>0</v>
      </c>
      <c r="O7" s="254">
        <v>0</v>
      </c>
      <c r="P7" s="254">
        <v>0</v>
      </c>
    </row>
    <row r="8" spans="1:16" x14ac:dyDescent="0.2">
      <c r="A8" s="892"/>
      <c r="B8" s="556" t="s">
        <v>169</v>
      </c>
      <c r="C8" s="557"/>
      <c r="D8" s="566">
        <f t="shared" ref="D8:D26" si="0">SUM(E8:P8)</f>
        <v>0</v>
      </c>
      <c r="E8" s="253">
        <v>0</v>
      </c>
      <c r="F8" s="253">
        <v>0</v>
      </c>
      <c r="G8" s="253">
        <v>0</v>
      </c>
      <c r="H8" s="253">
        <v>0</v>
      </c>
      <c r="I8" s="253">
        <v>0</v>
      </c>
      <c r="J8" s="253">
        <v>0</v>
      </c>
      <c r="K8" s="253">
        <v>0</v>
      </c>
      <c r="L8" s="253">
        <v>0</v>
      </c>
      <c r="M8" s="253">
        <v>0</v>
      </c>
      <c r="N8" s="253">
        <v>0</v>
      </c>
      <c r="O8" s="253">
        <v>0</v>
      </c>
      <c r="P8" s="253">
        <v>0</v>
      </c>
    </row>
    <row r="9" spans="1:16" x14ac:dyDescent="0.2">
      <c r="A9" s="892"/>
      <c r="B9" s="556"/>
      <c r="C9" s="557"/>
      <c r="D9" s="566">
        <f t="shared" si="0"/>
        <v>0</v>
      </c>
      <c r="E9" s="253">
        <v>0</v>
      </c>
      <c r="F9" s="253">
        <v>0</v>
      </c>
      <c r="G9" s="253">
        <v>0</v>
      </c>
      <c r="H9" s="253">
        <v>0</v>
      </c>
      <c r="I9" s="253">
        <v>0</v>
      </c>
      <c r="J9" s="253">
        <v>0</v>
      </c>
      <c r="K9" s="253">
        <v>0</v>
      </c>
      <c r="L9" s="253">
        <v>0</v>
      </c>
      <c r="M9" s="253">
        <v>0</v>
      </c>
      <c r="N9" s="253">
        <v>0</v>
      </c>
      <c r="O9" s="253">
        <v>0</v>
      </c>
      <c r="P9" s="253">
        <v>0</v>
      </c>
    </row>
    <row r="10" spans="1:16" x14ac:dyDescent="0.2">
      <c r="A10" s="892"/>
      <c r="B10" s="556"/>
      <c r="C10" s="557"/>
      <c r="D10" s="566">
        <f t="shared" si="0"/>
        <v>0</v>
      </c>
      <c r="E10" s="253">
        <v>0</v>
      </c>
      <c r="F10" s="253">
        <v>0</v>
      </c>
      <c r="G10" s="253">
        <v>0</v>
      </c>
      <c r="H10" s="253">
        <v>0</v>
      </c>
      <c r="I10" s="253">
        <v>0</v>
      </c>
      <c r="J10" s="253">
        <v>0</v>
      </c>
      <c r="K10" s="253">
        <v>0</v>
      </c>
      <c r="L10" s="253">
        <v>0</v>
      </c>
      <c r="M10" s="253">
        <v>0</v>
      </c>
      <c r="N10" s="253">
        <v>0</v>
      </c>
      <c r="O10" s="253">
        <v>0</v>
      </c>
      <c r="P10" s="253">
        <v>0</v>
      </c>
    </row>
    <row r="11" spans="1:16" x14ac:dyDescent="0.2">
      <c r="A11" s="892"/>
      <c r="B11" s="556"/>
      <c r="C11" s="557"/>
      <c r="D11" s="566">
        <f t="shared" si="0"/>
        <v>0</v>
      </c>
      <c r="E11" s="253">
        <v>0</v>
      </c>
      <c r="F11" s="253">
        <v>0</v>
      </c>
      <c r="G11" s="253">
        <v>0</v>
      </c>
      <c r="H11" s="253">
        <v>0</v>
      </c>
      <c r="I11" s="253">
        <v>0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</row>
    <row r="12" spans="1:16" x14ac:dyDescent="0.2">
      <c r="A12" s="892"/>
      <c r="B12" s="556"/>
      <c r="C12" s="557"/>
      <c r="D12" s="566">
        <f t="shared" si="0"/>
        <v>0</v>
      </c>
      <c r="E12" s="253">
        <v>0</v>
      </c>
      <c r="F12" s="253">
        <v>0</v>
      </c>
      <c r="G12" s="253">
        <v>0</v>
      </c>
      <c r="H12" s="253">
        <v>0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</row>
    <row r="13" spans="1:16" x14ac:dyDescent="0.2">
      <c r="A13" s="892"/>
      <c r="B13" s="556"/>
      <c r="C13" s="557"/>
      <c r="D13" s="566">
        <f t="shared" si="0"/>
        <v>0</v>
      </c>
      <c r="E13" s="253">
        <v>0</v>
      </c>
      <c r="F13" s="253">
        <v>0</v>
      </c>
      <c r="G13" s="253">
        <v>0</v>
      </c>
      <c r="H13" s="253">
        <v>0</v>
      </c>
      <c r="I13" s="253">
        <v>0</v>
      </c>
      <c r="J13" s="253">
        <v>0</v>
      </c>
      <c r="K13" s="253">
        <v>0</v>
      </c>
      <c r="L13" s="253">
        <v>0</v>
      </c>
      <c r="M13" s="253">
        <v>0</v>
      </c>
      <c r="N13" s="253">
        <v>0</v>
      </c>
      <c r="O13" s="253">
        <v>0</v>
      </c>
      <c r="P13" s="253">
        <v>0</v>
      </c>
    </row>
    <row r="14" spans="1:16" x14ac:dyDescent="0.2">
      <c r="A14" s="892"/>
      <c r="B14" s="556"/>
      <c r="C14" s="557"/>
      <c r="D14" s="566">
        <f t="shared" si="0"/>
        <v>0</v>
      </c>
      <c r="E14" s="253">
        <v>0</v>
      </c>
      <c r="F14" s="253">
        <v>0</v>
      </c>
      <c r="G14" s="253">
        <v>0</v>
      </c>
      <c r="H14" s="253">
        <v>0</v>
      </c>
      <c r="I14" s="253">
        <v>0</v>
      </c>
      <c r="J14" s="253">
        <v>0</v>
      </c>
      <c r="K14" s="253">
        <v>0</v>
      </c>
      <c r="L14" s="253">
        <v>0</v>
      </c>
      <c r="M14" s="253">
        <v>0</v>
      </c>
      <c r="N14" s="253">
        <v>0</v>
      </c>
      <c r="O14" s="253">
        <v>0</v>
      </c>
      <c r="P14" s="253">
        <v>0</v>
      </c>
    </row>
    <row r="15" spans="1:16" x14ac:dyDescent="0.2">
      <c r="A15" s="892"/>
      <c r="B15" s="556"/>
      <c r="C15" s="557"/>
      <c r="D15" s="566">
        <f t="shared" si="0"/>
        <v>0</v>
      </c>
      <c r="E15" s="253">
        <v>0</v>
      </c>
      <c r="F15" s="253">
        <v>0</v>
      </c>
      <c r="G15" s="253">
        <v>0</v>
      </c>
      <c r="H15" s="253">
        <v>0</v>
      </c>
      <c r="I15" s="253">
        <v>0</v>
      </c>
      <c r="J15" s="253">
        <v>0</v>
      </c>
      <c r="K15" s="253">
        <v>0</v>
      </c>
      <c r="L15" s="253">
        <v>0</v>
      </c>
      <c r="M15" s="253">
        <v>0</v>
      </c>
      <c r="N15" s="253">
        <v>0</v>
      </c>
      <c r="O15" s="253">
        <v>0</v>
      </c>
      <c r="P15" s="253">
        <v>0</v>
      </c>
    </row>
    <row r="16" spans="1:16" x14ac:dyDescent="0.2">
      <c r="A16" s="892"/>
      <c r="B16" s="556"/>
      <c r="C16" s="557"/>
      <c r="D16" s="566">
        <f t="shared" si="0"/>
        <v>0</v>
      </c>
      <c r="E16" s="253">
        <v>0</v>
      </c>
      <c r="F16" s="253">
        <v>0</v>
      </c>
      <c r="G16" s="253">
        <v>0</v>
      </c>
      <c r="H16" s="253">
        <v>0</v>
      </c>
      <c r="I16" s="253">
        <v>0</v>
      </c>
      <c r="J16" s="253">
        <v>0</v>
      </c>
      <c r="K16" s="253">
        <v>0</v>
      </c>
      <c r="L16" s="253">
        <v>0</v>
      </c>
      <c r="M16" s="253">
        <v>0</v>
      </c>
      <c r="N16" s="253">
        <v>0</v>
      </c>
      <c r="O16" s="253">
        <v>0</v>
      </c>
      <c r="P16" s="253">
        <v>0</v>
      </c>
    </row>
    <row r="17" spans="1:16" x14ac:dyDescent="0.2">
      <c r="A17" s="892"/>
      <c r="B17" s="556"/>
      <c r="C17" s="557"/>
      <c r="D17" s="566">
        <f t="shared" si="0"/>
        <v>0</v>
      </c>
      <c r="E17" s="253">
        <v>0</v>
      </c>
      <c r="F17" s="253">
        <v>0</v>
      </c>
      <c r="G17" s="253">
        <v>0</v>
      </c>
      <c r="H17" s="253">
        <v>0</v>
      </c>
      <c r="I17" s="253">
        <v>0</v>
      </c>
      <c r="J17" s="253">
        <v>0</v>
      </c>
      <c r="K17" s="253">
        <v>0</v>
      </c>
      <c r="L17" s="253">
        <v>0</v>
      </c>
      <c r="M17" s="253">
        <v>0</v>
      </c>
      <c r="N17" s="253">
        <v>0</v>
      </c>
      <c r="O17" s="253">
        <v>0</v>
      </c>
      <c r="P17" s="253">
        <v>0</v>
      </c>
    </row>
    <row r="18" spans="1:16" x14ac:dyDescent="0.2">
      <c r="A18" s="892"/>
      <c r="B18" s="556"/>
      <c r="C18" s="557"/>
      <c r="D18" s="566">
        <f t="shared" si="0"/>
        <v>0</v>
      </c>
      <c r="E18" s="253">
        <v>0</v>
      </c>
      <c r="F18" s="253">
        <v>0</v>
      </c>
      <c r="G18" s="253">
        <v>0</v>
      </c>
      <c r="H18" s="253">
        <v>0</v>
      </c>
      <c r="I18" s="253">
        <v>0</v>
      </c>
      <c r="J18" s="253">
        <v>0</v>
      </c>
      <c r="K18" s="253">
        <v>0</v>
      </c>
      <c r="L18" s="253">
        <v>0</v>
      </c>
      <c r="M18" s="253">
        <v>0</v>
      </c>
      <c r="N18" s="253">
        <v>0</v>
      </c>
      <c r="O18" s="253">
        <v>0</v>
      </c>
      <c r="P18" s="253">
        <v>0</v>
      </c>
    </row>
    <row r="19" spans="1:16" x14ac:dyDescent="0.2">
      <c r="A19" s="892"/>
      <c r="B19" s="556"/>
      <c r="C19" s="557"/>
      <c r="D19" s="566">
        <f t="shared" si="0"/>
        <v>0</v>
      </c>
      <c r="E19" s="253">
        <v>0</v>
      </c>
      <c r="F19" s="253">
        <v>0</v>
      </c>
      <c r="G19" s="253">
        <v>0</v>
      </c>
      <c r="H19" s="253">
        <v>0</v>
      </c>
      <c r="I19" s="253">
        <v>0</v>
      </c>
      <c r="J19" s="253">
        <v>0</v>
      </c>
      <c r="K19" s="253">
        <v>0</v>
      </c>
      <c r="L19" s="253">
        <v>0</v>
      </c>
      <c r="M19" s="253">
        <v>0</v>
      </c>
      <c r="N19" s="253">
        <v>0</v>
      </c>
      <c r="O19" s="253">
        <v>0</v>
      </c>
      <c r="P19" s="253">
        <v>0</v>
      </c>
    </row>
    <row r="20" spans="1:16" x14ac:dyDescent="0.2">
      <c r="A20" s="892"/>
      <c r="B20" s="556"/>
      <c r="C20" s="557"/>
      <c r="D20" s="566">
        <f t="shared" si="0"/>
        <v>0</v>
      </c>
      <c r="E20" s="253">
        <v>0</v>
      </c>
      <c r="F20" s="253">
        <v>0</v>
      </c>
      <c r="G20" s="253">
        <v>0</v>
      </c>
      <c r="H20" s="253">
        <v>0</v>
      </c>
      <c r="I20" s="253">
        <v>0</v>
      </c>
      <c r="J20" s="253">
        <v>0</v>
      </c>
      <c r="K20" s="253">
        <v>0</v>
      </c>
      <c r="L20" s="253">
        <v>0</v>
      </c>
      <c r="M20" s="253">
        <v>0</v>
      </c>
      <c r="N20" s="253">
        <v>0</v>
      </c>
      <c r="O20" s="253">
        <v>0</v>
      </c>
      <c r="P20" s="253">
        <v>0</v>
      </c>
    </row>
    <row r="21" spans="1:16" x14ac:dyDescent="0.2">
      <c r="A21" s="892"/>
      <c r="B21" s="556"/>
      <c r="C21" s="557"/>
      <c r="D21" s="566">
        <f t="shared" si="0"/>
        <v>0</v>
      </c>
      <c r="E21" s="253">
        <v>0</v>
      </c>
      <c r="F21" s="253">
        <v>0</v>
      </c>
      <c r="G21" s="253">
        <v>0</v>
      </c>
      <c r="H21" s="253">
        <v>0</v>
      </c>
      <c r="I21" s="253">
        <v>0</v>
      </c>
      <c r="J21" s="253">
        <v>0</v>
      </c>
      <c r="K21" s="253">
        <v>0</v>
      </c>
      <c r="L21" s="253">
        <v>0</v>
      </c>
      <c r="M21" s="253">
        <v>0</v>
      </c>
      <c r="N21" s="253">
        <v>0</v>
      </c>
      <c r="O21" s="253">
        <v>0</v>
      </c>
      <c r="P21" s="253">
        <v>0</v>
      </c>
    </row>
    <row r="22" spans="1:16" x14ac:dyDescent="0.2">
      <c r="A22" s="892"/>
      <c r="B22" s="556"/>
      <c r="C22" s="557"/>
      <c r="D22" s="566">
        <f t="shared" si="0"/>
        <v>0</v>
      </c>
      <c r="E22" s="253">
        <v>0</v>
      </c>
      <c r="F22" s="253">
        <v>0</v>
      </c>
      <c r="G22" s="253">
        <v>0</v>
      </c>
      <c r="H22" s="253">
        <v>0</v>
      </c>
      <c r="I22" s="253">
        <v>0</v>
      </c>
      <c r="J22" s="253">
        <v>0</v>
      </c>
      <c r="K22" s="253">
        <v>0</v>
      </c>
      <c r="L22" s="253">
        <v>0</v>
      </c>
      <c r="M22" s="253">
        <v>0</v>
      </c>
      <c r="N22" s="253">
        <v>0</v>
      </c>
      <c r="O22" s="253">
        <v>0</v>
      </c>
      <c r="P22" s="253">
        <v>0</v>
      </c>
    </row>
    <row r="23" spans="1:16" x14ac:dyDescent="0.2">
      <c r="A23" s="892"/>
      <c r="B23" s="556"/>
      <c r="C23" s="557"/>
      <c r="D23" s="566">
        <f t="shared" si="0"/>
        <v>0</v>
      </c>
      <c r="E23" s="253">
        <v>0</v>
      </c>
      <c r="F23" s="253">
        <v>0</v>
      </c>
      <c r="G23" s="253">
        <v>0</v>
      </c>
      <c r="H23" s="253">
        <v>0</v>
      </c>
      <c r="I23" s="253">
        <v>0</v>
      </c>
      <c r="J23" s="253">
        <v>0</v>
      </c>
      <c r="K23" s="253">
        <v>0</v>
      </c>
      <c r="L23" s="253">
        <v>0</v>
      </c>
      <c r="M23" s="253">
        <v>0</v>
      </c>
      <c r="N23" s="253">
        <v>0</v>
      </c>
      <c r="O23" s="253">
        <v>0</v>
      </c>
      <c r="P23" s="253">
        <v>0</v>
      </c>
    </row>
    <row r="24" spans="1:16" x14ac:dyDescent="0.2">
      <c r="A24" s="892"/>
      <c r="B24" s="556"/>
      <c r="C24" s="557"/>
      <c r="D24" s="566">
        <f t="shared" si="0"/>
        <v>0</v>
      </c>
      <c r="E24" s="253">
        <v>0</v>
      </c>
      <c r="F24" s="253">
        <v>0</v>
      </c>
      <c r="G24" s="253">
        <v>0</v>
      </c>
      <c r="H24" s="253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</row>
    <row r="25" spans="1:16" x14ac:dyDescent="0.2">
      <c r="A25" s="892"/>
      <c r="B25" s="556"/>
      <c r="C25" s="557"/>
      <c r="D25" s="566">
        <f t="shared" si="0"/>
        <v>0</v>
      </c>
      <c r="E25" s="253">
        <v>0</v>
      </c>
      <c r="F25" s="253">
        <v>0</v>
      </c>
      <c r="G25" s="253">
        <v>0</v>
      </c>
      <c r="H25" s="253">
        <v>0</v>
      </c>
      <c r="I25" s="253">
        <v>0</v>
      </c>
      <c r="J25" s="253">
        <v>0</v>
      </c>
      <c r="K25" s="253">
        <v>0</v>
      </c>
      <c r="L25" s="253">
        <v>0</v>
      </c>
      <c r="M25" s="253">
        <v>0</v>
      </c>
      <c r="N25" s="253">
        <v>0</v>
      </c>
      <c r="O25" s="253">
        <v>0</v>
      </c>
      <c r="P25" s="253">
        <v>0</v>
      </c>
    </row>
    <row r="26" spans="1:16" ht="13.5" thickBot="1" x14ac:dyDescent="0.25">
      <c r="A26" s="893"/>
      <c r="B26" s="556"/>
      <c r="C26" s="557"/>
      <c r="D26" s="566">
        <f t="shared" si="0"/>
        <v>0</v>
      </c>
      <c r="E26" s="253">
        <v>0</v>
      </c>
      <c r="F26" s="253">
        <v>0</v>
      </c>
      <c r="G26" s="253">
        <v>0</v>
      </c>
      <c r="H26" s="253">
        <v>0</v>
      </c>
      <c r="I26" s="253">
        <v>0</v>
      </c>
      <c r="J26" s="253">
        <v>0</v>
      </c>
      <c r="K26" s="253">
        <v>0</v>
      </c>
      <c r="L26" s="253">
        <v>0</v>
      </c>
      <c r="M26" s="253">
        <v>0</v>
      </c>
      <c r="N26" s="253">
        <v>0</v>
      </c>
      <c r="O26" s="253">
        <v>0</v>
      </c>
      <c r="P26" s="253">
        <v>0</v>
      </c>
    </row>
    <row r="27" spans="1:16" ht="13.5" thickBot="1" x14ac:dyDescent="0.25">
      <c r="A27" s="896">
        <v>5145300000</v>
      </c>
      <c r="B27" s="173"/>
      <c r="C27" s="175"/>
      <c r="D27" s="195">
        <f>SUM(D7:D26)</f>
        <v>0</v>
      </c>
      <c r="E27" s="278">
        <f>SUM(E7:E26)</f>
        <v>0</v>
      </c>
      <c r="F27" s="278">
        <f t="shared" ref="F27:P27" si="1">SUM(F7:F26)</f>
        <v>0</v>
      </c>
      <c r="G27" s="278">
        <f t="shared" si="1"/>
        <v>0</v>
      </c>
      <c r="H27" s="278">
        <f t="shared" si="1"/>
        <v>0</v>
      </c>
      <c r="I27" s="278">
        <f t="shared" si="1"/>
        <v>0</v>
      </c>
      <c r="J27" s="278">
        <f t="shared" si="1"/>
        <v>0</v>
      </c>
      <c r="K27" s="278">
        <f t="shared" si="1"/>
        <v>0</v>
      </c>
      <c r="L27" s="278">
        <f t="shared" si="1"/>
        <v>0</v>
      </c>
      <c r="M27" s="278">
        <f t="shared" si="1"/>
        <v>0</v>
      </c>
      <c r="N27" s="278">
        <f t="shared" si="1"/>
        <v>0</v>
      </c>
      <c r="O27" s="278">
        <f t="shared" si="1"/>
        <v>0</v>
      </c>
      <c r="P27" s="278">
        <f t="shared" si="1"/>
        <v>0</v>
      </c>
    </row>
    <row r="29" spans="1:16" x14ac:dyDescent="0.2">
      <c r="A29" s="251" t="s">
        <v>476</v>
      </c>
      <c r="B29" s="252"/>
      <c r="C29" s="252"/>
      <c r="D29" s="252"/>
      <c r="E29" s="572"/>
    </row>
    <row r="65525" spans="5:5" x14ac:dyDescent="0.2">
      <c r="E65525" s="6">
        <v>0</v>
      </c>
    </row>
  </sheetData>
  <mergeCells count="20">
    <mergeCell ref="N5:N6"/>
    <mergeCell ref="O5:O6"/>
    <mergeCell ref="P5:P6"/>
    <mergeCell ref="E4:P4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A2:D2"/>
    <mergeCell ref="A4:D4"/>
    <mergeCell ref="A5:A6"/>
    <mergeCell ref="B5:B6"/>
    <mergeCell ref="C5:C6"/>
    <mergeCell ref="D5:D6"/>
    <mergeCell ref="A3:D3"/>
  </mergeCells>
  <phoneticPr fontId="0" type="noConversion"/>
  <pageMargins left="0.16" right="0.16" top="0.75" bottom="0.75" header="0.3" footer="0.3"/>
  <pageSetup scale="65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BASE!$F$3:$F$4</xm:f>
          </x14:formula1>
          <xm:sqref>A7:A26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Q65535"/>
  <sheetViews>
    <sheetView workbookViewId="0">
      <selection activeCell="C17" sqref="C17"/>
    </sheetView>
  </sheetViews>
  <sheetFormatPr baseColWidth="10" defaultRowHeight="12.75" x14ac:dyDescent="0.2"/>
  <cols>
    <col min="1" max="1" width="12.28515625" style="5" customWidth="1"/>
    <col min="2" max="2" width="31" style="5" customWidth="1"/>
    <col min="3" max="3" width="19.5703125" style="5" customWidth="1"/>
    <col min="4" max="4" width="30" style="5" customWidth="1"/>
    <col min="5" max="5" width="11.42578125" style="194" customWidth="1"/>
    <col min="6" max="17" width="10.7109375" style="5" customWidth="1"/>
    <col min="18" max="16384" width="11.42578125" style="5"/>
  </cols>
  <sheetData>
    <row r="2" spans="1:17" ht="18" x14ac:dyDescent="0.25">
      <c r="A2" s="1255" t="s">
        <v>672</v>
      </c>
      <c r="B2" s="1255"/>
      <c r="C2" s="1255"/>
      <c r="D2" s="1255"/>
      <c r="E2" s="1255"/>
      <c r="F2" s="1255"/>
      <c r="G2" s="1255"/>
    </row>
    <row r="3" spans="1:17" ht="18" x14ac:dyDescent="0.25">
      <c r="A3" s="1254" t="str">
        <f>+PRESUPUESTO!B2</f>
        <v>MEDICINA PREGRADO</v>
      </c>
      <c r="B3" s="1254"/>
      <c r="C3" s="1254"/>
      <c r="D3" s="1254"/>
      <c r="E3" s="1254"/>
    </row>
    <row r="4" spans="1:17" ht="18.75" thickBot="1" x14ac:dyDescent="0.3">
      <c r="A4" s="1256">
        <v>2018</v>
      </c>
      <c r="B4" s="1256"/>
      <c r="C4" s="1256"/>
      <c r="D4" s="1256"/>
      <c r="E4" s="1256"/>
      <c r="F4" s="1290" t="s">
        <v>492</v>
      </c>
      <c r="G4" s="1290"/>
      <c r="H4" s="1290"/>
      <c r="I4" s="1290"/>
      <c r="J4" s="1290"/>
      <c r="K4" s="1290"/>
      <c r="L4" s="1290"/>
      <c r="M4" s="1290"/>
      <c r="N4" s="1290"/>
      <c r="O4" s="1290"/>
      <c r="P4" s="1290"/>
      <c r="Q4" s="1290"/>
    </row>
    <row r="5" spans="1:17" ht="12.75" customHeight="1" x14ac:dyDescent="0.2">
      <c r="A5" s="1273" t="s">
        <v>418</v>
      </c>
      <c r="B5" s="1306" t="s">
        <v>479</v>
      </c>
      <c r="C5" s="1306" t="s">
        <v>478</v>
      </c>
      <c r="D5" s="1308" t="s">
        <v>255</v>
      </c>
      <c r="E5" s="1278" t="s">
        <v>475</v>
      </c>
      <c r="F5" s="1288" t="s">
        <v>484</v>
      </c>
      <c r="G5" s="1288" t="s">
        <v>485</v>
      </c>
      <c r="H5" s="1288" t="s">
        <v>486</v>
      </c>
      <c r="I5" s="1288" t="s">
        <v>487</v>
      </c>
      <c r="J5" s="1288" t="s">
        <v>488</v>
      </c>
      <c r="K5" s="1288" t="s">
        <v>489</v>
      </c>
      <c r="L5" s="1288" t="s">
        <v>490</v>
      </c>
      <c r="M5" s="1288" t="s">
        <v>491</v>
      </c>
      <c r="N5" s="1288" t="s">
        <v>251</v>
      </c>
      <c r="O5" s="1288" t="s">
        <v>252</v>
      </c>
      <c r="P5" s="1288" t="s">
        <v>253</v>
      </c>
      <c r="Q5" s="1288" t="s">
        <v>254</v>
      </c>
    </row>
    <row r="6" spans="1:17" ht="13.5" thickBot="1" x14ac:dyDescent="0.25">
      <c r="A6" s="1305"/>
      <c r="B6" s="1307"/>
      <c r="C6" s="1307"/>
      <c r="D6" s="1307"/>
      <c r="E6" s="1279"/>
      <c r="F6" s="1289"/>
      <c r="G6" s="1289"/>
      <c r="H6" s="1289"/>
      <c r="I6" s="1289"/>
      <c r="J6" s="1289"/>
      <c r="K6" s="1289"/>
      <c r="L6" s="1289"/>
      <c r="M6" s="1289"/>
      <c r="N6" s="1289"/>
      <c r="O6" s="1289"/>
      <c r="P6" s="1289"/>
      <c r="Q6" s="1289"/>
    </row>
    <row r="7" spans="1:17" s="302" customFormat="1" ht="11.25" x14ac:dyDescent="0.2">
      <c r="A7" s="1011"/>
      <c r="B7" s="1011"/>
      <c r="C7" s="1011"/>
      <c r="D7" s="1009"/>
      <c r="E7" s="1009"/>
      <c r="F7" s="301">
        <v>0</v>
      </c>
      <c r="G7" s="301">
        <v>0</v>
      </c>
      <c r="H7" s="301">
        <v>0</v>
      </c>
      <c r="I7" s="301">
        <v>0</v>
      </c>
      <c r="J7" s="301">
        <v>0</v>
      </c>
      <c r="K7" s="301">
        <v>0</v>
      </c>
      <c r="L7" s="301">
        <v>0</v>
      </c>
      <c r="M7" s="301">
        <v>0</v>
      </c>
      <c r="N7" s="301">
        <v>0</v>
      </c>
      <c r="O7" s="301">
        <v>0</v>
      </c>
      <c r="P7" s="301">
        <v>0</v>
      </c>
      <c r="Q7" s="301">
        <v>0</v>
      </c>
    </row>
    <row r="8" spans="1:17" s="302" customFormat="1" ht="11.25" x14ac:dyDescent="0.2">
      <c r="A8" s="1011"/>
      <c r="B8" s="1011"/>
      <c r="C8" s="1011"/>
      <c r="D8" s="1009"/>
      <c r="E8" s="1009"/>
      <c r="F8" s="303">
        <v>0</v>
      </c>
      <c r="G8" s="303">
        <v>0</v>
      </c>
      <c r="H8" s="303">
        <v>0</v>
      </c>
      <c r="I8" s="303">
        <v>0</v>
      </c>
      <c r="J8" s="303">
        <v>0</v>
      </c>
      <c r="K8" s="303">
        <v>0</v>
      </c>
      <c r="L8" s="303">
        <v>0</v>
      </c>
      <c r="M8" s="303">
        <v>0</v>
      </c>
      <c r="N8" s="303">
        <v>0</v>
      </c>
      <c r="O8" s="303">
        <v>0</v>
      </c>
      <c r="P8" s="303">
        <v>0</v>
      </c>
      <c r="Q8" s="303">
        <v>0</v>
      </c>
    </row>
    <row r="9" spans="1:17" s="302" customFormat="1" ht="11.25" x14ac:dyDescent="0.2">
      <c r="A9" s="1011"/>
      <c r="B9" s="1011"/>
      <c r="C9" s="1011"/>
      <c r="D9" s="1009"/>
      <c r="E9" s="1009"/>
      <c r="F9" s="303">
        <v>0</v>
      </c>
      <c r="G9" s="303">
        <v>0</v>
      </c>
      <c r="H9" s="303">
        <v>0</v>
      </c>
      <c r="I9" s="303">
        <v>0</v>
      </c>
      <c r="J9" s="303">
        <v>0</v>
      </c>
      <c r="K9" s="303">
        <v>0</v>
      </c>
      <c r="L9" s="303">
        <v>0</v>
      </c>
      <c r="M9" s="303">
        <v>0</v>
      </c>
      <c r="N9" s="303">
        <v>0</v>
      </c>
      <c r="O9" s="303">
        <v>0</v>
      </c>
      <c r="P9" s="303">
        <v>0</v>
      </c>
      <c r="Q9" s="303">
        <v>0</v>
      </c>
    </row>
    <row r="10" spans="1:17" x14ac:dyDescent="0.2">
      <c r="A10" s="997"/>
      <c r="B10" s="997"/>
      <c r="C10" s="997"/>
      <c r="D10" s="1010"/>
      <c r="E10" s="1010"/>
      <c r="F10" s="253">
        <v>0</v>
      </c>
      <c r="G10" s="253">
        <v>0</v>
      </c>
      <c r="H10" s="253">
        <v>0</v>
      </c>
      <c r="I10" s="253">
        <v>0</v>
      </c>
      <c r="J10" s="253">
        <v>0</v>
      </c>
      <c r="K10" s="253">
        <v>0</v>
      </c>
      <c r="L10" s="253">
        <v>0</v>
      </c>
      <c r="M10" s="253">
        <v>0</v>
      </c>
      <c r="N10" s="253">
        <v>0</v>
      </c>
      <c r="O10" s="253">
        <v>0</v>
      </c>
      <c r="P10" s="253">
        <v>0</v>
      </c>
      <c r="Q10" s="253">
        <v>0</v>
      </c>
    </row>
    <row r="11" spans="1:17" x14ac:dyDescent="0.2">
      <c r="A11" s="997"/>
      <c r="B11" s="997"/>
      <c r="C11" s="997"/>
      <c r="D11" s="1010"/>
      <c r="E11" s="1010"/>
      <c r="F11" s="253">
        <v>0</v>
      </c>
      <c r="G11" s="253">
        <v>0</v>
      </c>
      <c r="H11" s="253">
        <v>0</v>
      </c>
      <c r="I11" s="253">
        <v>0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</row>
    <row r="12" spans="1:17" x14ac:dyDescent="0.2">
      <c r="A12" s="1011"/>
      <c r="B12" s="1011"/>
      <c r="C12" s="1011"/>
      <c r="D12" s="1009"/>
      <c r="E12" s="1009"/>
      <c r="F12" s="253">
        <v>0</v>
      </c>
      <c r="G12" s="253">
        <v>0</v>
      </c>
      <c r="H12" s="253">
        <v>0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</row>
    <row r="13" spans="1:17" x14ac:dyDescent="0.2">
      <c r="A13" s="1011"/>
      <c r="B13" s="1011"/>
      <c r="C13" s="1011"/>
      <c r="D13" s="1009"/>
      <c r="E13" s="1009"/>
      <c r="F13" s="253">
        <v>0</v>
      </c>
      <c r="G13" s="253">
        <v>0</v>
      </c>
      <c r="H13" s="253">
        <v>0</v>
      </c>
      <c r="I13" s="253">
        <v>0</v>
      </c>
      <c r="J13" s="253">
        <v>0</v>
      </c>
      <c r="K13" s="253">
        <v>0</v>
      </c>
      <c r="L13" s="253">
        <v>0</v>
      </c>
      <c r="M13" s="253">
        <v>0</v>
      </c>
      <c r="N13" s="253">
        <v>0</v>
      </c>
      <c r="O13" s="253">
        <v>0</v>
      </c>
      <c r="P13" s="253">
        <v>0</v>
      </c>
      <c r="Q13" s="253">
        <v>0</v>
      </c>
    </row>
    <row r="14" spans="1:17" x14ac:dyDescent="0.2">
      <c r="A14" s="1011"/>
      <c r="B14" s="1011"/>
      <c r="C14" s="1011"/>
      <c r="D14" s="1009"/>
      <c r="E14" s="1009"/>
      <c r="F14" s="253">
        <v>0</v>
      </c>
      <c r="G14" s="253">
        <v>0</v>
      </c>
      <c r="H14" s="253">
        <v>0</v>
      </c>
      <c r="I14" s="253">
        <v>0</v>
      </c>
      <c r="J14" s="253">
        <v>0</v>
      </c>
      <c r="K14" s="253">
        <v>0</v>
      </c>
      <c r="L14" s="253">
        <v>0</v>
      </c>
      <c r="M14" s="253">
        <v>0</v>
      </c>
      <c r="N14" s="253">
        <v>0</v>
      </c>
      <c r="O14" s="253">
        <v>0</v>
      </c>
      <c r="P14" s="253">
        <v>0</v>
      </c>
      <c r="Q14" s="253">
        <v>0</v>
      </c>
    </row>
    <row r="15" spans="1:17" x14ac:dyDescent="0.2">
      <c r="A15" s="997"/>
      <c r="B15" s="997"/>
      <c r="C15" s="997"/>
      <c r="D15" s="1010"/>
      <c r="E15" s="1010"/>
      <c r="F15" s="253">
        <v>0</v>
      </c>
      <c r="G15" s="253">
        <v>0</v>
      </c>
      <c r="H15" s="253">
        <v>0</v>
      </c>
      <c r="I15" s="253">
        <v>0</v>
      </c>
      <c r="J15" s="253">
        <v>0</v>
      </c>
      <c r="K15" s="253">
        <v>0</v>
      </c>
      <c r="L15" s="253">
        <v>0</v>
      </c>
      <c r="M15" s="253">
        <v>0</v>
      </c>
      <c r="N15" s="253">
        <v>0</v>
      </c>
      <c r="O15" s="253">
        <v>0</v>
      </c>
      <c r="P15" s="253">
        <v>0</v>
      </c>
      <c r="Q15" s="253">
        <v>0</v>
      </c>
    </row>
    <row r="16" spans="1:17" x14ac:dyDescent="0.2">
      <c r="A16" s="997"/>
      <c r="B16" s="997"/>
      <c r="C16" s="997"/>
      <c r="D16" s="1010"/>
      <c r="E16" s="1010"/>
      <c r="F16" s="253">
        <v>0</v>
      </c>
      <c r="G16" s="253">
        <v>0</v>
      </c>
      <c r="H16" s="253">
        <v>0</v>
      </c>
      <c r="I16" s="253">
        <v>0</v>
      </c>
      <c r="J16" s="253">
        <v>0</v>
      </c>
      <c r="K16" s="253">
        <v>0</v>
      </c>
      <c r="L16" s="253">
        <v>0</v>
      </c>
      <c r="M16" s="253">
        <v>0</v>
      </c>
      <c r="N16" s="253">
        <v>0</v>
      </c>
      <c r="O16" s="253">
        <v>0</v>
      </c>
      <c r="P16" s="253">
        <v>0</v>
      </c>
      <c r="Q16" s="253">
        <v>0</v>
      </c>
    </row>
    <row r="17" spans="1:17" x14ac:dyDescent="0.2">
      <c r="A17" s="1011"/>
      <c r="B17" s="1011"/>
      <c r="C17" s="1011"/>
      <c r="D17" s="1009"/>
      <c r="E17" s="1009"/>
      <c r="F17" s="253">
        <v>0</v>
      </c>
      <c r="G17" s="253">
        <v>0</v>
      </c>
      <c r="H17" s="253">
        <v>0</v>
      </c>
      <c r="I17" s="253">
        <v>0</v>
      </c>
      <c r="J17" s="253">
        <v>0</v>
      </c>
      <c r="K17" s="253">
        <v>0</v>
      </c>
      <c r="L17" s="253">
        <v>0</v>
      </c>
      <c r="M17" s="253">
        <v>0</v>
      </c>
      <c r="N17" s="253">
        <v>0</v>
      </c>
      <c r="O17" s="253">
        <v>0</v>
      </c>
      <c r="P17" s="253">
        <v>0</v>
      </c>
      <c r="Q17" s="253">
        <v>0</v>
      </c>
    </row>
    <row r="18" spans="1:17" x14ac:dyDescent="0.2">
      <c r="A18" s="1011"/>
      <c r="B18" s="1011"/>
      <c r="C18" s="1011"/>
      <c r="D18" s="1009"/>
      <c r="E18" s="1009"/>
      <c r="F18" s="253">
        <v>0</v>
      </c>
      <c r="G18" s="253">
        <v>0</v>
      </c>
      <c r="H18" s="253">
        <v>0</v>
      </c>
      <c r="I18" s="253">
        <v>0</v>
      </c>
      <c r="J18" s="253">
        <v>0</v>
      </c>
      <c r="K18" s="253">
        <v>0</v>
      </c>
      <c r="L18" s="253">
        <v>0</v>
      </c>
      <c r="M18" s="253">
        <v>0</v>
      </c>
      <c r="N18" s="253">
        <v>0</v>
      </c>
      <c r="O18" s="253">
        <v>0</v>
      </c>
      <c r="P18" s="253">
        <v>0</v>
      </c>
      <c r="Q18" s="253">
        <v>0</v>
      </c>
    </row>
    <row r="19" spans="1:17" x14ac:dyDescent="0.2">
      <c r="A19" s="1011"/>
      <c r="B19" s="1011"/>
      <c r="C19" s="1011"/>
      <c r="D19" s="1009"/>
      <c r="E19" s="1009"/>
      <c r="F19" s="253">
        <v>0</v>
      </c>
      <c r="G19" s="253">
        <v>0</v>
      </c>
      <c r="H19" s="253">
        <v>0</v>
      </c>
      <c r="I19" s="253">
        <v>0</v>
      </c>
      <c r="J19" s="253">
        <v>0</v>
      </c>
      <c r="K19" s="253">
        <v>0</v>
      </c>
      <c r="L19" s="253">
        <v>0</v>
      </c>
      <c r="M19" s="253">
        <v>0</v>
      </c>
      <c r="N19" s="253">
        <v>0</v>
      </c>
      <c r="O19" s="253">
        <v>0</v>
      </c>
      <c r="P19" s="253">
        <v>0</v>
      </c>
      <c r="Q19" s="253">
        <v>0</v>
      </c>
    </row>
    <row r="20" spans="1:17" x14ac:dyDescent="0.2">
      <c r="A20" s="997"/>
      <c r="B20" s="997"/>
      <c r="C20" s="997"/>
      <c r="D20" s="1010"/>
      <c r="E20" s="1010"/>
      <c r="F20" s="253">
        <v>0</v>
      </c>
      <c r="G20" s="253">
        <v>0</v>
      </c>
      <c r="H20" s="253">
        <v>0</v>
      </c>
      <c r="I20" s="253">
        <v>0</v>
      </c>
      <c r="J20" s="253">
        <v>0</v>
      </c>
      <c r="K20" s="253">
        <v>0</v>
      </c>
      <c r="L20" s="253">
        <v>0</v>
      </c>
      <c r="M20" s="253">
        <v>0</v>
      </c>
      <c r="N20" s="253">
        <v>0</v>
      </c>
      <c r="O20" s="253">
        <v>0</v>
      </c>
      <c r="P20" s="253">
        <v>0</v>
      </c>
      <c r="Q20" s="253">
        <v>0</v>
      </c>
    </row>
    <row r="21" spans="1:17" x14ac:dyDescent="0.2">
      <c r="A21" s="997"/>
      <c r="B21" s="997"/>
      <c r="C21" s="997"/>
      <c r="D21" s="1010"/>
      <c r="E21" s="1010"/>
      <c r="F21" s="253">
        <v>0</v>
      </c>
      <c r="G21" s="253">
        <v>0</v>
      </c>
      <c r="H21" s="253">
        <v>0</v>
      </c>
      <c r="I21" s="253">
        <v>0</v>
      </c>
      <c r="J21" s="253">
        <v>0</v>
      </c>
      <c r="K21" s="253">
        <v>0</v>
      </c>
      <c r="L21" s="253">
        <v>0</v>
      </c>
      <c r="M21" s="253">
        <v>0</v>
      </c>
      <c r="N21" s="253">
        <v>0</v>
      </c>
      <c r="O21" s="253">
        <v>0</v>
      </c>
      <c r="P21" s="253">
        <v>0</v>
      </c>
      <c r="Q21" s="253">
        <v>0</v>
      </c>
    </row>
    <row r="22" spans="1:17" x14ac:dyDescent="0.2">
      <c r="A22" s="1011"/>
      <c r="B22" s="1011"/>
      <c r="C22" s="1011"/>
      <c r="D22" s="1009"/>
      <c r="E22" s="1009"/>
      <c r="F22" s="253">
        <v>0</v>
      </c>
      <c r="G22" s="253">
        <v>0</v>
      </c>
      <c r="H22" s="253">
        <v>0</v>
      </c>
      <c r="I22" s="253">
        <v>0</v>
      </c>
      <c r="J22" s="253">
        <v>0</v>
      </c>
      <c r="K22" s="253">
        <v>0</v>
      </c>
      <c r="L22" s="253">
        <v>0</v>
      </c>
      <c r="M22" s="253">
        <v>0</v>
      </c>
      <c r="N22" s="253">
        <v>0</v>
      </c>
      <c r="O22" s="253">
        <v>0</v>
      </c>
      <c r="P22" s="253">
        <v>0</v>
      </c>
      <c r="Q22" s="253">
        <v>0</v>
      </c>
    </row>
    <row r="23" spans="1:17" x14ac:dyDescent="0.2">
      <c r="A23" s="1011"/>
      <c r="B23" s="1011"/>
      <c r="C23" s="1011"/>
      <c r="D23" s="1009"/>
      <c r="E23" s="1009"/>
      <c r="F23" s="253">
        <v>0</v>
      </c>
      <c r="G23" s="253">
        <v>0</v>
      </c>
      <c r="H23" s="253">
        <v>0</v>
      </c>
      <c r="I23" s="253">
        <v>0</v>
      </c>
      <c r="J23" s="253">
        <v>0</v>
      </c>
      <c r="K23" s="253">
        <v>0</v>
      </c>
      <c r="L23" s="253">
        <v>0</v>
      </c>
      <c r="M23" s="253">
        <v>0</v>
      </c>
      <c r="N23" s="253">
        <v>0</v>
      </c>
      <c r="O23" s="253">
        <v>0</v>
      </c>
      <c r="P23" s="253">
        <v>0</v>
      </c>
      <c r="Q23" s="253">
        <v>0</v>
      </c>
    </row>
    <row r="24" spans="1:17" x14ac:dyDescent="0.2">
      <c r="A24" s="1011"/>
      <c r="B24" s="1011"/>
      <c r="C24" s="1011"/>
      <c r="D24" s="1009"/>
      <c r="E24" s="1009"/>
      <c r="F24" s="253">
        <v>0</v>
      </c>
      <c r="G24" s="253">
        <v>0</v>
      </c>
      <c r="H24" s="253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</row>
    <row r="25" spans="1:17" x14ac:dyDescent="0.2">
      <c r="A25" s="997"/>
      <c r="B25" s="997"/>
      <c r="C25" s="997"/>
      <c r="D25" s="1010"/>
      <c r="E25" s="1010"/>
      <c r="F25" s="253">
        <v>0</v>
      </c>
      <c r="G25" s="253">
        <v>0</v>
      </c>
      <c r="H25" s="253">
        <v>0</v>
      </c>
      <c r="I25" s="253">
        <v>0</v>
      </c>
      <c r="J25" s="253">
        <v>0</v>
      </c>
      <c r="K25" s="253">
        <v>0</v>
      </c>
      <c r="L25" s="253">
        <v>0</v>
      </c>
      <c r="M25" s="253">
        <v>0</v>
      </c>
      <c r="N25" s="253">
        <v>0</v>
      </c>
      <c r="O25" s="253">
        <v>0</v>
      </c>
      <c r="P25" s="253">
        <v>0</v>
      </c>
      <c r="Q25" s="253">
        <v>0</v>
      </c>
    </row>
    <row r="26" spans="1:17" x14ac:dyDescent="0.2">
      <c r="A26" s="997"/>
      <c r="B26" s="997"/>
      <c r="C26" s="997"/>
      <c r="D26" s="1010"/>
      <c r="E26" s="1010"/>
      <c r="F26" s="253">
        <v>0</v>
      </c>
      <c r="G26" s="253">
        <v>0</v>
      </c>
      <c r="H26" s="253">
        <v>0</v>
      </c>
      <c r="I26" s="253">
        <v>0</v>
      </c>
      <c r="J26" s="253">
        <v>0</v>
      </c>
      <c r="K26" s="253">
        <v>0</v>
      </c>
      <c r="L26" s="253">
        <v>0</v>
      </c>
      <c r="M26" s="253">
        <v>0</v>
      </c>
      <c r="N26" s="253">
        <v>0</v>
      </c>
      <c r="O26" s="253">
        <v>0</v>
      </c>
      <c r="P26" s="253">
        <v>0</v>
      </c>
      <c r="Q26" s="253">
        <v>0</v>
      </c>
    </row>
    <row r="27" spans="1:17" x14ac:dyDescent="0.2">
      <c r="A27" s="1011"/>
      <c r="B27" s="1011"/>
      <c r="C27" s="1011"/>
      <c r="D27" s="1009"/>
      <c r="E27" s="1009"/>
      <c r="F27" s="253">
        <v>0</v>
      </c>
      <c r="G27" s="253">
        <v>0</v>
      </c>
      <c r="H27" s="253">
        <v>0</v>
      </c>
      <c r="I27" s="253">
        <v>0</v>
      </c>
      <c r="J27" s="253">
        <v>0</v>
      </c>
      <c r="K27" s="253">
        <v>0</v>
      </c>
      <c r="L27" s="253">
        <v>0</v>
      </c>
      <c r="M27" s="253">
        <v>0</v>
      </c>
      <c r="N27" s="253">
        <v>0</v>
      </c>
      <c r="O27" s="253">
        <v>0</v>
      </c>
      <c r="P27" s="253">
        <v>0</v>
      </c>
      <c r="Q27" s="253">
        <v>0</v>
      </c>
    </row>
    <row r="28" spans="1:17" x14ac:dyDescent="0.2">
      <c r="A28" s="1011"/>
      <c r="B28" s="1011"/>
      <c r="C28" s="1011"/>
      <c r="D28" s="1009"/>
      <c r="E28" s="1009"/>
      <c r="F28" s="253">
        <v>0</v>
      </c>
      <c r="G28" s="253">
        <v>0</v>
      </c>
      <c r="H28" s="253">
        <v>0</v>
      </c>
      <c r="I28" s="253">
        <v>0</v>
      </c>
      <c r="J28" s="253">
        <v>0</v>
      </c>
      <c r="K28" s="253">
        <v>0</v>
      </c>
      <c r="L28" s="253">
        <v>0</v>
      </c>
      <c r="M28" s="253">
        <v>0</v>
      </c>
      <c r="N28" s="253">
        <v>0</v>
      </c>
      <c r="O28" s="253">
        <v>0</v>
      </c>
      <c r="P28" s="253">
        <v>0</v>
      </c>
      <c r="Q28" s="253">
        <v>0</v>
      </c>
    </row>
    <row r="29" spans="1:17" x14ac:dyDescent="0.2">
      <c r="A29" s="1011"/>
      <c r="B29" s="1011"/>
      <c r="C29" s="1011"/>
      <c r="D29" s="1009"/>
      <c r="E29" s="1009"/>
      <c r="F29" s="253">
        <v>0</v>
      </c>
      <c r="G29" s="253">
        <v>0</v>
      </c>
      <c r="H29" s="253">
        <v>0</v>
      </c>
      <c r="I29" s="253">
        <v>0</v>
      </c>
      <c r="J29" s="253">
        <v>0</v>
      </c>
      <c r="K29" s="253">
        <v>0</v>
      </c>
      <c r="L29" s="253">
        <v>0</v>
      </c>
      <c r="M29" s="253">
        <v>0</v>
      </c>
      <c r="N29" s="253">
        <v>0</v>
      </c>
      <c r="O29" s="253">
        <v>0</v>
      </c>
      <c r="P29" s="253">
        <v>0</v>
      </c>
      <c r="Q29" s="253">
        <v>0</v>
      </c>
    </row>
    <row r="30" spans="1:17" x14ac:dyDescent="0.2">
      <c r="A30" s="997"/>
      <c r="B30" s="997"/>
      <c r="C30" s="997"/>
      <c r="D30" s="1010"/>
      <c r="E30" s="1010"/>
      <c r="F30" s="253">
        <v>0</v>
      </c>
      <c r="G30" s="253">
        <v>0</v>
      </c>
      <c r="H30" s="253">
        <v>0</v>
      </c>
      <c r="I30" s="253">
        <v>0</v>
      </c>
      <c r="J30" s="253">
        <v>0</v>
      </c>
      <c r="K30" s="253">
        <v>0</v>
      </c>
      <c r="L30" s="253">
        <v>0</v>
      </c>
      <c r="M30" s="253">
        <v>0</v>
      </c>
      <c r="N30" s="253">
        <v>0</v>
      </c>
      <c r="O30" s="253">
        <v>0</v>
      </c>
      <c r="P30" s="253">
        <v>0</v>
      </c>
      <c r="Q30" s="253">
        <v>0</v>
      </c>
    </row>
    <row r="31" spans="1:17" x14ac:dyDescent="0.2">
      <c r="A31" s="997"/>
      <c r="B31" s="997"/>
      <c r="C31" s="997"/>
      <c r="D31" s="1010"/>
      <c r="E31" s="1010"/>
      <c r="F31" s="253">
        <v>0</v>
      </c>
      <c r="G31" s="253">
        <v>0</v>
      </c>
      <c r="H31" s="253">
        <v>0</v>
      </c>
      <c r="I31" s="253">
        <v>0</v>
      </c>
      <c r="J31" s="253">
        <v>0</v>
      </c>
      <c r="K31" s="253">
        <v>0</v>
      </c>
      <c r="L31" s="253">
        <v>0</v>
      </c>
      <c r="M31" s="253">
        <v>0</v>
      </c>
      <c r="N31" s="253">
        <v>0</v>
      </c>
      <c r="O31" s="253">
        <v>0</v>
      </c>
      <c r="P31" s="253">
        <v>0</v>
      </c>
      <c r="Q31" s="253">
        <v>0</v>
      </c>
    </row>
    <row r="32" spans="1:17" x14ac:dyDescent="0.2">
      <c r="A32" s="1011"/>
      <c r="B32" s="1011"/>
      <c r="C32" s="1011"/>
      <c r="D32" s="1009"/>
      <c r="E32" s="1009"/>
      <c r="F32" s="253">
        <v>0</v>
      </c>
      <c r="G32" s="253">
        <v>0</v>
      </c>
      <c r="H32" s="253">
        <v>0</v>
      </c>
      <c r="I32" s="253">
        <v>0</v>
      </c>
      <c r="J32" s="253">
        <v>0</v>
      </c>
      <c r="K32" s="253">
        <v>0</v>
      </c>
      <c r="L32" s="253">
        <v>0</v>
      </c>
      <c r="M32" s="253">
        <v>0</v>
      </c>
      <c r="N32" s="253">
        <v>0</v>
      </c>
      <c r="O32" s="253">
        <v>0</v>
      </c>
      <c r="P32" s="253">
        <v>0</v>
      </c>
      <c r="Q32" s="253">
        <v>0</v>
      </c>
    </row>
    <row r="33" spans="1:17" x14ac:dyDescent="0.2">
      <c r="A33" s="1011"/>
      <c r="B33" s="1011"/>
      <c r="C33" s="1011"/>
      <c r="D33" s="1009"/>
      <c r="E33" s="1009"/>
      <c r="F33" s="253">
        <v>0</v>
      </c>
      <c r="G33" s="253">
        <v>0</v>
      </c>
      <c r="H33" s="253">
        <v>0</v>
      </c>
      <c r="I33" s="253">
        <v>0</v>
      </c>
      <c r="J33" s="253">
        <v>0</v>
      </c>
      <c r="K33" s="253">
        <v>0</v>
      </c>
      <c r="L33" s="253">
        <v>0</v>
      </c>
      <c r="M33" s="253">
        <v>0</v>
      </c>
      <c r="N33" s="253">
        <v>0</v>
      </c>
      <c r="O33" s="253">
        <v>0</v>
      </c>
      <c r="P33" s="253">
        <v>0</v>
      </c>
      <c r="Q33" s="253">
        <v>0</v>
      </c>
    </row>
    <row r="34" spans="1:17" x14ac:dyDescent="0.2">
      <c r="A34" s="1011"/>
      <c r="B34" s="1011"/>
      <c r="C34" s="1011"/>
      <c r="D34" s="1009"/>
      <c r="E34" s="1009"/>
      <c r="F34" s="253">
        <v>0</v>
      </c>
      <c r="G34" s="253">
        <v>0</v>
      </c>
      <c r="H34" s="253">
        <v>0</v>
      </c>
      <c r="I34" s="253">
        <v>0</v>
      </c>
      <c r="J34" s="253">
        <v>0</v>
      </c>
      <c r="K34" s="253">
        <v>0</v>
      </c>
      <c r="L34" s="253">
        <v>0</v>
      </c>
      <c r="M34" s="253">
        <v>0</v>
      </c>
      <c r="N34" s="253">
        <v>0</v>
      </c>
      <c r="O34" s="253">
        <v>0</v>
      </c>
      <c r="P34" s="253">
        <v>0</v>
      </c>
      <c r="Q34" s="253">
        <v>0</v>
      </c>
    </row>
    <row r="35" spans="1:17" x14ac:dyDescent="0.2">
      <c r="A35" s="997"/>
      <c r="B35" s="997"/>
      <c r="C35" s="997"/>
      <c r="D35" s="1010"/>
      <c r="E35" s="1010"/>
      <c r="F35" s="253">
        <v>0</v>
      </c>
      <c r="G35" s="253">
        <v>0</v>
      </c>
      <c r="H35" s="253">
        <v>0</v>
      </c>
      <c r="I35" s="253">
        <v>0</v>
      </c>
      <c r="J35" s="253">
        <v>0</v>
      </c>
      <c r="K35" s="253">
        <v>0</v>
      </c>
      <c r="L35" s="253">
        <v>0</v>
      </c>
      <c r="M35" s="253">
        <v>0</v>
      </c>
      <c r="N35" s="253">
        <v>0</v>
      </c>
      <c r="O35" s="253">
        <v>0</v>
      </c>
      <c r="P35" s="253">
        <v>0</v>
      </c>
      <c r="Q35" s="253">
        <v>0</v>
      </c>
    </row>
    <row r="36" spans="1:17" x14ac:dyDescent="0.2">
      <c r="A36" s="997"/>
      <c r="B36" s="997"/>
      <c r="C36" s="997"/>
      <c r="D36" s="1010"/>
      <c r="E36" s="1010"/>
      <c r="F36" s="253">
        <v>0</v>
      </c>
      <c r="G36" s="253">
        <v>0</v>
      </c>
      <c r="H36" s="253">
        <v>0</v>
      </c>
      <c r="I36" s="253">
        <v>0</v>
      </c>
      <c r="J36" s="253">
        <v>0</v>
      </c>
      <c r="K36" s="253">
        <v>0</v>
      </c>
      <c r="L36" s="253">
        <v>0</v>
      </c>
      <c r="M36" s="253">
        <v>0</v>
      </c>
      <c r="N36" s="253">
        <v>0</v>
      </c>
      <c r="O36" s="253">
        <v>0</v>
      </c>
      <c r="P36" s="253">
        <v>0</v>
      </c>
      <c r="Q36" s="253">
        <v>0</v>
      </c>
    </row>
    <row r="37" spans="1:17" ht="13.5" thickBot="1" x14ac:dyDescent="0.25">
      <c r="A37" s="896">
        <v>1528050000</v>
      </c>
      <c r="B37" s="173"/>
      <c r="C37" s="255"/>
      <c r="D37" s="174"/>
      <c r="E37" s="195">
        <f t="shared" ref="E37:Q37" si="0">SUM(E7:E36)</f>
        <v>0</v>
      </c>
      <c r="F37" s="278">
        <f t="shared" si="0"/>
        <v>0</v>
      </c>
      <c r="G37" s="278">
        <f t="shared" si="0"/>
        <v>0</v>
      </c>
      <c r="H37" s="278">
        <f t="shared" si="0"/>
        <v>0</v>
      </c>
      <c r="I37" s="278">
        <f t="shared" si="0"/>
        <v>0</v>
      </c>
      <c r="J37" s="278">
        <f t="shared" si="0"/>
        <v>0</v>
      </c>
      <c r="K37" s="278">
        <f t="shared" si="0"/>
        <v>0</v>
      </c>
      <c r="L37" s="278">
        <f t="shared" si="0"/>
        <v>0</v>
      </c>
      <c r="M37" s="278">
        <f t="shared" si="0"/>
        <v>0</v>
      </c>
      <c r="N37" s="278">
        <f t="shared" si="0"/>
        <v>0</v>
      </c>
      <c r="O37" s="278">
        <f t="shared" si="0"/>
        <v>0</v>
      </c>
      <c r="P37" s="278">
        <f t="shared" si="0"/>
        <v>0</v>
      </c>
      <c r="Q37" s="278">
        <f t="shared" si="0"/>
        <v>0</v>
      </c>
    </row>
    <row r="39" spans="1:17" x14ac:dyDescent="0.2">
      <c r="A39" s="251" t="s">
        <v>476</v>
      </c>
      <c r="B39" s="252"/>
      <c r="C39" s="252"/>
      <c r="D39" s="252"/>
      <c r="E39" s="252"/>
      <c r="F39" s="237"/>
    </row>
    <row r="65535" spans="6:6" x14ac:dyDescent="0.2">
      <c r="F65535" s="6">
        <v>0</v>
      </c>
    </row>
  </sheetData>
  <mergeCells count="21">
    <mergeCell ref="I5:I6"/>
    <mergeCell ref="K5:K6"/>
    <mergeCell ref="Q5:Q6"/>
    <mergeCell ref="F4:Q4"/>
    <mergeCell ref="F5:F6"/>
    <mergeCell ref="G5:G6"/>
    <mergeCell ref="H5:H6"/>
    <mergeCell ref="L5:L6"/>
    <mergeCell ref="M5:M6"/>
    <mergeCell ref="O5:O6"/>
    <mergeCell ref="P5:P6"/>
    <mergeCell ref="J5:J6"/>
    <mergeCell ref="N5:N6"/>
    <mergeCell ref="A2:G2"/>
    <mergeCell ref="A4:E4"/>
    <mergeCell ref="B5:B6"/>
    <mergeCell ref="E5:E6"/>
    <mergeCell ref="A5:A6"/>
    <mergeCell ref="A3:E3"/>
    <mergeCell ref="C5:C6"/>
    <mergeCell ref="D5:D6"/>
  </mergeCells>
  <phoneticPr fontId="27" type="noConversion"/>
  <pageMargins left="0.17" right="0.16" top="1" bottom="1" header="0" footer="0"/>
  <pageSetup paperSize="9" scale="70" orientation="landscape" horizontalDpi="300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Q65534"/>
  <sheetViews>
    <sheetView workbookViewId="0">
      <selection activeCell="D21" sqref="D21"/>
    </sheetView>
  </sheetViews>
  <sheetFormatPr baseColWidth="10" defaultRowHeight="12.75" x14ac:dyDescent="0.2"/>
  <cols>
    <col min="1" max="1" width="12.140625" style="5" customWidth="1"/>
    <col min="2" max="2" width="31" style="5" customWidth="1"/>
    <col min="3" max="3" width="21.85546875" style="5" customWidth="1"/>
    <col min="4" max="4" width="26.28515625" style="5" customWidth="1"/>
    <col min="5" max="5" width="12.85546875" style="194" customWidth="1"/>
    <col min="6" max="6" width="12.5703125" style="5" customWidth="1"/>
    <col min="7" max="17" width="11.85546875" style="5" customWidth="1"/>
    <col min="18" max="16384" width="11.42578125" style="5"/>
  </cols>
  <sheetData>
    <row r="2" spans="1:17" ht="18" x14ac:dyDescent="0.25">
      <c r="A2" s="1255" t="s">
        <v>236</v>
      </c>
      <c r="B2" s="1255"/>
      <c r="C2" s="1255"/>
      <c r="D2" s="1255"/>
      <c r="E2" s="1255"/>
    </row>
    <row r="3" spans="1:17" ht="18" x14ac:dyDescent="0.25">
      <c r="A3" s="1254" t="str">
        <f>+PRESUPUESTO!B2</f>
        <v>MEDICINA PREGRADO</v>
      </c>
      <c r="B3" s="1254"/>
      <c r="C3" s="1254"/>
      <c r="D3" s="1254"/>
      <c r="E3" s="1254"/>
    </row>
    <row r="4" spans="1:17" ht="18.75" thickBot="1" x14ac:dyDescent="0.3">
      <c r="A4" s="1256">
        <v>2018</v>
      </c>
      <c r="B4" s="1256"/>
      <c r="C4" s="1256"/>
      <c r="D4" s="1256"/>
      <c r="E4" s="1256"/>
      <c r="F4" s="1290" t="s">
        <v>492</v>
      </c>
      <c r="G4" s="1290"/>
      <c r="H4" s="1290"/>
      <c r="I4" s="1290"/>
      <c r="J4" s="1290"/>
      <c r="K4" s="1290"/>
      <c r="L4" s="1290"/>
      <c r="M4" s="1290"/>
      <c r="N4" s="1290"/>
      <c r="O4" s="1290"/>
      <c r="P4" s="1290"/>
      <c r="Q4" s="1290"/>
    </row>
    <row r="5" spans="1:17" ht="12.75" customHeight="1" x14ac:dyDescent="0.2">
      <c r="A5" s="1273" t="s">
        <v>418</v>
      </c>
      <c r="B5" s="1306" t="s">
        <v>479</v>
      </c>
      <c r="C5" s="1306" t="s">
        <v>478</v>
      </c>
      <c r="D5" s="1308" t="s">
        <v>255</v>
      </c>
      <c r="E5" s="1278" t="s">
        <v>475</v>
      </c>
      <c r="F5" s="1288" t="s">
        <v>484</v>
      </c>
      <c r="G5" s="1288" t="s">
        <v>485</v>
      </c>
      <c r="H5" s="1288" t="s">
        <v>486</v>
      </c>
      <c r="I5" s="1288" t="s">
        <v>487</v>
      </c>
      <c r="J5" s="1288" t="s">
        <v>488</v>
      </c>
      <c r="K5" s="1288" t="s">
        <v>489</v>
      </c>
      <c r="L5" s="1288" t="s">
        <v>490</v>
      </c>
      <c r="M5" s="1288" t="s">
        <v>491</v>
      </c>
      <c r="N5" s="1288" t="s">
        <v>251</v>
      </c>
      <c r="O5" s="1288" t="s">
        <v>252</v>
      </c>
      <c r="P5" s="1288" t="s">
        <v>253</v>
      </c>
      <c r="Q5" s="1288" t="s">
        <v>254</v>
      </c>
    </row>
    <row r="6" spans="1:17" ht="13.5" thickBot="1" x14ac:dyDescent="0.25">
      <c r="A6" s="1305"/>
      <c r="B6" s="1307"/>
      <c r="C6" s="1307"/>
      <c r="D6" s="1307"/>
      <c r="E6" s="1279"/>
      <c r="F6" s="1289"/>
      <c r="G6" s="1289"/>
      <c r="H6" s="1289"/>
      <c r="I6" s="1289"/>
      <c r="J6" s="1289"/>
      <c r="K6" s="1289"/>
      <c r="L6" s="1289"/>
      <c r="M6" s="1289"/>
      <c r="N6" s="1289"/>
      <c r="O6" s="1289"/>
      <c r="P6" s="1289"/>
      <c r="Q6" s="1289"/>
    </row>
    <row r="7" spans="1:17" x14ac:dyDescent="0.2">
      <c r="A7" s="891"/>
      <c r="B7" s="997" t="s">
        <v>1287</v>
      </c>
      <c r="C7" s="997" t="s">
        <v>1325</v>
      </c>
      <c r="D7" s="997" t="s">
        <v>1324</v>
      </c>
      <c r="E7" s="1009">
        <v>350000000</v>
      </c>
      <c r="F7" s="254">
        <v>0</v>
      </c>
      <c r="G7" s="254">
        <v>0</v>
      </c>
      <c r="H7" s="254">
        <v>0</v>
      </c>
      <c r="I7" s="254">
        <v>0</v>
      </c>
      <c r="J7" s="254">
        <v>0</v>
      </c>
      <c r="K7" s="254">
        <v>0</v>
      </c>
      <c r="L7" s="254">
        <v>0</v>
      </c>
      <c r="M7" s="254">
        <v>0</v>
      </c>
      <c r="N7" s="254">
        <v>0</v>
      </c>
      <c r="O7" s="254">
        <v>0</v>
      </c>
      <c r="P7" s="254">
        <v>0</v>
      </c>
      <c r="Q7" s="254">
        <v>0</v>
      </c>
    </row>
    <row r="8" spans="1:17" x14ac:dyDescent="0.2">
      <c r="A8" s="892"/>
      <c r="B8" s="997"/>
      <c r="C8" s="997"/>
      <c r="D8" s="997"/>
      <c r="E8" s="1010"/>
      <c r="F8" s="253">
        <v>0</v>
      </c>
      <c r="G8" s="253">
        <v>0</v>
      </c>
      <c r="H8" s="253">
        <v>0</v>
      </c>
      <c r="I8" s="253">
        <v>0</v>
      </c>
      <c r="J8" s="253">
        <v>0</v>
      </c>
      <c r="K8" s="253">
        <v>0</v>
      </c>
      <c r="L8" s="253">
        <v>0</v>
      </c>
      <c r="M8" s="253">
        <v>0</v>
      </c>
      <c r="N8" s="253">
        <v>0</v>
      </c>
      <c r="O8" s="253">
        <v>0</v>
      </c>
      <c r="P8" s="253">
        <v>0</v>
      </c>
      <c r="Q8" s="253">
        <v>0</v>
      </c>
    </row>
    <row r="9" spans="1:17" x14ac:dyDescent="0.2">
      <c r="A9" s="892"/>
      <c r="B9" s="997" t="s">
        <v>1321</v>
      </c>
      <c r="C9" s="997" t="s">
        <v>1323</v>
      </c>
      <c r="D9" s="997" t="s">
        <v>1322</v>
      </c>
      <c r="E9" s="1010">
        <v>350000000</v>
      </c>
      <c r="F9" s="253">
        <v>0</v>
      </c>
      <c r="G9" s="253">
        <v>0</v>
      </c>
      <c r="H9" s="253">
        <v>0</v>
      </c>
      <c r="I9" s="253">
        <v>0</v>
      </c>
      <c r="J9" s="253">
        <v>0</v>
      </c>
      <c r="K9" s="253">
        <v>0</v>
      </c>
      <c r="L9" s="253">
        <v>0</v>
      </c>
      <c r="M9" s="253">
        <v>0</v>
      </c>
      <c r="N9" s="253">
        <v>0</v>
      </c>
      <c r="O9" s="253">
        <v>0</v>
      </c>
      <c r="P9" s="253">
        <v>0</v>
      </c>
      <c r="Q9" s="253">
        <v>0</v>
      </c>
    </row>
    <row r="10" spans="1:17" x14ac:dyDescent="0.2">
      <c r="A10" s="892"/>
      <c r="B10" s="556"/>
      <c r="C10" s="556"/>
      <c r="D10" s="556"/>
      <c r="E10" s="566">
        <f t="shared" ref="E10:E36" si="0">SUM(F10:Q10)</f>
        <v>0</v>
      </c>
      <c r="F10" s="253">
        <v>0</v>
      </c>
      <c r="G10" s="253">
        <v>0</v>
      </c>
      <c r="H10" s="253">
        <v>0</v>
      </c>
      <c r="I10" s="253">
        <v>0</v>
      </c>
      <c r="J10" s="253">
        <v>0</v>
      </c>
      <c r="K10" s="253">
        <v>0</v>
      </c>
      <c r="L10" s="253">
        <v>0</v>
      </c>
      <c r="M10" s="253">
        <v>0</v>
      </c>
      <c r="N10" s="253">
        <v>0</v>
      </c>
      <c r="O10" s="253">
        <v>0</v>
      </c>
      <c r="P10" s="253">
        <v>0</v>
      </c>
      <c r="Q10" s="253">
        <v>0</v>
      </c>
    </row>
    <row r="11" spans="1:17" x14ac:dyDescent="0.2">
      <c r="A11" s="892"/>
      <c r="B11" s="556"/>
      <c r="C11" s="556"/>
      <c r="D11" s="556"/>
      <c r="E11" s="566">
        <f t="shared" si="0"/>
        <v>0</v>
      </c>
      <c r="F11" s="253">
        <v>0</v>
      </c>
      <c r="G11" s="253">
        <v>0</v>
      </c>
      <c r="H11" s="253">
        <v>0</v>
      </c>
      <c r="I11" s="253">
        <v>0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</row>
    <row r="12" spans="1:17" x14ac:dyDescent="0.2">
      <c r="A12" s="892"/>
      <c r="B12" s="556"/>
      <c r="C12" s="556"/>
      <c r="D12" s="556"/>
      <c r="E12" s="566">
        <f t="shared" si="0"/>
        <v>0</v>
      </c>
      <c r="F12" s="253">
        <v>0</v>
      </c>
      <c r="G12" s="253">
        <v>0</v>
      </c>
      <c r="H12" s="253">
        <v>0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</row>
    <row r="13" spans="1:17" x14ac:dyDescent="0.2">
      <c r="A13" s="892"/>
      <c r="B13" s="556"/>
      <c r="C13" s="556"/>
      <c r="D13" s="556"/>
      <c r="E13" s="566">
        <f t="shared" si="0"/>
        <v>0</v>
      </c>
      <c r="F13" s="253">
        <v>0</v>
      </c>
      <c r="G13" s="253">
        <v>0</v>
      </c>
      <c r="H13" s="253">
        <v>0</v>
      </c>
      <c r="I13" s="253">
        <v>0</v>
      </c>
      <c r="J13" s="253">
        <v>0</v>
      </c>
      <c r="K13" s="253">
        <v>0</v>
      </c>
      <c r="L13" s="253">
        <v>0</v>
      </c>
      <c r="M13" s="253">
        <v>0</v>
      </c>
      <c r="N13" s="253">
        <v>0</v>
      </c>
      <c r="O13" s="253">
        <v>0</v>
      </c>
      <c r="P13" s="253">
        <v>0</v>
      </c>
      <c r="Q13" s="253">
        <v>0</v>
      </c>
    </row>
    <row r="14" spans="1:17" x14ac:dyDescent="0.2">
      <c r="A14" s="892"/>
      <c r="B14" s="556"/>
      <c r="C14" s="556"/>
      <c r="D14" s="556"/>
      <c r="E14" s="566">
        <f t="shared" si="0"/>
        <v>0</v>
      </c>
      <c r="F14" s="253">
        <v>0</v>
      </c>
      <c r="G14" s="253">
        <v>0</v>
      </c>
      <c r="H14" s="253">
        <v>0</v>
      </c>
      <c r="I14" s="253">
        <v>0</v>
      </c>
      <c r="J14" s="253">
        <v>0</v>
      </c>
      <c r="K14" s="253">
        <v>0</v>
      </c>
      <c r="L14" s="253">
        <v>0</v>
      </c>
      <c r="M14" s="253">
        <v>0</v>
      </c>
      <c r="N14" s="253">
        <v>0</v>
      </c>
      <c r="O14" s="253">
        <v>0</v>
      </c>
      <c r="P14" s="253">
        <v>0</v>
      </c>
      <c r="Q14" s="253">
        <v>0</v>
      </c>
    </row>
    <row r="15" spans="1:17" x14ac:dyDescent="0.2">
      <c r="A15" s="892"/>
      <c r="B15" s="556"/>
      <c r="C15" s="556"/>
      <c r="D15" s="556"/>
      <c r="E15" s="566">
        <f t="shared" si="0"/>
        <v>0</v>
      </c>
      <c r="F15" s="253">
        <v>0</v>
      </c>
      <c r="G15" s="253">
        <v>0</v>
      </c>
      <c r="H15" s="253">
        <v>0</v>
      </c>
      <c r="I15" s="253">
        <v>0</v>
      </c>
      <c r="J15" s="253">
        <v>0</v>
      </c>
      <c r="K15" s="253">
        <v>0</v>
      </c>
      <c r="L15" s="253">
        <v>0</v>
      </c>
      <c r="M15" s="253">
        <v>0</v>
      </c>
      <c r="N15" s="253">
        <v>0</v>
      </c>
      <c r="O15" s="253">
        <v>0</v>
      </c>
      <c r="P15" s="253">
        <v>0</v>
      </c>
      <c r="Q15" s="253">
        <v>0</v>
      </c>
    </row>
    <row r="16" spans="1:17" x14ac:dyDescent="0.2">
      <c r="A16" s="892"/>
      <c r="B16" s="556"/>
      <c r="C16" s="556"/>
      <c r="D16" s="556"/>
      <c r="E16" s="566">
        <f t="shared" si="0"/>
        <v>0</v>
      </c>
      <c r="F16" s="253">
        <v>0</v>
      </c>
      <c r="G16" s="253">
        <v>0</v>
      </c>
      <c r="H16" s="253">
        <v>0</v>
      </c>
      <c r="I16" s="253">
        <v>0</v>
      </c>
      <c r="J16" s="253">
        <v>0</v>
      </c>
      <c r="K16" s="253">
        <v>0</v>
      </c>
      <c r="L16" s="253">
        <v>0</v>
      </c>
      <c r="M16" s="253">
        <v>0</v>
      </c>
      <c r="N16" s="253">
        <v>0</v>
      </c>
      <c r="O16" s="253">
        <v>0</v>
      </c>
      <c r="P16" s="253">
        <v>0</v>
      </c>
      <c r="Q16" s="253">
        <v>0</v>
      </c>
    </row>
    <row r="17" spans="1:17" x14ac:dyDescent="0.2">
      <c r="A17" s="892"/>
      <c r="B17" s="556"/>
      <c r="C17" s="556"/>
      <c r="D17" s="556"/>
      <c r="E17" s="566">
        <f t="shared" si="0"/>
        <v>0</v>
      </c>
      <c r="F17" s="253">
        <v>0</v>
      </c>
      <c r="G17" s="253">
        <v>0</v>
      </c>
      <c r="H17" s="253">
        <v>0</v>
      </c>
      <c r="I17" s="253">
        <v>0</v>
      </c>
      <c r="J17" s="253">
        <v>0</v>
      </c>
      <c r="K17" s="253">
        <v>0</v>
      </c>
      <c r="L17" s="253">
        <v>0</v>
      </c>
      <c r="M17" s="253">
        <v>0</v>
      </c>
      <c r="N17" s="253">
        <v>0</v>
      </c>
      <c r="O17" s="253">
        <v>0</v>
      </c>
      <c r="P17" s="253">
        <v>0</v>
      </c>
      <c r="Q17" s="253">
        <v>0</v>
      </c>
    </row>
    <row r="18" spans="1:17" x14ac:dyDescent="0.2">
      <c r="A18" s="892"/>
      <c r="B18" s="556"/>
      <c r="C18" s="556"/>
      <c r="D18" s="556"/>
      <c r="E18" s="566">
        <f t="shared" si="0"/>
        <v>0</v>
      </c>
      <c r="F18" s="253">
        <v>0</v>
      </c>
      <c r="G18" s="253">
        <v>0</v>
      </c>
      <c r="H18" s="253">
        <v>0</v>
      </c>
      <c r="I18" s="253">
        <v>0</v>
      </c>
      <c r="J18" s="253">
        <v>0</v>
      </c>
      <c r="K18" s="253">
        <v>0</v>
      </c>
      <c r="L18" s="253">
        <v>0</v>
      </c>
      <c r="M18" s="253">
        <v>0</v>
      </c>
      <c r="N18" s="253">
        <v>0</v>
      </c>
      <c r="O18" s="253">
        <v>0</v>
      </c>
      <c r="P18" s="253">
        <v>0</v>
      </c>
      <c r="Q18" s="253">
        <v>0</v>
      </c>
    </row>
    <row r="19" spans="1:17" x14ac:dyDescent="0.2">
      <c r="A19" s="892"/>
      <c r="B19" s="556"/>
      <c r="C19" s="556"/>
      <c r="D19" s="556"/>
      <c r="E19" s="566">
        <f t="shared" si="0"/>
        <v>0</v>
      </c>
      <c r="F19" s="253">
        <v>0</v>
      </c>
      <c r="G19" s="253">
        <v>0</v>
      </c>
      <c r="H19" s="253">
        <v>0</v>
      </c>
      <c r="I19" s="253">
        <v>0</v>
      </c>
      <c r="J19" s="253">
        <v>0</v>
      </c>
      <c r="K19" s="253">
        <v>0</v>
      </c>
      <c r="L19" s="253">
        <v>0</v>
      </c>
      <c r="M19" s="253">
        <v>0</v>
      </c>
      <c r="N19" s="253">
        <v>0</v>
      </c>
      <c r="O19" s="253">
        <v>0</v>
      </c>
      <c r="P19" s="253">
        <v>0</v>
      </c>
      <c r="Q19" s="253">
        <v>0</v>
      </c>
    </row>
    <row r="20" spans="1:17" x14ac:dyDescent="0.2">
      <c r="A20" s="892"/>
      <c r="B20" s="556"/>
      <c r="C20" s="556"/>
      <c r="D20" s="556"/>
      <c r="E20" s="566">
        <f t="shared" si="0"/>
        <v>0</v>
      </c>
      <c r="F20" s="253">
        <v>0</v>
      </c>
      <c r="G20" s="253">
        <v>0</v>
      </c>
      <c r="H20" s="253">
        <v>0</v>
      </c>
      <c r="I20" s="253">
        <v>0</v>
      </c>
      <c r="J20" s="253">
        <v>0</v>
      </c>
      <c r="K20" s="253">
        <v>0</v>
      </c>
      <c r="L20" s="253">
        <v>0</v>
      </c>
      <c r="M20" s="253">
        <v>0</v>
      </c>
      <c r="N20" s="253">
        <v>0</v>
      </c>
      <c r="O20" s="253">
        <v>0</v>
      </c>
      <c r="P20" s="253">
        <v>0</v>
      </c>
      <c r="Q20" s="253">
        <v>0</v>
      </c>
    </row>
    <row r="21" spans="1:17" x14ac:dyDescent="0.2">
      <c r="A21" s="892"/>
      <c r="B21" s="556"/>
      <c r="C21" s="556"/>
      <c r="D21" s="556"/>
      <c r="E21" s="566">
        <f t="shared" si="0"/>
        <v>0</v>
      </c>
      <c r="F21" s="253">
        <v>0</v>
      </c>
      <c r="G21" s="253">
        <v>0</v>
      </c>
      <c r="H21" s="253">
        <v>0</v>
      </c>
      <c r="I21" s="253">
        <v>0</v>
      </c>
      <c r="J21" s="253">
        <v>0</v>
      </c>
      <c r="K21" s="253">
        <v>0</v>
      </c>
      <c r="L21" s="253">
        <v>0</v>
      </c>
      <c r="M21" s="253">
        <v>0</v>
      </c>
      <c r="N21" s="253">
        <v>0</v>
      </c>
      <c r="O21" s="253">
        <v>0</v>
      </c>
      <c r="P21" s="253">
        <v>0</v>
      </c>
      <c r="Q21" s="253">
        <v>0</v>
      </c>
    </row>
    <row r="22" spans="1:17" x14ac:dyDescent="0.2">
      <c r="A22" s="892"/>
      <c r="B22" s="556"/>
      <c r="C22" s="556"/>
      <c r="D22" s="556"/>
      <c r="E22" s="566">
        <f t="shared" si="0"/>
        <v>0</v>
      </c>
      <c r="F22" s="253">
        <v>0</v>
      </c>
      <c r="G22" s="253">
        <v>0</v>
      </c>
      <c r="H22" s="253">
        <v>0</v>
      </c>
      <c r="I22" s="253">
        <v>0</v>
      </c>
      <c r="J22" s="253">
        <v>0</v>
      </c>
      <c r="K22" s="253">
        <v>0</v>
      </c>
      <c r="L22" s="253">
        <v>0</v>
      </c>
      <c r="M22" s="253">
        <v>0</v>
      </c>
      <c r="N22" s="253">
        <v>0</v>
      </c>
      <c r="O22" s="253">
        <v>0</v>
      </c>
      <c r="P22" s="253">
        <v>0</v>
      </c>
      <c r="Q22" s="253">
        <v>0</v>
      </c>
    </row>
    <row r="23" spans="1:17" x14ac:dyDescent="0.2">
      <c r="A23" s="892"/>
      <c r="B23" s="556"/>
      <c r="C23" s="556"/>
      <c r="D23" s="556"/>
      <c r="E23" s="566">
        <f t="shared" si="0"/>
        <v>0</v>
      </c>
      <c r="F23" s="253">
        <v>0</v>
      </c>
      <c r="G23" s="253">
        <v>0</v>
      </c>
      <c r="H23" s="253">
        <v>0</v>
      </c>
      <c r="I23" s="253">
        <v>0</v>
      </c>
      <c r="J23" s="253">
        <v>0</v>
      </c>
      <c r="K23" s="253">
        <v>0</v>
      </c>
      <c r="L23" s="253">
        <v>0</v>
      </c>
      <c r="M23" s="253">
        <v>0</v>
      </c>
      <c r="N23" s="253">
        <v>0</v>
      </c>
      <c r="O23" s="253">
        <v>0</v>
      </c>
      <c r="P23" s="253">
        <v>0</v>
      </c>
      <c r="Q23" s="253">
        <v>0</v>
      </c>
    </row>
    <row r="24" spans="1:17" x14ac:dyDescent="0.2">
      <c r="A24" s="892"/>
      <c r="B24" s="556"/>
      <c r="C24" s="556"/>
      <c r="D24" s="556"/>
      <c r="E24" s="566">
        <f t="shared" si="0"/>
        <v>0</v>
      </c>
      <c r="F24" s="253">
        <v>0</v>
      </c>
      <c r="G24" s="253">
        <v>0</v>
      </c>
      <c r="H24" s="253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</row>
    <row r="25" spans="1:17" x14ac:dyDescent="0.2">
      <c r="A25" s="892"/>
      <c r="B25" s="556"/>
      <c r="C25" s="556"/>
      <c r="D25" s="556"/>
      <c r="E25" s="566">
        <f t="shared" si="0"/>
        <v>0</v>
      </c>
      <c r="F25" s="253">
        <v>0</v>
      </c>
      <c r="G25" s="253">
        <v>0</v>
      </c>
      <c r="H25" s="253">
        <v>0</v>
      </c>
      <c r="I25" s="253">
        <v>0</v>
      </c>
      <c r="J25" s="253">
        <v>0</v>
      </c>
      <c r="K25" s="253">
        <v>0</v>
      </c>
      <c r="L25" s="253">
        <v>0</v>
      </c>
      <c r="M25" s="253">
        <v>0</v>
      </c>
      <c r="N25" s="253">
        <v>0</v>
      </c>
      <c r="O25" s="253">
        <v>0</v>
      </c>
      <c r="P25" s="253">
        <v>0</v>
      </c>
      <c r="Q25" s="253">
        <v>0</v>
      </c>
    </row>
    <row r="26" spans="1:17" x14ac:dyDescent="0.2">
      <c r="A26" s="892"/>
      <c r="B26" s="556"/>
      <c r="C26" s="556"/>
      <c r="D26" s="556"/>
      <c r="E26" s="566">
        <f t="shared" si="0"/>
        <v>0</v>
      </c>
      <c r="F26" s="253">
        <v>0</v>
      </c>
      <c r="G26" s="253">
        <v>0</v>
      </c>
      <c r="H26" s="253">
        <v>0</v>
      </c>
      <c r="I26" s="253">
        <v>0</v>
      </c>
      <c r="J26" s="253">
        <v>0</v>
      </c>
      <c r="K26" s="253">
        <v>0</v>
      </c>
      <c r="L26" s="253">
        <v>0</v>
      </c>
      <c r="M26" s="253">
        <v>0</v>
      </c>
      <c r="N26" s="253">
        <v>0</v>
      </c>
      <c r="O26" s="253">
        <v>0</v>
      </c>
      <c r="P26" s="253">
        <v>0</v>
      </c>
      <c r="Q26" s="253">
        <v>0</v>
      </c>
    </row>
    <row r="27" spans="1:17" x14ac:dyDescent="0.2">
      <c r="A27" s="892"/>
      <c r="B27" s="556"/>
      <c r="C27" s="556"/>
      <c r="D27" s="556"/>
      <c r="E27" s="566">
        <f t="shared" si="0"/>
        <v>0</v>
      </c>
      <c r="F27" s="253">
        <v>0</v>
      </c>
      <c r="G27" s="253">
        <v>0</v>
      </c>
      <c r="H27" s="253">
        <v>0</v>
      </c>
      <c r="I27" s="253">
        <v>0</v>
      </c>
      <c r="J27" s="253">
        <v>0</v>
      </c>
      <c r="K27" s="253">
        <v>0</v>
      </c>
      <c r="L27" s="253">
        <v>0</v>
      </c>
      <c r="M27" s="253">
        <v>0</v>
      </c>
      <c r="N27" s="253">
        <v>0</v>
      </c>
      <c r="O27" s="253">
        <v>0</v>
      </c>
      <c r="P27" s="253">
        <v>0</v>
      </c>
      <c r="Q27" s="253">
        <v>0</v>
      </c>
    </row>
    <row r="28" spans="1:17" x14ac:dyDescent="0.2">
      <c r="A28" s="892"/>
      <c r="B28" s="556"/>
      <c r="C28" s="556"/>
      <c r="D28" s="556"/>
      <c r="E28" s="566">
        <f t="shared" si="0"/>
        <v>0</v>
      </c>
      <c r="F28" s="253">
        <v>0</v>
      </c>
      <c r="G28" s="253">
        <v>0</v>
      </c>
      <c r="H28" s="253">
        <v>0</v>
      </c>
      <c r="I28" s="253">
        <v>0</v>
      </c>
      <c r="J28" s="253">
        <v>0</v>
      </c>
      <c r="K28" s="253">
        <v>0</v>
      </c>
      <c r="L28" s="253">
        <v>0</v>
      </c>
      <c r="M28" s="253">
        <v>0</v>
      </c>
      <c r="N28" s="253">
        <v>0</v>
      </c>
      <c r="O28" s="253">
        <v>0</v>
      </c>
      <c r="P28" s="253">
        <v>0</v>
      </c>
      <c r="Q28" s="253">
        <v>0</v>
      </c>
    </row>
    <row r="29" spans="1:17" x14ac:dyDescent="0.2">
      <c r="A29" s="892"/>
      <c r="B29" s="556"/>
      <c r="C29" s="556"/>
      <c r="D29" s="556"/>
      <c r="E29" s="566">
        <f t="shared" si="0"/>
        <v>0</v>
      </c>
      <c r="F29" s="253">
        <v>0</v>
      </c>
      <c r="G29" s="253">
        <v>0</v>
      </c>
      <c r="H29" s="253">
        <v>0</v>
      </c>
      <c r="I29" s="253">
        <v>0</v>
      </c>
      <c r="J29" s="253">
        <v>0</v>
      </c>
      <c r="K29" s="253">
        <v>0</v>
      </c>
      <c r="L29" s="253">
        <v>0</v>
      </c>
      <c r="M29" s="253">
        <v>0</v>
      </c>
      <c r="N29" s="253">
        <v>0</v>
      </c>
      <c r="O29" s="253">
        <v>0</v>
      </c>
      <c r="P29" s="253">
        <v>0</v>
      </c>
      <c r="Q29" s="253">
        <v>0</v>
      </c>
    </row>
    <row r="30" spans="1:17" x14ac:dyDescent="0.2">
      <c r="A30" s="892"/>
      <c r="B30" s="556"/>
      <c r="C30" s="556"/>
      <c r="D30" s="556"/>
      <c r="E30" s="566">
        <f t="shared" si="0"/>
        <v>0</v>
      </c>
      <c r="F30" s="253">
        <v>0</v>
      </c>
      <c r="G30" s="253">
        <v>0</v>
      </c>
      <c r="H30" s="253">
        <v>0</v>
      </c>
      <c r="I30" s="253">
        <v>0</v>
      </c>
      <c r="J30" s="253">
        <v>0</v>
      </c>
      <c r="K30" s="253">
        <v>0</v>
      </c>
      <c r="L30" s="253">
        <v>0</v>
      </c>
      <c r="M30" s="253">
        <v>0</v>
      </c>
      <c r="N30" s="253">
        <v>0</v>
      </c>
      <c r="O30" s="253">
        <v>0</v>
      </c>
      <c r="P30" s="253">
        <v>0</v>
      </c>
      <c r="Q30" s="253">
        <v>0</v>
      </c>
    </row>
    <row r="31" spans="1:17" x14ac:dyDescent="0.2">
      <c r="A31" s="892"/>
      <c r="B31" s="556"/>
      <c r="C31" s="556"/>
      <c r="D31" s="556"/>
      <c r="E31" s="566">
        <f t="shared" si="0"/>
        <v>0</v>
      </c>
      <c r="F31" s="253">
        <v>0</v>
      </c>
      <c r="G31" s="253">
        <v>0</v>
      </c>
      <c r="H31" s="253">
        <v>0</v>
      </c>
      <c r="I31" s="253">
        <v>0</v>
      </c>
      <c r="J31" s="253">
        <v>0</v>
      </c>
      <c r="K31" s="253">
        <v>0</v>
      </c>
      <c r="L31" s="253">
        <v>0</v>
      </c>
      <c r="M31" s="253">
        <v>0</v>
      </c>
      <c r="N31" s="253">
        <v>0</v>
      </c>
      <c r="O31" s="253">
        <v>0</v>
      </c>
      <c r="P31" s="253">
        <v>0</v>
      </c>
      <c r="Q31" s="253">
        <v>0</v>
      </c>
    </row>
    <row r="32" spans="1:17" x14ac:dyDescent="0.2">
      <c r="A32" s="892"/>
      <c r="B32" s="556"/>
      <c r="C32" s="556"/>
      <c r="D32" s="556"/>
      <c r="E32" s="566">
        <f t="shared" si="0"/>
        <v>0</v>
      </c>
      <c r="F32" s="253">
        <v>0</v>
      </c>
      <c r="G32" s="253">
        <v>0</v>
      </c>
      <c r="H32" s="253">
        <v>0</v>
      </c>
      <c r="I32" s="253">
        <v>0</v>
      </c>
      <c r="J32" s="253">
        <v>0</v>
      </c>
      <c r="K32" s="253">
        <v>0</v>
      </c>
      <c r="L32" s="253">
        <v>0</v>
      </c>
      <c r="M32" s="253">
        <v>0</v>
      </c>
      <c r="N32" s="253">
        <v>0</v>
      </c>
      <c r="O32" s="253">
        <v>0</v>
      </c>
      <c r="P32" s="253">
        <v>0</v>
      </c>
      <c r="Q32" s="253">
        <v>0</v>
      </c>
    </row>
    <row r="33" spans="1:17" x14ac:dyDescent="0.2">
      <c r="A33" s="892"/>
      <c r="B33" s="556"/>
      <c r="C33" s="556"/>
      <c r="D33" s="556"/>
      <c r="E33" s="566">
        <f t="shared" si="0"/>
        <v>0</v>
      </c>
      <c r="F33" s="253">
        <v>0</v>
      </c>
      <c r="G33" s="253">
        <v>0</v>
      </c>
      <c r="H33" s="253">
        <v>0</v>
      </c>
      <c r="I33" s="253">
        <v>0</v>
      </c>
      <c r="J33" s="253">
        <v>0</v>
      </c>
      <c r="K33" s="253">
        <v>0</v>
      </c>
      <c r="L33" s="253">
        <v>0</v>
      </c>
      <c r="M33" s="253">
        <v>0</v>
      </c>
      <c r="N33" s="253">
        <v>0</v>
      </c>
      <c r="O33" s="253">
        <v>0</v>
      </c>
      <c r="P33" s="253">
        <v>0</v>
      </c>
      <c r="Q33" s="253">
        <v>0</v>
      </c>
    </row>
    <row r="34" spans="1:17" x14ac:dyDescent="0.2">
      <c r="A34" s="892"/>
      <c r="B34" s="556"/>
      <c r="C34" s="556"/>
      <c r="D34" s="556"/>
      <c r="E34" s="566">
        <f t="shared" si="0"/>
        <v>0</v>
      </c>
      <c r="F34" s="253">
        <v>0</v>
      </c>
      <c r="G34" s="253">
        <v>0</v>
      </c>
      <c r="H34" s="253">
        <v>0</v>
      </c>
      <c r="I34" s="253">
        <v>0</v>
      </c>
      <c r="J34" s="253">
        <v>0</v>
      </c>
      <c r="K34" s="253">
        <v>0</v>
      </c>
      <c r="L34" s="253">
        <v>0</v>
      </c>
      <c r="M34" s="253">
        <v>0</v>
      </c>
      <c r="N34" s="253">
        <v>0</v>
      </c>
      <c r="O34" s="253">
        <v>0</v>
      </c>
      <c r="P34" s="253">
        <v>0</v>
      </c>
      <c r="Q34" s="253">
        <v>0</v>
      </c>
    </row>
    <row r="35" spans="1:17" x14ac:dyDescent="0.2">
      <c r="A35" s="892"/>
      <c r="B35" s="556"/>
      <c r="C35" s="556"/>
      <c r="D35" s="556"/>
      <c r="E35" s="566">
        <f t="shared" si="0"/>
        <v>0</v>
      </c>
      <c r="F35" s="253">
        <v>0</v>
      </c>
      <c r="G35" s="253">
        <v>0</v>
      </c>
      <c r="H35" s="253">
        <v>0</v>
      </c>
      <c r="I35" s="253">
        <v>0</v>
      </c>
      <c r="J35" s="253">
        <v>0</v>
      </c>
      <c r="K35" s="253">
        <v>0</v>
      </c>
      <c r="L35" s="253">
        <v>0</v>
      </c>
      <c r="M35" s="253">
        <v>0</v>
      </c>
      <c r="N35" s="253">
        <v>0</v>
      </c>
      <c r="O35" s="253">
        <v>0</v>
      </c>
      <c r="P35" s="253">
        <v>0</v>
      </c>
      <c r="Q35" s="253">
        <v>0</v>
      </c>
    </row>
    <row r="36" spans="1:17" ht="13.5" thickBot="1" x14ac:dyDescent="0.25">
      <c r="A36" s="893"/>
      <c r="B36" s="556"/>
      <c r="C36" s="556"/>
      <c r="D36" s="556"/>
      <c r="E36" s="566">
        <f t="shared" si="0"/>
        <v>0</v>
      </c>
      <c r="F36" s="253">
        <v>0</v>
      </c>
      <c r="G36" s="253">
        <v>0</v>
      </c>
      <c r="H36" s="253">
        <v>0</v>
      </c>
      <c r="I36" s="253">
        <v>0</v>
      </c>
      <c r="J36" s="253">
        <v>0</v>
      </c>
      <c r="K36" s="253">
        <v>0</v>
      </c>
      <c r="L36" s="253">
        <v>0</v>
      </c>
      <c r="M36" s="253">
        <v>0</v>
      </c>
      <c r="N36" s="253">
        <v>0</v>
      </c>
      <c r="O36" s="253">
        <v>0</v>
      </c>
      <c r="P36" s="253">
        <v>0</v>
      </c>
      <c r="Q36" s="253">
        <v>0</v>
      </c>
    </row>
    <row r="37" spans="1:17" ht="13.5" thickBot="1" x14ac:dyDescent="0.25">
      <c r="A37" s="896">
        <v>1532050000</v>
      </c>
      <c r="B37" s="173"/>
      <c r="C37" s="255"/>
      <c r="D37" s="174"/>
      <c r="E37" s="195">
        <f t="shared" ref="E37:Q37" si="1">SUM(E7:E36)</f>
        <v>700000000</v>
      </c>
      <c r="F37" s="278">
        <f t="shared" si="1"/>
        <v>0</v>
      </c>
      <c r="G37" s="278">
        <f t="shared" si="1"/>
        <v>0</v>
      </c>
      <c r="H37" s="278">
        <f t="shared" si="1"/>
        <v>0</v>
      </c>
      <c r="I37" s="278">
        <f t="shared" si="1"/>
        <v>0</v>
      </c>
      <c r="J37" s="278">
        <f t="shared" si="1"/>
        <v>0</v>
      </c>
      <c r="K37" s="278">
        <f t="shared" si="1"/>
        <v>0</v>
      </c>
      <c r="L37" s="278">
        <f t="shared" si="1"/>
        <v>0</v>
      </c>
      <c r="M37" s="278">
        <f t="shared" si="1"/>
        <v>0</v>
      </c>
      <c r="N37" s="278">
        <f t="shared" si="1"/>
        <v>0</v>
      </c>
      <c r="O37" s="278">
        <f t="shared" si="1"/>
        <v>0</v>
      </c>
      <c r="P37" s="278">
        <f t="shared" si="1"/>
        <v>0</v>
      </c>
      <c r="Q37" s="278">
        <f t="shared" si="1"/>
        <v>0</v>
      </c>
    </row>
    <row r="39" spans="1:17" x14ac:dyDescent="0.2">
      <c r="A39" s="251" t="s">
        <v>476</v>
      </c>
      <c r="B39" s="252"/>
      <c r="C39" s="252"/>
      <c r="D39" s="252"/>
    </row>
    <row r="65534" spans="6:6" x14ac:dyDescent="0.2">
      <c r="F65534" s="6">
        <v>0</v>
      </c>
    </row>
  </sheetData>
  <mergeCells count="21">
    <mergeCell ref="A2:E2"/>
    <mergeCell ref="A4:E4"/>
    <mergeCell ref="D5:D6"/>
    <mergeCell ref="A5:A6"/>
    <mergeCell ref="C5:C6"/>
    <mergeCell ref="A3:E3"/>
    <mergeCell ref="B5:B6"/>
    <mergeCell ref="E5:E6"/>
    <mergeCell ref="Q5:Q6"/>
    <mergeCell ref="F4:Q4"/>
    <mergeCell ref="F5:F6"/>
    <mergeCell ref="G5:G6"/>
    <mergeCell ref="H5:H6"/>
    <mergeCell ref="L5:L6"/>
    <mergeCell ref="O5:O6"/>
    <mergeCell ref="P5:P6"/>
    <mergeCell ref="K5:K6"/>
    <mergeCell ref="I5:I6"/>
    <mergeCell ref="N5:N6"/>
    <mergeCell ref="J5:J6"/>
    <mergeCell ref="M5:M6"/>
  </mergeCells>
  <phoneticPr fontId="27" type="noConversion"/>
  <pageMargins left="0.16" right="0.16" top="1" bottom="1" header="0" footer="0"/>
  <pageSetup scale="70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BASE!$F$3:$F$4</xm:f>
          </x14:formula1>
          <xm:sqref>A7:A36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Q65531"/>
  <sheetViews>
    <sheetView workbookViewId="0">
      <selection activeCell="E8" sqref="E8"/>
    </sheetView>
  </sheetViews>
  <sheetFormatPr baseColWidth="10" defaultRowHeight="12.75" x14ac:dyDescent="0.2"/>
  <cols>
    <col min="1" max="1" width="12.140625" style="5" customWidth="1"/>
    <col min="2" max="2" width="32.42578125" style="5" customWidth="1"/>
    <col min="3" max="3" width="19.7109375" style="5" customWidth="1"/>
    <col min="4" max="4" width="26.28515625" style="5" customWidth="1"/>
    <col min="5" max="5" width="13.140625" style="194" customWidth="1"/>
    <col min="6" max="17" width="10.7109375" style="5" customWidth="1"/>
    <col min="18" max="16384" width="11.42578125" style="5"/>
  </cols>
  <sheetData>
    <row r="2" spans="1:17" ht="18" x14ac:dyDescent="0.25">
      <c r="A2" s="1255" t="s">
        <v>480</v>
      </c>
      <c r="B2" s="1255"/>
      <c r="C2" s="1255"/>
      <c r="D2" s="1255"/>
      <c r="E2" s="1255"/>
    </row>
    <row r="3" spans="1:17" ht="18" x14ac:dyDescent="0.25">
      <c r="A3" s="1254" t="str">
        <f>+PRESUPUESTO!B2</f>
        <v>MEDICINA PREGRADO</v>
      </c>
      <c r="B3" s="1254"/>
      <c r="C3" s="1254"/>
      <c r="D3" s="1254"/>
      <c r="E3" s="1254"/>
    </row>
    <row r="4" spans="1:17" ht="18.75" thickBot="1" x14ac:dyDescent="0.3">
      <c r="A4" s="1256">
        <v>2018</v>
      </c>
      <c r="B4" s="1256"/>
      <c r="C4" s="1256"/>
      <c r="D4" s="1256"/>
      <c r="E4" s="1256"/>
      <c r="F4" s="1290" t="s">
        <v>492</v>
      </c>
      <c r="G4" s="1290"/>
      <c r="H4" s="1290"/>
      <c r="I4" s="1290"/>
      <c r="J4" s="1290"/>
      <c r="K4" s="1290"/>
      <c r="L4" s="1290"/>
      <c r="M4" s="1290"/>
      <c r="N4" s="1290"/>
      <c r="O4" s="1290"/>
      <c r="P4" s="1290"/>
      <c r="Q4" s="1290"/>
    </row>
    <row r="5" spans="1:17" ht="12.75" customHeight="1" x14ac:dyDescent="0.2">
      <c r="A5" s="1273" t="s">
        <v>418</v>
      </c>
      <c r="B5" s="1306" t="s">
        <v>479</v>
      </c>
      <c r="C5" s="1306" t="s">
        <v>478</v>
      </c>
      <c r="D5" s="1308" t="s">
        <v>255</v>
      </c>
      <c r="E5" s="1278" t="s">
        <v>475</v>
      </c>
      <c r="F5" s="1288" t="s">
        <v>484</v>
      </c>
      <c r="G5" s="1288" t="s">
        <v>485</v>
      </c>
      <c r="H5" s="1288" t="s">
        <v>486</v>
      </c>
      <c r="I5" s="1288" t="s">
        <v>487</v>
      </c>
      <c r="J5" s="1288" t="s">
        <v>488</v>
      </c>
      <c r="K5" s="1288" t="s">
        <v>489</v>
      </c>
      <c r="L5" s="1288" t="s">
        <v>490</v>
      </c>
      <c r="M5" s="1288" t="s">
        <v>491</v>
      </c>
      <c r="N5" s="1288" t="s">
        <v>251</v>
      </c>
      <c r="O5" s="1288" t="s">
        <v>252</v>
      </c>
      <c r="P5" s="1288" t="s">
        <v>253</v>
      </c>
      <c r="Q5" s="1288" t="s">
        <v>254</v>
      </c>
    </row>
    <row r="6" spans="1:17" ht="13.5" thickBot="1" x14ac:dyDescent="0.25">
      <c r="A6" s="1305"/>
      <c r="B6" s="1307"/>
      <c r="C6" s="1307"/>
      <c r="D6" s="1307"/>
      <c r="E6" s="1279"/>
      <c r="F6" s="1289"/>
      <c r="G6" s="1289"/>
      <c r="H6" s="1289"/>
      <c r="I6" s="1289"/>
      <c r="J6" s="1289"/>
      <c r="K6" s="1289"/>
      <c r="L6" s="1289"/>
      <c r="M6" s="1289"/>
      <c r="N6" s="1289"/>
      <c r="O6" s="1289"/>
      <c r="P6" s="1289"/>
      <c r="Q6" s="1289"/>
    </row>
    <row r="7" spans="1:17" s="299" customFormat="1" ht="12.75" customHeight="1" x14ac:dyDescent="0.2">
      <c r="A7" s="897"/>
      <c r="B7" s="1008" t="s">
        <v>1288</v>
      </c>
      <c r="C7" s="1008"/>
      <c r="D7" s="999"/>
      <c r="E7" s="1009">
        <v>10000000</v>
      </c>
      <c r="F7" s="298">
        <v>0</v>
      </c>
      <c r="G7" s="298">
        <v>0</v>
      </c>
      <c r="H7" s="298">
        <v>0</v>
      </c>
      <c r="I7" s="298">
        <v>0</v>
      </c>
      <c r="J7" s="298">
        <v>0</v>
      </c>
      <c r="K7" s="298">
        <v>0</v>
      </c>
      <c r="L7" s="298">
        <v>0</v>
      </c>
      <c r="M7" s="298">
        <v>0</v>
      </c>
      <c r="N7" s="298">
        <v>0</v>
      </c>
      <c r="O7" s="298">
        <v>0</v>
      </c>
      <c r="P7" s="298">
        <v>0</v>
      </c>
      <c r="Q7" s="298">
        <v>0</v>
      </c>
    </row>
    <row r="8" spans="1:17" x14ac:dyDescent="0.2">
      <c r="A8" s="892"/>
      <c r="B8" s="997" t="s">
        <v>1289</v>
      </c>
      <c r="C8" s="997"/>
      <c r="D8" s="997"/>
      <c r="E8" s="1010">
        <v>2000000</v>
      </c>
      <c r="F8" s="253">
        <v>0</v>
      </c>
      <c r="G8" s="253">
        <v>0</v>
      </c>
      <c r="H8" s="253">
        <v>0</v>
      </c>
      <c r="I8" s="253">
        <v>0</v>
      </c>
      <c r="J8" s="253">
        <v>0</v>
      </c>
      <c r="K8" s="253">
        <v>0</v>
      </c>
      <c r="L8" s="253">
        <v>0</v>
      </c>
      <c r="M8" s="253">
        <v>0</v>
      </c>
      <c r="N8" s="253">
        <v>0</v>
      </c>
      <c r="O8" s="253">
        <v>0</v>
      </c>
      <c r="P8" s="253">
        <v>0</v>
      </c>
      <c r="Q8" s="253">
        <v>0</v>
      </c>
    </row>
    <row r="9" spans="1:17" x14ac:dyDescent="0.2">
      <c r="A9" s="892"/>
      <c r="B9" s="556"/>
      <c r="C9" s="556"/>
      <c r="D9" s="556"/>
      <c r="E9" s="566"/>
      <c r="F9" s="253">
        <v>0</v>
      </c>
      <c r="G9" s="253">
        <v>0</v>
      </c>
      <c r="H9" s="253">
        <v>0</v>
      </c>
      <c r="I9" s="253">
        <v>0</v>
      </c>
      <c r="J9" s="253">
        <v>0</v>
      </c>
      <c r="K9" s="253">
        <v>0</v>
      </c>
      <c r="L9" s="253">
        <v>0</v>
      </c>
      <c r="M9" s="253">
        <v>0</v>
      </c>
      <c r="N9" s="253">
        <v>0</v>
      </c>
      <c r="O9" s="253">
        <v>0</v>
      </c>
      <c r="P9" s="253">
        <v>0</v>
      </c>
      <c r="Q9" s="253">
        <v>0</v>
      </c>
    </row>
    <row r="10" spans="1:17" x14ac:dyDescent="0.2">
      <c r="A10" s="892"/>
      <c r="B10" s="556"/>
      <c r="C10" s="556"/>
      <c r="D10" s="556"/>
      <c r="E10" s="566">
        <f t="shared" ref="E10:E34" si="0">SUM(F10:Q10)</f>
        <v>0</v>
      </c>
      <c r="F10" s="253">
        <v>0</v>
      </c>
      <c r="G10" s="253">
        <v>0</v>
      </c>
      <c r="H10" s="253">
        <v>0</v>
      </c>
      <c r="I10" s="253">
        <v>0</v>
      </c>
      <c r="J10" s="253">
        <v>0</v>
      </c>
      <c r="K10" s="253">
        <v>0</v>
      </c>
      <c r="L10" s="253">
        <v>0</v>
      </c>
      <c r="M10" s="253">
        <v>0</v>
      </c>
      <c r="N10" s="253">
        <v>0</v>
      </c>
      <c r="O10" s="253">
        <v>0</v>
      </c>
      <c r="P10" s="253">
        <v>0</v>
      </c>
      <c r="Q10" s="253">
        <v>0</v>
      </c>
    </row>
    <row r="11" spans="1:17" x14ac:dyDescent="0.2">
      <c r="A11" s="892"/>
      <c r="B11" s="556"/>
      <c r="C11" s="556"/>
      <c r="D11" s="556"/>
      <c r="E11" s="566">
        <f t="shared" si="0"/>
        <v>0</v>
      </c>
      <c r="F11" s="253">
        <v>0</v>
      </c>
      <c r="G11" s="253">
        <v>0</v>
      </c>
      <c r="H11" s="253">
        <v>0</v>
      </c>
      <c r="I11" s="253">
        <v>0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</row>
    <row r="12" spans="1:17" x14ac:dyDescent="0.2">
      <c r="A12" s="892"/>
      <c r="B12" s="556"/>
      <c r="C12" s="556"/>
      <c r="D12" s="556"/>
      <c r="E12" s="566">
        <f t="shared" si="0"/>
        <v>0</v>
      </c>
      <c r="F12" s="253">
        <v>0</v>
      </c>
      <c r="G12" s="253">
        <v>0</v>
      </c>
      <c r="H12" s="253">
        <v>0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</row>
    <row r="13" spans="1:17" x14ac:dyDescent="0.2">
      <c r="A13" s="892"/>
      <c r="B13" s="556"/>
      <c r="C13" s="556"/>
      <c r="D13" s="556"/>
      <c r="E13" s="566">
        <f t="shared" si="0"/>
        <v>0</v>
      </c>
      <c r="F13" s="253">
        <v>0</v>
      </c>
      <c r="G13" s="253">
        <v>0</v>
      </c>
      <c r="H13" s="253">
        <v>0</v>
      </c>
      <c r="I13" s="253">
        <v>0</v>
      </c>
      <c r="J13" s="253">
        <v>0</v>
      </c>
      <c r="K13" s="253">
        <v>0</v>
      </c>
      <c r="L13" s="253">
        <v>0</v>
      </c>
      <c r="M13" s="253">
        <v>0</v>
      </c>
      <c r="N13" s="253">
        <v>0</v>
      </c>
      <c r="O13" s="253">
        <v>0</v>
      </c>
      <c r="P13" s="253">
        <v>0</v>
      </c>
      <c r="Q13" s="253">
        <v>0</v>
      </c>
    </row>
    <row r="14" spans="1:17" x14ac:dyDescent="0.2">
      <c r="A14" s="892"/>
      <c r="B14" s="556"/>
      <c r="C14" s="556"/>
      <c r="D14" s="556"/>
      <c r="E14" s="566">
        <f t="shared" si="0"/>
        <v>0</v>
      </c>
      <c r="F14" s="253">
        <v>0</v>
      </c>
      <c r="G14" s="253">
        <v>0</v>
      </c>
      <c r="H14" s="253">
        <v>0</v>
      </c>
      <c r="I14" s="253">
        <v>0</v>
      </c>
      <c r="J14" s="253">
        <v>0</v>
      </c>
      <c r="K14" s="253">
        <v>0</v>
      </c>
      <c r="L14" s="253">
        <v>0</v>
      </c>
      <c r="M14" s="253">
        <v>0</v>
      </c>
      <c r="N14" s="253">
        <v>0</v>
      </c>
      <c r="O14" s="253">
        <v>0</v>
      </c>
      <c r="P14" s="253">
        <v>0</v>
      </c>
      <c r="Q14" s="253">
        <v>0</v>
      </c>
    </row>
    <row r="15" spans="1:17" x14ac:dyDescent="0.2">
      <c r="A15" s="892"/>
      <c r="B15" s="556"/>
      <c r="C15" s="556"/>
      <c r="D15" s="556"/>
      <c r="E15" s="566">
        <f t="shared" si="0"/>
        <v>0</v>
      </c>
      <c r="F15" s="253">
        <v>0</v>
      </c>
      <c r="G15" s="253">
        <v>0</v>
      </c>
      <c r="H15" s="253">
        <v>0</v>
      </c>
      <c r="I15" s="253">
        <v>0</v>
      </c>
      <c r="J15" s="253">
        <v>0</v>
      </c>
      <c r="K15" s="253">
        <v>0</v>
      </c>
      <c r="L15" s="253">
        <v>0</v>
      </c>
      <c r="M15" s="253">
        <v>0</v>
      </c>
      <c r="N15" s="253">
        <v>0</v>
      </c>
      <c r="O15" s="253">
        <v>0</v>
      </c>
      <c r="P15" s="253">
        <v>0</v>
      </c>
      <c r="Q15" s="253">
        <v>0</v>
      </c>
    </row>
    <row r="16" spans="1:17" x14ac:dyDescent="0.2">
      <c r="A16" s="892"/>
      <c r="B16" s="556"/>
      <c r="C16" s="556"/>
      <c r="D16" s="556"/>
      <c r="E16" s="566">
        <f t="shared" si="0"/>
        <v>0</v>
      </c>
      <c r="F16" s="253">
        <v>0</v>
      </c>
      <c r="G16" s="253">
        <v>0</v>
      </c>
      <c r="H16" s="253">
        <v>0</v>
      </c>
      <c r="I16" s="253">
        <v>0</v>
      </c>
      <c r="J16" s="253">
        <v>0</v>
      </c>
      <c r="K16" s="253">
        <v>0</v>
      </c>
      <c r="L16" s="253">
        <v>0</v>
      </c>
      <c r="M16" s="253">
        <v>0</v>
      </c>
      <c r="N16" s="253">
        <v>0</v>
      </c>
      <c r="O16" s="253">
        <v>0</v>
      </c>
      <c r="P16" s="253">
        <v>0</v>
      </c>
      <c r="Q16" s="253">
        <v>0</v>
      </c>
    </row>
    <row r="17" spans="1:17" x14ac:dyDescent="0.2">
      <c r="A17" s="892"/>
      <c r="B17" s="556"/>
      <c r="C17" s="556"/>
      <c r="D17" s="556"/>
      <c r="E17" s="566">
        <f t="shared" si="0"/>
        <v>0</v>
      </c>
      <c r="F17" s="253">
        <v>0</v>
      </c>
      <c r="G17" s="253">
        <v>0</v>
      </c>
      <c r="H17" s="253">
        <v>0</v>
      </c>
      <c r="I17" s="253">
        <v>0</v>
      </c>
      <c r="J17" s="253">
        <v>0</v>
      </c>
      <c r="K17" s="253">
        <v>0</v>
      </c>
      <c r="L17" s="253">
        <v>0</v>
      </c>
      <c r="M17" s="253">
        <v>0</v>
      </c>
      <c r="N17" s="253">
        <v>0</v>
      </c>
      <c r="O17" s="253">
        <v>0</v>
      </c>
      <c r="P17" s="253">
        <v>0</v>
      </c>
      <c r="Q17" s="253">
        <v>0</v>
      </c>
    </row>
    <row r="18" spans="1:17" x14ac:dyDescent="0.2">
      <c r="A18" s="892"/>
      <c r="B18" s="556"/>
      <c r="C18" s="556"/>
      <c r="D18" s="556"/>
      <c r="E18" s="566">
        <f t="shared" si="0"/>
        <v>0</v>
      </c>
      <c r="F18" s="253">
        <v>0</v>
      </c>
      <c r="G18" s="253">
        <v>0</v>
      </c>
      <c r="H18" s="253">
        <v>0</v>
      </c>
      <c r="I18" s="253">
        <v>0</v>
      </c>
      <c r="J18" s="253">
        <v>0</v>
      </c>
      <c r="K18" s="253">
        <v>0</v>
      </c>
      <c r="L18" s="253">
        <v>0</v>
      </c>
      <c r="M18" s="253">
        <v>0</v>
      </c>
      <c r="N18" s="253">
        <v>0</v>
      </c>
      <c r="O18" s="253">
        <v>0</v>
      </c>
      <c r="P18" s="253">
        <v>0</v>
      </c>
      <c r="Q18" s="253">
        <v>0</v>
      </c>
    </row>
    <row r="19" spans="1:17" x14ac:dyDescent="0.2">
      <c r="A19" s="892"/>
      <c r="B19" s="556"/>
      <c r="C19" s="556"/>
      <c r="D19" s="556"/>
      <c r="E19" s="566">
        <f t="shared" si="0"/>
        <v>0</v>
      </c>
      <c r="F19" s="253">
        <v>0</v>
      </c>
      <c r="G19" s="253">
        <v>0</v>
      </c>
      <c r="H19" s="253">
        <v>0</v>
      </c>
      <c r="I19" s="253">
        <v>0</v>
      </c>
      <c r="J19" s="253">
        <v>0</v>
      </c>
      <c r="K19" s="253">
        <v>0</v>
      </c>
      <c r="L19" s="253">
        <v>0</v>
      </c>
      <c r="M19" s="253">
        <v>0</v>
      </c>
      <c r="N19" s="253">
        <v>0</v>
      </c>
      <c r="O19" s="253">
        <v>0</v>
      </c>
      <c r="P19" s="253">
        <v>0</v>
      </c>
      <c r="Q19" s="253">
        <v>0</v>
      </c>
    </row>
    <row r="20" spans="1:17" x14ac:dyDescent="0.2">
      <c r="A20" s="892"/>
      <c r="B20" s="556"/>
      <c r="C20" s="556"/>
      <c r="D20" s="556"/>
      <c r="E20" s="566">
        <f t="shared" si="0"/>
        <v>0</v>
      </c>
      <c r="F20" s="253">
        <v>0</v>
      </c>
      <c r="G20" s="253">
        <v>0</v>
      </c>
      <c r="H20" s="253">
        <v>0</v>
      </c>
      <c r="I20" s="253">
        <v>0</v>
      </c>
      <c r="J20" s="253">
        <v>0</v>
      </c>
      <c r="K20" s="253">
        <v>0</v>
      </c>
      <c r="L20" s="253">
        <v>0</v>
      </c>
      <c r="M20" s="253">
        <v>0</v>
      </c>
      <c r="N20" s="253">
        <v>0</v>
      </c>
      <c r="O20" s="253">
        <v>0</v>
      </c>
      <c r="P20" s="253">
        <v>0</v>
      </c>
      <c r="Q20" s="253">
        <v>0</v>
      </c>
    </row>
    <row r="21" spans="1:17" x14ac:dyDescent="0.2">
      <c r="A21" s="892"/>
      <c r="B21" s="556"/>
      <c r="C21" s="556"/>
      <c r="D21" s="556"/>
      <c r="E21" s="566">
        <f t="shared" si="0"/>
        <v>0</v>
      </c>
      <c r="F21" s="253">
        <v>0</v>
      </c>
      <c r="G21" s="253">
        <v>0</v>
      </c>
      <c r="H21" s="253">
        <v>0</v>
      </c>
      <c r="I21" s="253">
        <v>0</v>
      </c>
      <c r="J21" s="253">
        <v>0</v>
      </c>
      <c r="K21" s="253">
        <v>0</v>
      </c>
      <c r="L21" s="253">
        <v>0</v>
      </c>
      <c r="M21" s="253">
        <v>0</v>
      </c>
      <c r="N21" s="253">
        <v>0</v>
      </c>
      <c r="O21" s="253">
        <v>0</v>
      </c>
      <c r="P21" s="253">
        <v>0</v>
      </c>
      <c r="Q21" s="253">
        <v>0</v>
      </c>
    </row>
    <row r="22" spans="1:17" x14ac:dyDescent="0.2">
      <c r="A22" s="892"/>
      <c r="B22" s="556"/>
      <c r="C22" s="556"/>
      <c r="D22" s="556"/>
      <c r="E22" s="566">
        <f t="shared" si="0"/>
        <v>0</v>
      </c>
      <c r="F22" s="253">
        <v>0</v>
      </c>
      <c r="G22" s="253">
        <v>0</v>
      </c>
      <c r="H22" s="253">
        <v>0</v>
      </c>
      <c r="I22" s="253">
        <v>0</v>
      </c>
      <c r="J22" s="253">
        <v>0</v>
      </c>
      <c r="K22" s="253">
        <v>0</v>
      </c>
      <c r="L22" s="253">
        <v>0</v>
      </c>
      <c r="M22" s="253">
        <v>0</v>
      </c>
      <c r="N22" s="253">
        <v>0</v>
      </c>
      <c r="O22" s="253">
        <v>0</v>
      </c>
      <c r="P22" s="253">
        <v>0</v>
      </c>
      <c r="Q22" s="253">
        <v>0</v>
      </c>
    </row>
    <row r="23" spans="1:17" x14ac:dyDescent="0.2">
      <c r="A23" s="892"/>
      <c r="B23" s="556"/>
      <c r="C23" s="556"/>
      <c r="D23" s="556"/>
      <c r="E23" s="566">
        <f t="shared" si="0"/>
        <v>0</v>
      </c>
      <c r="F23" s="253">
        <v>0</v>
      </c>
      <c r="G23" s="253">
        <v>0</v>
      </c>
      <c r="H23" s="253">
        <v>0</v>
      </c>
      <c r="I23" s="253">
        <v>0</v>
      </c>
      <c r="J23" s="253">
        <v>0</v>
      </c>
      <c r="K23" s="253">
        <v>0</v>
      </c>
      <c r="L23" s="253">
        <v>0</v>
      </c>
      <c r="M23" s="253">
        <v>0</v>
      </c>
      <c r="N23" s="253">
        <v>0</v>
      </c>
      <c r="O23" s="253">
        <v>0</v>
      </c>
      <c r="P23" s="253">
        <v>0</v>
      </c>
      <c r="Q23" s="253">
        <v>0</v>
      </c>
    </row>
    <row r="24" spans="1:17" x14ac:dyDescent="0.2">
      <c r="A24" s="892"/>
      <c r="B24" s="556"/>
      <c r="C24" s="556"/>
      <c r="D24" s="556"/>
      <c r="E24" s="566">
        <f t="shared" si="0"/>
        <v>0</v>
      </c>
      <c r="F24" s="253">
        <v>0</v>
      </c>
      <c r="G24" s="253">
        <v>0</v>
      </c>
      <c r="H24" s="253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</row>
    <row r="25" spans="1:17" x14ac:dyDescent="0.2">
      <c r="A25" s="892"/>
      <c r="B25" s="556"/>
      <c r="C25" s="556"/>
      <c r="D25" s="556"/>
      <c r="E25" s="566">
        <f t="shared" si="0"/>
        <v>0</v>
      </c>
      <c r="F25" s="253">
        <v>0</v>
      </c>
      <c r="G25" s="253">
        <v>0</v>
      </c>
      <c r="H25" s="253">
        <v>0</v>
      </c>
      <c r="I25" s="253">
        <v>0</v>
      </c>
      <c r="J25" s="253">
        <v>0</v>
      </c>
      <c r="K25" s="253">
        <v>0</v>
      </c>
      <c r="L25" s="253">
        <v>0</v>
      </c>
      <c r="M25" s="253">
        <v>0</v>
      </c>
      <c r="N25" s="253">
        <v>0</v>
      </c>
      <c r="O25" s="253">
        <v>0</v>
      </c>
      <c r="P25" s="253">
        <v>0</v>
      </c>
      <c r="Q25" s="253">
        <v>0</v>
      </c>
    </row>
    <row r="26" spans="1:17" x14ac:dyDescent="0.2">
      <c r="A26" s="892"/>
      <c r="B26" s="556"/>
      <c r="C26" s="556"/>
      <c r="D26" s="556"/>
      <c r="E26" s="566">
        <f t="shared" si="0"/>
        <v>0</v>
      </c>
      <c r="F26" s="253">
        <v>0</v>
      </c>
      <c r="G26" s="253">
        <v>0</v>
      </c>
      <c r="H26" s="253">
        <v>0</v>
      </c>
      <c r="I26" s="253">
        <v>0</v>
      </c>
      <c r="J26" s="253">
        <v>0</v>
      </c>
      <c r="K26" s="253">
        <v>0</v>
      </c>
      <c r="L26" s="253">
        <v>0</v>
      </c>
      <c r="M26" s="253">
        <v>0</v>
      </c>
      <c r="N26" s="253">
        <v>0</v>
      </c>
      <c r="O26" s="253">
        <v>0</v>
      </c>
      <c r="P26" s="253">
        <v>0</v>
      </c>
      <c r="Q26" s="253">
        <v>0</v>
      </c>
    </row>
    <row r="27" spans="1:17" x14ac:dyDescent="0.2">
      <c r="A27" s="892"/>
      <c r="B27" s="556"/>
      <c r="C27" s="556"/>
      <c r="D27" s="556"/>
      <c r="E27" s="566">
        <f t="shared" si="0"/>
        <v>0</v>
      </c>
      <c r="F27" s="253">
        <v>0</v>
      </c>
      <c r="G27" s="253">
        <v>0</v>
      </c>
      <c r="H27" s="253">
        <v>0</v>
      </c>
      <c r="I27" s="253">
        <v>0</v>
      </c>
      <c r="J27" s="253">
        <v>0</v>
      </c>
      <c r="K27" s="253">
        <v>0</v>
      </c>
      <c r="L27" s="253">
        <v>0</v>
      </c>
      <c r="M27" s="253">
        <v>0</v>
      </c>
      <c r="N27" s="253">
        <v>0</v>
      </c>
      <c r="O27" s="253">
        <v>0</v>
      </c>
      <c r="P27" s="253">
        <v>0</v>
      </c>
      <c r="Q27" s="253">
        <v>0</v>
      </c>
    </row>
    <row r="28" spans="1:17" x14ac:dyDescent="0.2">
      <c r="A28" s="892"/>
      <c r="B28" s="556"/>
      <c r="C28" s="556"/>
      <c r="D28" s="556"/>
      <c r="E28" s="566">
        <f t="shared" si="0"/>
        <v>0</v>
      </c>
      <c r="F28" s="253">
        <v>0</v>
      </c>
      <c r="G28" s="253">
        <v>0</v>
      </c>
      <c r="H28" s="253">
        <v>0</v>
      </c>
      <c r="I28" s="253">
        <v>0</v>
      </c>
      <c r="J28" s="253">
        <v>0</v>
      </c>
      <c r="K28" s="253">
        <v>0</v>
      </c>
      <c r="L28" s="253">
        <v>0</v>
      </c>
      <c r="M28" s="253">
        <v>0</v>
      </c>
      <c r="N28" s="253">
        <v>0</v>
      </c>
      <c r="O28" s="253">
        <v>0</v>
      </c>
      <c r="P28" s="253">
        <v>0</v>
      </c>
      <c r="Q28" s="253">
        <v>0</v>
      </c>
    </row>
    <row r="29" spans="1:17" x14ac:dyDescent="0.2">
      <c r="A29" s="892"/>
      <c r="B29" s="556"/>
      <c r="C29" s="556"/>
      <c r="D29" s="556"/>
      <c r="E29" s="566">
        <f t="shared" si="0"/>
        <v>0</v>
      </c>
      <c r="F29" s="253">
        <v>0</v>
      </c>
      <c r="G29" s="253">
        <v>0</v>
      </c>
      <c r="H29" s="253">
        <v>0</v>
      </c>
      <c r="I29" s="253">
        <v>0</v>
      </c>
      <c r="J29" s="253">
        <v>0</v>
      </c>
      <c r="K29" s="253">
        <v>0</v>
      </c>
      <c r="L29" s="253">
        <v>0</v>
      </c>
      <c r="M29" s="253">
        <v>0</v>
      </c>
      <c r="N29" s="253">
        <v>0</v>
      </c>
      <c r="O29" s="253">
        <v>0</v>
      </c>
      <c r="P29" s="253">
        <v>0</v>
      </c>
      <c r="Q29" s="253">
        <v>0</v>
      </c>
    </row>
    <row r="30" spans="1:17" x14ac:dyDescent="0.2">
      <c r="A30" s="892"/>
      <c r="B30" s="556"/>
      <c r="C30" s="556"/>
      <c r="D30" s="556"/>
      <c r="E30" s="566">
        <f t="shared" si="0"/>
        <v>0</v>
      </c>
      <c r="F30" s="253">
        <v>0</v>
      </c>
      <c r="G30" s="253">
        <v>0</v>
      </c>
      <c r="H30" s="253">
        <v>0</v>
      </c>
      <c r="I30" s="253">
        <v>0</v>
      </c>
      <c r="J30" s="253">
        <v>0</v>
      </c>
      <c r="K30" s="253">
        <v>0</v>
      </c>
      <c r="L30" s="253">
        <v>0</v>
      </c>
      <c r="M30" s="253">
        <v>0</v>
      </c>
      <c r="N30" s="253">
        <v>0</v>
      </c>
      <c r="O30" s="253">
        <v>0</v>
      </c>
      <c r="P30" s="253">
        <v>0</v>
      </c>
      <c r="Q30" s="253">
        <v>0</v>
      </c>
    </row>
    <row r="31" spans="1:17" x14ac:dyDescent="0.2">
      <c r="A31" s="892"/>
      <c r="B31" s="556"/>
      <c r="C31" s="556"/>
      <c r="D31" s="556"/>
      <c r="E31" s="566">
        <f t="shared" si="0"/>
        <v>0</v>
      </c>
      <c r="F31" s="253">
        <v>0</v>
      </c>
      <c r="G31" s="253">
        <v>0</v>
      </c>
      <c r="H31" s="253">
        <v>0</v>
      </c>
      <c r="I31" s="253">
        <v>0</v>
      </c>
      <c r="J31" s="253">
        <v>0</v>
      </c>
      <c r="K31" s="253">
        <v>0</v>
      </c>
      <c r="L31" s="253">
        <v>0</v>
      </c>
      <c r="M31" s="253">
        <v>0</v>
      </c>
      <c r="N31" s="253">
        <v>0</v>
      </c>
      <c r="O31" s="253">
        <v>0</v>
      </c>
      <c r="P31" s="253">
        <v>0</v>
      </c>
      <c r="Q31" s="253">
        <v>0</v>
      </c>
    </row>
    <row r="32" spans="1:17" x14ac:dyDescent="0.2">
      <c r="A32" s="892"/>
      <c r="B32" s="556"/>
      <c r="C32" s="556"/>
      <c r="D32" s="556"/>
      <c r="E32" s="566">
        <f t="shared" si="0"/>
        <v>0</v>
      </c>
      <c r="F32" s="253">
        <v>0</v>
      </c>
      <c r="G32" s="253">
        <v>0</v>
      </c>
      <c r="H32" s="253">
        <v>0</v>
      </c>
      <c r="I32" s="253">
        <v>0</v>
      </c>
      <c r="J32" s="253">
        <v>0</v>
      </c>
      <c r="K32" s="253">
        <v>0</v>
      </c>
      <c r="L32" s="253">
        <v>0</v>
      </c>
      <c r="M32" s="253">
        <v>0</v>
      </c>
      <c r="N32" s="253">
        <v>0</v>
      </c>
      <c r="O32" s="253">
        <v>0</v>
      </c>
      <c r="P32" s="253">
        <v>0</v>
      </c>
      <c r="Q32" s="253">
        <v>0</v>
      </c>
    </row>
    <row r="33" spans="1:17" x14ac:dyDescent="0.2">
      <c r="A33" s="892"/>
      <c r="B33" s="556"/>
      <c r="C33" s="556"/>
      <c r="D33" s="556"/>
      <c r="E33" s="566">
        <f t="shared" si="0"/>
        <v>0</v>
      </c>
      <c r="F33" s="253">
        <v>0</v>
      </c>
      <c r="G33" s="253">
        <v>0</v>
      </c>
      <c r="H33" s="253">
        <v>0</v>
      </c>
      <c r="I33" s="253">
        <v>0</v>
      </c>
      <c r="J33" s="253">
        <v>0</v>
      </c>
      <c r="K33" s="253">
        <v>0</v>
      </c>
      <c r="L33" s="253">
        <v>0</v>
      </c>
      <c r="M33" s="253">
        <v>0</v>
      </c>
      <c r="N33" s="253">
        <v>0</v>
      </c>
      <c r="O33" s="253">
        <v>0</v>
      </c>
      <c r="P33" s="253">
        <v>0</v>
      </c>
      <c r="Q33" s="253">
        <v>0</v>
      </c>
    </row>
    <row r="34" spans="1:17" ht="13.5" thickBot="1" x14ac:dyDescent="0.25">
      <c r="A34" s="893"/>
      <c r="B34" s="556"/>
      <c r="C34" s="556"/>
      <c r="D34" s="556"/>
      <c r="E34" s="566">
        <f t="shared" si="0"/>
        <v>0</v>
      </c>
      <c r="F34" s="253">
        <v>0</v>
      </c>
      <c r="G34" s="253">
        <v>0</v>
      </c>
      <c r="H34" s="253">
        <v>0</v>
      </c>
      <c r="I34" s="253">
        <v>0</v>
      </c>
      <c r="J34" s="253">
        <v>0</v>
      </c>
      <c r="K34" s="253">
        <v>0</v>
      </c>
      <c r="L34" s="253">
        <v>0</v>
      </c>
      <c r="M34" s="253">
        <v>0</v>
      </c>
      <c r="N34" s="253">
        <v>0</v>
      </c>
      <c r="O34" s="253">
        <v>0</v>
      </c>
      <c r="P34" s="253">
        <v>0</v>
      </c>
      <c r="Q34" s="253">
        <v>0</v>
      </c>
    </row>
    <row r="35" spans="1:17" ht="13.5" thickBot="1" x14ac:dyDescent="0.25">
      <c r="A35" s="896">
        <v>1524050000</v>
      </c>
      <c r="B35" s="173"/>
      <c r="C35" s="255"/>
      <c r="D35" s="174"/>
      <c r="E35" s="195">
        <f>SUM(E7:E34)</f>
        <v>12000000</v>
      </c>
      <c r="F35" s="278">
        <f t="shared" ref="F35:Q35" si="1">SUM(F7:F34)</f>
        <v>0</v>
      </c>
      <c r="G35" s="278">
        <f t="shared" si="1"/>
        <v>0</v>
      </c>
      <c r="H35" s="278">
        <f t="shared" si="1"/>
        <v>0</v>
      </c>
      <c r="I35" s="278">
        <f t="shared" si="1"/>
        <v>0</v>
      </c>
      <c r="J35" s="278">
        <f t="shared" si="1"/>
        <v>0</v>
      </c>
      <c r="K35" s="278">
        <f t="shared" si="1"/>
        <v>0</v>
      </c>
      <c r="L35" s="278">
        <f t="shared" si="1"/>
        <v>0</v>
      </c>
      <c r="M35" s="278">
        <f t="shared" si="1"/>
        <v>0</v>
      </c>
      <c r="N35" s="278">
        <f t="shared" si="1"/>
        <v>0</v>
      </c>
      <c r="O35" s="278">
        <f t="shared" si="1"/>
        <v>0</v>
      </c>
      <c r="P35" s="278">
        <f t="shared" si="1"/>
        <v>0</v>
      </c>
      <c r="Q35" s="278">
        <f t="shared" si="1"/>
        <v>0</v>
      </c>
    </row>
    <row r="37" spans="1:17" x14ac:dyDescent="0.2">
      <c r="A37" s="251" t="s">
        <v>476</v>
      </c>
      <c r="B37" s="252"/>
      <c r="C37" s="252"/>
      <c r="D37" s="252"/>
    </row>
    <row r="65531" spans="6:6" x14ac:dyDescent="0.2">
      <c r="F65531" s="6">
        <v>0</v>
      </c>
    </row>
  </sheetData>
  <mergeCells count="21">
    <mergeCell ref="A2:E2"/>
    <mergeCell ref="A4:E4"/>
    <mergeCell ref="D5:D6"/>
    <mergeCell ref="A5:A6"/>
    <mergeCell ref="B5:B6"/>
    <mergeCell ref="A3:E3"/>
    <mergeCell ref="C5:C6"/>
    <mergeCell ref="E5:E6"/>
    <mergeCell ref="Q5:Q6"/>
    <mergeCell ref="F4:Q4"/>
    <mergeCell ref="F5:F6"/>
    <mergeCell ref="G5:G6"/>
    <mergeCell ref="H5:H6"/>
    <mergeCell ref="L5:L6"/>
    <mergeCell ref="O5:O6"/>
    <mergeCell ref="P5:P6"/>
    <mergeCell ref="K5:K6"/>
    <mergeCell ref="I5:I6"/>
    <mergeCell ref="N5:N6"/>
    <mergeCell ref="J5:J6"/>
    <mergeCell ref="M5:M6"/>
  </mergeCells>
  <phoneticPr fontId="27" type="noConversion"/>
  <pageMargins left="0.16" right="0.17" top="1" bottom="1" header="0" footer="0"/>
  <pageSetup scale="65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BASE!$F$3:$F$4</xm:f>
          </x14:formula1>
          <xm:sqref>A7:A34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Q65523"/>
  <sheetViews>
    <sheetView zoomScaleNormal="100" workbookViewId="0">
      <selection activeCell="D15" sqref="D15"/>
    </sheetView>
  </sheetViews>
  <sheetFormatPr baseColWidth="10" defaultRowHeight="12.75" x14ac:dyDescent="0.2"/>
  <cols>
    <col min="1" max="1" width="11.42578125" style="5" customWidth="1"/>
    <col min="2" max="2" width="29.7109375" style="5" customWidth="1"/>
    <col min="3" max="3" width="18.7109375" style="5" customWidth="1"/>
    <col min="4" max="4" width="23.28515625" style="5" customWidth="1"/>
    <col min="5" max="5" width="13.85546875" style="194" customWidth="1"/>
    <col min="6" max="17" width="11.85546875" style="5" customWidth="1"/>
    <col min="18" max="16384" width="11.42578125" style="5"/>
  </cols>
  <sheetData>
    <row r="2" spans="1:17" ht="18" x14ac:dyDescent="0.25">
      <c r="A2" s="1255" t="s">
        <v>237</v>
      </c>
      <c r="B2" s="1255"/>
      <c r="C2" s="1255"/>
      <c r="D2" s="1255"/>
      <c r="E2" s="1255"/>
    </row>
    <row r="3" spans="1:17" ht="18" x14ac:dyDescent="0.25">
      <c r="A3" s="1254" t="str">
        <f>+PRESUPUESTO!B2</f>
        <v>MEDICINA PREGRADO</v>
      </c>
      <c r="B3" s="1254"/>
      <c r="C3" s="1254"/>
      <c r="D3" s="1254"/>
      <c r="E3" s="1254"/>
    </row>
    <row r="4" spans="1:17" ht="18.75" thickBot="1" x14ac:dyDescent="0.3">
      <c r="A4" s="1256">
        <v>2018</v>
      </c>
      <c r="B4" s="1256"/>
      <c r="C4" s="1256"/>
      <c r="D4" s="1256"/>
      <c r="E4" s="1256"/>
      <c r="F4" s="1290" t="s">
        <v>492</v>
      </c>
      <c r="G4" s="1290"/>
      <c r="H4" s="1290"/>
      <c r="I4" s="1290"/>
      <c r="J4" s="1290"/>
      <c r="K4" s="1290"/>
      <c r="L4" s="1290"/>
      <c r="M4" s="1290"/>
      <c r="N4" s="1290"/>
      <c r="O4" s="1290"/>
      <c r="P4" s="1290"/>
      <c r="Q4" s="1290"/>
    </row>
    <row r="5" spans="1:17" ht="12.75" customHeight="1" x14ac:dyDescent="0.2">
      <c r="A5" s="1273" t="s">
        <v>418</v>
      </c>
      <c r="B5" s="1278" t="s">
        <v>259</v>
      </c>
      <c r="C5" s="1257" t="s">
        <v>478</v>
      </c>
      <c r="D5" s="1257" t="s">
        <v>255</v>
      </c>
      <c r="E5" s="1278" t="s">
        <v>475</v>
      </c>
      <c r="F5" s="1288" t="s">
        <v>484</v>
      </c>
      <c r="G5" s="1288" t="s">
        <v>485</v>
      </c>
      <c r="H5" s="1288" t="s">
        <v>486</v>
      </c>
      <c r="I5" s="1288" t="s">
        <v>487</v>
      </c>
      <c r="J5" s="1288" t="s">
        <v>488</v>
      </c>
      <c r="K5" s="1288" t="s">
        <v>489</v>
      </c>
      <c r="L5" s="1288" t="s">
        <v>490</v>
      </c>
      <c r="M5" s="1288" t="s">
        <v>491</v>
      </c>
      <c r="N5" s="1288" t="s">
        <v>251</v>
      </c>
      <c r="O5" s="1288" t="s">
        <v>252</v>
      </c>
      <c r="P5" s="1288" t="s">
        <v>253</v>
      </c>
      <c r="Q5" s="1288" t="s">
        <v>254</v>
      </c>
    </row>
    <row r="6" spans="1:17" ht="13.5" thickBot="1" x14ac:dyDescent="0.25">
      <c r="A6" s="1305"/>
      <c r="B6" s="1279"/>
      <c r="C6" s="1258"/>
      <c r="D6" s="1258"/>
      <c r="E6" s="1279"/>
      <c r="F6" s="1289"/>
      <c r="G6" s="1289"/>
      <c r="H6" s="1289"/>
      <c r="I6" s="1289"/>
      <c r="J6" s="1289"/>
      <c r="K6" s="1289"/>
      <c r="L6" s="1289"/>
      <c r="M6" s="1289"/>
      <c r="N6" s="1289"/>
      <c r="O6" s="1289"/>
      <c r="P6" s="1289"/>
      <c r="Q6" s="1289"/>
    </row>
    <row r="7" spans="1:17" s="299" customFormat="1" ht="12.75" customHeight="1" x14ac:dyDescent="0.2">
      <c r="A7" s="897"/>
      <c r="B7" s="1011"/>
      <c r="C7" s="1011"/>
      <c r="D7" s="1011"/>
      <c r="E7" s="1009"/>
      <c r="F7" s="298">
        <v>0</v>
      </c>
      <c r="G7" s="298"/>
      <c r="H7" s="298">
        <v>0</v>
      </c>
      <c r="I7" s="298">
        <v>0</v>
      </c>
      <c r="J7" s="298">
        <v>0</v>
      </c>
      <c r="K7" s="298">
        <v>0</v>
      </c>
      <c r="L7" s="298">
        <v>0</v>
      </c>
      <c r="M7" s="298">
        <v>0</v>
      </c>
      <c r="N7" s="298">
        <v>0</v>
      </c>
      <c r="O7" s="298">
        <v>0</v>
      </c>
      <c r="P7" s="298">
        <v>0</v>
      </c>
      <c r="Q7" s="298">
        <v>0</v>
      </c>
    </row>
    <row r="8" spans="1:17" s="299" customFormat="1" ht="12.75" customHeight="1" x14ac:dyDescent="0.15">
      <c r="A8" s="898"/>
      <c r="B8" s="567" t="s">
        <v>169</v>
      </c>
      <c r="C8" s="567" t="s">
        <v>169</v>
      </c>
      <c r="D8" s="567" t="s">
        <v>169</v>
      </c>
      <c r="E8" s="566">
        <f t="shared" ref="E8:E28" si="0">SUM(F8:Q8)</f>
        <v>0</v>
      </c>
      <c r="F8" s="300">
        <v>0</v>
      </c>
      <c r="G8" s="300">
        <v>0</v>
      </c>
      <c r="H8" s="300">
        <v>0</v>
      </c>
      <c r="I8" s="300">
        <v>0</v>
      </c>
      <c r="J8" s="300">
        <v>0</v>
      </c>
      <c r="K8" s="300">
        <v>0</v>
      </c>
      <c r="L8" s="300">
        <v>0</v>
      </c>
      <c r="M8" s="300">
        <v>0</v>
      </c>
      <c r="N8" s="300">
        <v>0</v>
      </c>
      <c r="O8" s="300">
        <v>0</v>
      </c>
      <c r="P8" s="300">
        <v>0</v>
      </c>
      <c r="Q8" s="300">
        <v>0</v>
      </c>
    </row>
    <row r="9" spans="1:17" x14ac:dyDescent="0.2">
      <c r="A9" s="892"/>
      <c r="B9" s="556"/>
      <c r="C9" s="556"/>
      <c r="D9" s="556" t="s">
        <v>169</v>
      </c>
      <c r="E9" s="566">
        <f t="shared" si="0"/>
        <v>0</v>
      </c>
      <c r="F9" s="253">
        <v>0</v>
      </c>
      <c r="G9" s="253">
        <v>0</v>
      </c>
      <c r="H9" s="253">
        <v>0</v>
      </c>
      <c r="I9" s="253">
        <v>0</v>
      </c>
      <c r="J9" s="253">
        <v>0</v>
      </c>
      <c r="K9" s="253">
        <v>0</v>
      </c>
      <c r="L9" s="253">
        <v>0</v>
      </c>
      <c r="M9" s="253">
        <v>0</v>
      </c>
      <c r="N9" s="253">
        <v>0</v>
      </c>
      <c r="O9" s="253">
        <v>0</v>
      </c>
      <c r="P9" s="253">
        <v>0</v>
      </c>
      <c r="Q9" s="253">
        <v>0</v>
      </c>
    </row>
    <row r="10" spans="1:17" x14ac:dyDescent="0.2">
      <c r="A10" s="892"/>
      <c r="B10" s="556"/>
      <c r="C10" s="556"/>
      <c r="D10" s="556"/>
      <c r="E10" s="566">
        <f t="shared" si="0"/>
        <v>0</v>
      </c>
      <c r="F10" s="253">
        <v>0</v>
      </c>
      <c r="G10" s="253">
        <v>0</v>
      </c>
      <c r="H10" s="253">
        <v>0</v>
      </c>
      <c r="I10" s="253">
        <v>0</v>
      </c>
      <c r="J10" s="253">
        <v>0</v>
      </c>
      <c r="K10" s="253">
        <v>0</v>
      </c>
      <c r="L10" s="253">
        <v>0</v>
      </c>
      <c r="M10" s="253">
        <v>0</v>
      </c>
      <c r="N10" s="253">
        <v>0</v>
      </c>
      <c r="O10" s="253">
        <v>0</v>
      </c>
      <c r="P10" s="253">
        <v>0</v>
      </c>
      <c r="Q10" s="253">
        <v>0</v>
      </c>
    </row>
    <row r="11" spans="1:17" x14ac:dyDescent="0.2">
      <c r="A11" s="892"/>
      <c r="B11" s="556"/>
      <c r="C11" s="556"/>
      <c r="D11" s="556"/>
      <c r="E11" s="566">
        <f t="shared" si="0"/>
        <v>0</v>
      </c>
      <c r="F11" s="253">
        <v>0</v>
      </c>
      <c r="G11" s="253">
        <v>0</v>
      </c>
      <c r="H11" s="253">
        <v>0</v>
      </c>
      <c r="I11" s="253">
        <v>0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</row>
    <row r="12" spans="1:17" x14ac:dyDescent="0.2">
      <c r="A12" s="892"/>
      <c r="B12" s="556"/>
      <c r="C12" s="556"/>
      <c r="D12" s="556"/>
      <c r="E12" s="566">
        <f t="shared" si="0"/>
        <v>0</v>
      </c>
      <c r="F12" s="253">
        <v>0</v>
      </c>
      <c r="G12" s="253">
        <v>0</v>
      </c>
      <c r="H12" s="253">
        <v>0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</row>
    <row r="13" spans="1:17" x14ac:dyDescent="0.2">
      <c r="A13" s="892"/>
      <c r="B13" s="556"/>
      <c r="C13" s="556"/>
      <c r="D13" s="556"/>
      <c r="E13" s="566">
        <f t="shared" si="0"/>
        <v>0</v>
      </c>
      <c r="F13" s="253">
        <v>0</v>
      </c>
      <c r="G13" s="253">
        <v>0</v>
      </c>
      <c r="H13" s="253">
        <v>0</v>
      </c>
      <c r="I13" s="253">
        <v>0</v>
      </c>
      <c r="J13" s="253">
        <v>0</v>
      </c>
      <c r="K13" s="253">
        <v>0</v>
      </c>
      <c r="L13" s="253">
        <v>0</v>
      </c>
      <c r="M13" s="253">
        <v>0</v>
      </c>
      <c r="N13" s="253">
        <v>0</v>
      </c>
      <c r="O13" s="253">
        <v>0</v>
      </c>
      <c r="P13" s="253">
        <v>0</v>
      </c>
      <c r="Q13" s="253">
        <v>0</v>
      </c>
    </row>
    <row r="14" spans="1:17" x14ac:dyDescent="0.2">
      <c r="A14" s="892"/>
      <c r="B14" s="556"/>
      <c r="C14" s="556"/>
      <c r="D14" s="556"/>
      <c r="E14" s="566">
        <f t="shared" si="0"/>
        <v>0</v>
      </c>
      <c r="F14" s="253">
        <v>0</v>
      </c>
      <c r="G14" s="253">
        <v>0</v>
      </c>
      <c r="H14" s="253">
        <v>0</v>
      </c>
      <c r="I14" s="253">
        <v>0</v>
      </c>
      <c r="J14" s="253">
        <v>0</v>
      </c>
      <c r="K14" s="253">
        <v>0</v>
      </c>
      <c r="L14" s="253">
        <v>0</v>
      </c>
      <c r="M14" s="253">
        <v>0</v>
      </c>
      <c r="N14" s="253">
        <v>0</v>
      </c>
      <c r="O14" s="253">
        <v>0</v>
      </c>
      <c r="P14" s="253">
        <v>0</v>
      </c>
      <c r="Q14" s="253">
        <v>0</v>
      </c>
    </row>
    <row r="15" spans="1:17" x14ac:dyDescent="0.2">
      <c r="A15" s="892"/>
      <c r="B15" s="556"/>
      <c r="C15" s="556"/>
      <c r="D15" s="556"/>
      <c r="E15" s="566">
        <f t="shared" si="0"/>
        <v>0</v>
      </c>
      <c r="F15" s="253">
        <v>0</v>
      </c>
      <c r="G15" s="253">
        <v>0</v>
      </c>
      <c r="H15" s="253">
        <v>0</v>
      </c>
      <c r="I15" s="253">
        <v>0</v>
      </c>
      <c r="J15" s="253">
        <v>0</v>
      </c>
      <c r="K15" s="253">
        <v>0</v>
      </c>
      <c r="L15" s="253">
        <v>0</v>
      </c>
      <c r="M15" s="253">
        <v>0</v>
      </c>
      <c r="N15" s="253">
        <v>0</v>
      </c>
      <c r="O15" s="253">
        <v>0</v>
      </c>
      <c r="P15" s="253">
        <v>0</v>
      </c>
      <c r="Q15" s="253">
        <v>0</v>
      </c>
    </row>
    <row r="16" spans="1:17" x14ac:dyDescent="0.2">
      <c r="A16" s="892"/>
      <c r="B16" s="556"/>
      <c r="C16" s="556"/>
      <c r="D16" s="556"/>
      <c r="E16" s="566">
        <f t="shared" si="0"/>
        <v>0</v>
      </c>
      <c r="F16" s="253">
        <v>0</v>
      </c>
      <c r="G16" s="253">
        <v>0</v>
      </c>
      <c r="H16" s="253">
        <v>0</v>
      </c>
      <c r="I16" s="253">
        <v>0</v>
      </c>
      <c r="J16" s="253">
        <v>0</v>
      </c>
      <c r="K16" s="253">
        <v>0</v>
      </c>
      <c r="L16" s="253">
        <v>0</v>
      </c>
      <c r="M16" s="253">
        <v>0</v>
      </c>
      <c r="N16" s="253">
        <v>0</v>
      </c>
      <c r="O16" s="253">
        <v>0</v>
      </c>
      <c r="P16" s="253">
        <v>0</v>
      </c>
      <c r="Q16" s="253">
        <v>0</v>
      </c>
    </row>
    <row r="17" spans="1:17" x14ac:dyDescent="0.2">
      <c r="A17" s="892"/>
      <c r="B17" s="556"/>
      <c r="C17" s="556"/>
      <c r="D17" s="556"/>
      <c r="E17" s="566">
        <f t="shared" si="0"/>
        <v>0</v>
      </c>
      <c r="F17" s="253">
        <v>0</v>
      </c>
      <c r="G17" s="253">
        <v>0</v>
      </c>
      <c r="H17" s="253">
        <v>0</v>
      </c>
      <c r="I17" s="253">
        <v>0</v>
      </c>
      <c r="J17" s="253">
        <v>0</v>
      </c>
      <c r="K17" s="253">
        <v>0</v>
      </c>
      <c r="L17" s="253">
        <v>0</v>
      </c>
      <c r="M17" s="253">
        <v>0</v>
      </c>
      <c r="N17" s="253">
        <v>0</v>
      </c>
      <c r="O17" s="253">
        <v>0</v>
      </c>
      <c r="P17" s="253">
        <v>0</v>
      </c>
      <c r="Q17" s="253">
        <v>0</v>
      </c>
    </row>
    <row r="18" spans="1:17" x14ac:dyDescent="0.2">
      <c r="A18" s="892"/>
      <c r="B18" s="556"/>
      <c r="C18" s="556"/>
      <c r="D18" s="556"/>
      <c r="E18" s="566">
        <f t="shared" si="0"/>
        <v>0</v>
      </c>
      <c r="F18" s="253">
        <v>0</v>
      </c>
      <c r="G18" s="253">
        <v>0</v>
      </c>
      <c r="H18" s="253">
        <v>0</v>
      </c>
      <c r="I18" s="253">
        <v>0</v>
      </c>
      <c r="J18" s="253">
        <v>0</v>
      </c>
      <c r="K18" s="253">
        <v>0</v>
      </c>
      <c r="L18" s="253">
        <v>0</v>
      </c>
      <c r="M18" s="253">
        <v>0</v>
      </c>
      <c r="N18" s="253">
        <v>0</v>
      </c>
      <c r="O18" s="253">
        <v>0</v>
      </c>
      <c r="P18" s="253">
        <v>0</v>
      </c>
      <c r="Q18" s="253">
        <v>0</v>
      </c>
    </row>
    <row r="19" spans="1:17" x14ac:dyDescent="0.2">
      <c r="A19" s="892"/>
      <c r="B19" s="556"/>
      <c r="C19" s="556"/>
      <c r="D19" s="556"/>
      <c r="E19" s="566">
        <f t="shared" si="0"/>
        <v>0</v>
      </c>
      <c r="F19" s="253">
        <v>0</v>
      </c>
      <c r="G19" s="253">
        <v>0</v>
      </c>
      <c r="H19" s="253">
        <v>0</v>
      </c>
      <c r="I19" s="253">
        <v>0</v>
      </c>
      <c r="J19" s="253">
        <v>0</v>
      </c>
      <c r="K19" s="253">
        <v>0</v>
      </c>
      <c r="L19" s="253">
        <v>0</v>
      </c>
      <c r="M19" s="253">
        <v>0</v>
      </c>
      <c r="N19" s="253">
        <v>0</v>
      </c>
      <c r="O19" s="253">
        <v>0</v>
      </c>
      <c r="P19" s="253">
        <v>0</v>
      </c>
      <c r="Q19" s="253">
        <v>0</v>
      </c>
    </row>
    <row r="20" spans="1:17" x14ac:dyDescent="0.2">
      <c r="A20" s="892"/>
      <c r="B20" s="556"/>
      <c r="C20" s="556"/>
      <c r="D20" s="556"/>
      <c r="E20" s="566">
        <f t="shared" si="0"/>
        <v>0</v>
      </c>
      <c r="F20" s="253">
        <v>0</v>
      </c>
      <c r="G20" s="253">
        <v>0</v>
      </c>
      <c r="H20" s="253">
        <v>0</v>
      </c>
      <c r="I20" s="253">
        <v>0</v>
      </c>
      <c r="J20" s="253">
        <v>0</v>
      </c>
      <c r="K20" s="253">
        <v>0</v>
      </c>
      <c r="L20" s="253">
        <v>0</v>
      </c>
      <c r="M20" s="253">
        <v>0</v>
      </c>
      <c r="N20" s="253">
        <v>0</v>
      </c>
      <c r="O20" s="253">
        <v>0</v>
      </c>
      <c r="P20" s="253">
        <v>0</v>
      </c>
      <c r="Q20" s="253">
        <v>0</v>
      </c>
    </row>
    <row r="21" spans="1:17" x14ac:dyDescent="0.2">
      <c r="A21" s="892"/>
      <c r="B21" s="556"/>
      <c r="C21" s="556"/>
      <c r="D21" s="556"/>
      <c r="E21" s="566">
        <f t="shared" si="0"/>
        <v>0</v>
      </c>
      <c r="F21" s="253">
        <v>0</v>
      </c>
      <c r="G21" s="253">
        <v>0</v>
      </c>
      <c r="H21" s="253">
        <v>0</v>
      </c>
      <c r="I21" s="253">
        <v>0</v>
      </c>
      <c r="J21" s="253">
        <v>0</v>
      </c>
      <c r="K21" s="253">
        <v>0</v>
      </c>
      <c r="L21" s="253">
        <v>0</v>
      </c>
      <c r="M21" s="253">
        <v>0</v>
      </c>
      <c r="N21" s="253">
        <v>0</v>
      </c>
      <c r="O21" s="253">
        <v>0</v>
      </c>
      <c r="P21" s="253">
        <v>0</v>
      </c>
      <c r="Q21" s="253">
        <v>0</v>
      </c>
    </row>
    <row r="22" spans="1:17" x14ac:dyDescent="0.2">
      <c r="A22" s="892"/>
      <c r="B22" s="556"/>
      <c r="C22" s="556"/>
      <c r="D22" s="556"/>
      <c r="E22" s="566">
        <f t="shared" si="0"/>
        <v>0</v>
      </c>
      <c r="F22" s="253">
        <v>0</v>
      </c>
      <c r="G22" s="253">
        <v>0</v>
      </c>
      <c r="H22" s="253">
        <v>0</v>
      </c>
      <c r="I22" s="253">
        <v>0</v>
      </c>
      <c r="J22" s="253">
        <v>0</v>
      </c>
      <c r="K22" s="253">
        <v>0</v>
      </c>
      <c r="L22" s="253">
        <v>0</v>
      </c>
      <c r="M22" s="253">
        <v>0</v>
      </c>
      <c r="N22" s="253">
        <v>0</v>
      </c>
      <c r="O22" s="253">
        <v>0</v>
      </c>
      <c r="P22" s="253">
        <v>0</v>
      </c>
      <c r="Q22" s="253">
        <v>0</v>
      </c>
    </row>
    <row r="23" spans="1:17" x14ac:dyDescent="0.2">
      <c r="A23" s="892"/>
      <c r="B23" s="556"/>
      <c r="C23" s="556"/>
      <c r="D23" s="556"/>
      <c r="E23" s="566">
        <f t="shared" si="0"/>
        <v>0</v>
      </c>
      <c r="F23" s="253">
        <v>0</v>
      </c>
      <c r="G23" s="253">
        <v>0</v>
      </c>
      <c r="H23" s="253">
        <v>0</v>
      </c>
      <c r="I23" s="253">
        <v>0</v>
      </c>
      <c r="J23" s="253">
        <v>0</v>
      </c>
      <c r="K23" s="253">
        <v>0</v>
      </c>
      <c r="L23" s="253">
        <v>0</v>
      </c>
      <c r="M23" s="253">
        <v>0</v>
      </c>
      <c r="N23" s="253">
        <v>0</v>
      </c>
      <c r="O23" s="253">
        <v>0</v>
      </c>
      <c r="P23" s="253">
        <v>0</v>
      </c>
      <c r="Q23" s="253">
        <v>0</v>
      </c>
    </row>
    <row r="24" spans="1:17" x14ac:dyDescent="0.2">
      <c r="A24" s="892"/>
      <c r="B24" s="556"/>
      <c r="C24" s="556"/>
      <c r="D24" s="556"/>
      <c r="E24" s="566">
        <f t="shared" si="0"/>
        <v>0</v>
      </c>
      <c r="F24" s="253">
        <v>0</v>
      </c>
      <c r="G24" s="253">
        <v>0</v>
      </c>
      <c r="H24" s="253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</row>
    <row r="25" spans="1:17" x14ac:dyDescent="0.2">
      <c r="A25" s="892"/>
      <c r="B25" s="556"/>
      <c r="C25" s="556"/>
      <c r="D25" s="556"/>
      <c r="E25" s="566">
        <f t="shared" si="0"/>
        <v>0</v>
      </c>
      <c r="F25" s="253">
        <v>0</v>
      </c>
      <c r="G25" s="253">
        <v>0</v>
      </c>
      <c r="H25" s="253">
        <v>0</v>
      </c>
      <c r="I25" s="253">
        <v>0</v>
      </c>
      <c r="J25" s="253">
        <v>0</v>
      </c>
      <c r="K25" s="253">
        <v>0</v>
      </c>
      <c r="L25" s="253">
        <v>0</v>
      </c>
      <c r="M25" s="253">
        <v>0</v>
      </c>
      <c r="N25" s="253">
        <v>0</v>
      </c>
      <c r="O25" s="253">
        <v>0</v>
      </c>
      <c r="P25" s="253">
        <v>0</v>
      </c>
      <c r="Q25" s="253">
        <v>0</v>
      </c>
    </row>
    <row r="26" spans="1:17" x14ac:dyDescent="0.2">
      <c r="A26" s="892"/>
      <c r="B26" s="556"/>
      <c r="C26" s="556"/>
      <c r="D26" s="556"/>
      <c r="E26" s="566">
        <f t="shared" si="0"/>
        <v>0</v>
      </c>
      <c r="F26" s="253">
        <v>0</v>
      </c>
      <c r="G26" s="253">
        <v>0</v>
      </c>
      <c r="H26" s="253">
        <v>0</v>
      </c>
      <c r="I26" s="253">
        <v>0</v>
      </c>
      <c r="J26" s="253">
        <v>0</v>
      </c>
      <c r="K26" s="253">
        <v>0</v>
      </c>
      <c r="L26" s="253">
        <v>0</v>
      </c>
      <c r="M26" s="253">
        <v>0</v>
      </c>
      <c r="N26" s="253">
        <v>0</v>
      </c>
      <c r="O26" s="253">
        <v>0</v>
      </c>
      <c r="P26" s="253">
        <v>0</v>
      </c>
      <c r="Q26" s="253">
        <v>0</v>
      </c>
    </row>
    <row r="27" spans="1:17" x14ac:dyDescent="0.2">
      <c r="A27" s="892"/>
      <c r="B27" s="556"/>
      <c r="C27" s="556"/>
      <c r="D27" s="556"/>
      <c r="E27" s="561">
        <f t="shared" si="0"/>
        <v>0</v>
      </c>
      <c r="F27" s="253">
        <v>0</v>
      </c>
      <c r="G27" s="253">
        <v>0</v>
      </c>
      <c r="H27" s="253">
        <v>0</v>
      </c>
      <c r="I27" s="253">
        <v>0</v>
      </c>
      <c r="J27" s="253">
        <v>0</v>
      </c>
      <c r="K27" s="253">
        <v>0</v>
      </c>
      <c r="L27" s="253">
        <v>0</v>
      </c>
      <c r="M27" s="253">
        <v>0</v>
      </c>
      <c r="N27" s="253">
        <v>0</v>
      </c>
      <c r="O27" s="253">
        <v>0</v>
      </c>
      <c r="P27" s="253">
        <v>0</v>
      </c>
      <c r="Q27" s="253">
        <v>0</v>
      </c>
    </row>
    <row r="28" spans="1:17" ht="13.5" thickBot="1" x14ac:dyDescent="0.25">
      <c r="A28" s="893"/>
      <c r="B28" s="556"/>
      <c r="C28" s="556"/>
      <c r="D28" s="556"/>
      <c r="E28" s="561">
        <f t="shared" si="0"/>
        <v>0</v>
      </c>
      <c r="F28" s="253">
        <v>0</v>
      </c>
      <c r="G28" s="253">
        <v>0</v>
      </c>
      <c r="H28" s="253">
        <v>0</v>
      </c>
      <c r="I28" s="253">
        <v>0</v>
      </c>
      <c r="J28" s="253">
        <v>0</v>
      </c>
      <c r="K28" s="253">
        <v>0</v>
      </c>
      <c r="L28" s="253">
        <v>0</v>
      </c>
      <c r="M28" s="253">
        <v>0</v>
      </c>
      <c r="N28" s="253">
        <v>0</v>
      </c>
      <c r="O28" s="253">
        <v>0</v>
      </c>
      <c r="P28" s="253">
        <v>0</v>
      </c>
      <c r="Q28" s="253">
        <v>0</v>
      </c>
    </row>
    <row r="29" spans="1:17" ht="13.5" thickBot="1" x14ac:dyDescent="0.25">
      <c r="A29" s="896"/>
      <c r="B29" s="173"/>
      <c r="C29" s="255"/>
      <c r="D29" s="174"/>
      <c r="E29" s="195">
        <f>SUM(E7:E28)</f>
        <v>0</v>
      </c>
      <c r="F29" s="278">
        <f t="shared" ref="F29:Q29" si="1">SUM(F7:F28)</f>
        <v>0</v>
      </c>
      <c r="G29" s="278">
        <f t="shared" si="1"/>
        <v>0</v>
      </c>
      <c r="H29" s="278">
        <f t="shared" si="1"/>
        <v>0</v>
      </c>
      <c r="I29" s="278">
        <f t="shared" si="1"/>
        <v>0</v>
      </c>
      <c r="J29" s="278">
        <f t="shared" si="1"/>
        <v>0</v>
      </c>
      <c r="K29" s="278">
        <f t="shared" si="1"/>
        <v>0</v>
      </c>
      <c r="L29" s="278">
        <f t="shared" si="1"/>
        <v>0</v>
      </c>
      <c r="M29" s="278">
        <f t="shared" si="1"/>
        <v>0</v>
      </c>
      <c r="N29" s="278">
        <f t="shared" si="1"/>
        <v>0</v>
      </c>
      <c r="O29" s="278">
        <f t="shared" si="1"/>
        <v>0</v>
      </c>
      <c r="P29" s="278">
        <f t="shared" si="1"/>
        <v>0</v>
      </c>
      <c r="Q29" s="278">
        <f t="shared" si="1"/>
        <v>0</v>
      </c>
    </row>
    <row r="31" spans="1:17" x14ac:dyDescent="0.2">
      <c r="A31" s="251" t="s">
        <v>476</v>
      </c>
      <c r="B31" s="252"/>
      <c r="C31" s="252"/>
      <c r="D31" s="252"/>
    </row>
    <row r="65523" spans="6:6" x14ac:dyDescent="0.2">
      <c r="F65523" s="6">
        <v>0</v>
      </c>
    </row>
  </sheetData>
  <mergeCells count="21">
    <mergeCell ref="A2:E2"/>
    <mergeCell ref="A4:E4"/>
    <mergeCell ref="D5:D6"/>
    <mergeCell ref="B5:B6"/>
    <mergeCell ref="A5:A6"/>
    <mergeCell ref="A3:E3"/>
    <mergeCell ref="C5:C6"/>
    <mergeCell ref="E5:E6"/>
    <mergeCell ref="Q5:Q6"/>
    <mergeCell ref="F4:Q4"/>
    <mergeCell ref="F5:F6"/>
    <mergeCell ref="G5:G6"/>
    <mergeCell ref="H5:H6"/>
    <mergeCell ref="L5:L6"/>
    <mergeCell ref="O5:O6"/>
    <mergeCell ref="P5:P6"/>
    <mergeCell ref="K5:K6"/>
    <mergeCell ref="I5:I6"/>
    <mergeCell ref="N5:N6"/>
    <mergeCell ref="J5:J6"/>
    <mergeCell ref="M5:M6"/>
  </mergeCells>
  <phoneticPr fontId="27" type="noConversion"/>
  <pageMargins left="0.16" right="0.17" top="1" bottom="1" header="0" footer="0"/>
  <pageSetup scale="70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BASE!$F$3:$F$4</xm:f>
          </x14:formula1>
          <xm:sqref>A7:A28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K28"/>
  <sheetViews>
    <sheetView showGridLines="0" topLeftCell="A6" workbookViewId="0">
      <selection activeCell="G19" sqref="G19"/>
    </sheetView>
  </sheetViews>
  <sheetFormatPr baseColWidth="10" defaultRowHeight="12.75" x14ac:dyDescent="0.2"/>
  <cols>
    <col min="2" max="2" width="17" bestFit="1" customWidth="1"/>
    <col min="3" max="3" width="15" bestFit="1" customWidth="1"/>
    <col min="5" max="5" width="11.42578125" style="448"/>
    <col min="6" max="6" width="17.85546875" customWidth="1"/>
    <col min="7" max="7" width="15.85546875" customWidth="1"/>
    <col min="8" max="8" width="23" bestFit="1" customWidth="1"/>
    <col min="9" max="9" width="12" customWidth="1"/>
    <col min="10" max="10" width="3" customWidth="1"/>
    <col min="11" max="11" width="13.140625" bestFit="1" customWidth="1"/>
  </cols>
  <sheetData>
    <row r="1" spans="2:11" hidden="1" x14ac:dyDescent="0.2"/>
    <row r="2" spans="2:11" hidden="1" x14ac:dyDescent="0.2">
      <c r="C2" s="452" t="s">
        <v>418</v>
      </c>
      <c r="D2" s="453" t="s">
        <v>167</v>
      </c>
      <c r="E2" s="453" t="s">
        <v>629</v>
      </c>
    </row>
    <row r="3" spans="2:11" hidden="1" x14ac:dyDescent="0.2">
      <c r="C3" s="454" t="s">
        <v>637</v>
      </c>
      <c r="D3" s="455" t="e">
        <f>COUNTIFS(NOMINA!$B$22:$B$332,"*",NOMINA!#REF!,Hoja2!$C3)</f>
        <v>#REF!</v>
      </c>
      <c r="E3" s="455">
        <f>IFERROR(+D3/$D$5,0)</f>
        <v>0</v>
      </c>
      <c r="F3" s="446"/>
    </row>
    <row r="4" spans="2:11" hidden="1" x14ac:dyDescent="0.2">
      <c r="C4" s="454" t="s">
        <v>638</v>
      </c>
      <c r="D4" s="455" t="e">
        <f>COUNTIFS(NOMINA!$B$22:$B$332,"*",NOMINA!#REF!,Hoja2!$C4)</f>
        <v>#REF!</v>
      </c>
      <c r="E4" s="455">
        <f>IFERROR(+D4/$D$5,0)</f>
        <v>0</v>
      </c>
      <c r="F4" s="446"/>
      <c r="G4" s="446"/>
      <c r="H4" s="447"/>
      <c r="I4" s="447"/>
      <c r="J4" s="447"/>
      <c r="K4" s="447"/>
    </row>
    <row r="5" spans="2:11" hidden="1" x14ac:dyDescent="0.2">
      <c r="C5" s="456" t="s">
        <v>416</v>
      </c>
      <c r="D5" s="457" t="e">
        <f>+D3+D4</f>
        <v>#REF!</v>
      </c>
      <c r="E5" s="457"/>
      <c r="F5" s="446"/>
      <c r="G5" s="446"/>
      <c r="H5" s="447"/>
      <c r="I5" s="447"/>
      <c r="J5" s="447"/>
      <c r="K5" s="447"/>
    </row>
    <row r="6" spans="2:11" x14ac:dyDescent="0.2">
      <c r="C6" s="445"/>
      <c r="F6" s="446"/>
      <c r="G6" s="446"/>
      <c r="H6" s="447"/>
      <c r="I6" s="447"/>
      <c r="J6" s="447"/>
      <c r="K6" s="447"/>
    </row>
    <row r="7" spans="2:11" x14ac:dyDescent="0.2">
      <c r="B7" s="887" t="s">
        <v>154</v>
      </c>
      <c r="C7" s="888" t="s">
        <v>639</v>
      </c>
      <c r="D7" s="888" t="s">
        <v>167</v>
      </c>
      <c r="E7" s="461"/>
      <c r="F7" s="446"/>
      <c r="G7" s="446"/>
      <c r="H7" s="447"/>
      <c r="I7" s="447"/>
      <c r="J7" s="447"/>
      <c r="K7" s="447"/>
    </row>
    <row r="8" spans="2:11" x14ac:dyDescent="0.2">
      <c r="B8" s="449" t="s">
        <v>537</v>
      </c>
      <c r="C8" s="402">
        <f>IF(B8="","",VLOOKUP(B8,BASE!$F$20:$H$25,2,FALSE))</f>
        <v>6</v>
      </c>
      <c r="D8" s="354">
        <f>COUNTIFS(NOMINA!$B$22:$B$332,"*",NOMINA!$E$22:$E$332,Hoja2!$B8)</f>
        <v>11</v>
      </c>
      <c r="E8" s="470">
        <f t="shared" ref="E8:E13" si="0">IFERROR(+D8/$D$28,0)</f>
        <v>3.9855072463768113E-2</v>
      </c>
      <c r="I8" s="447"/>
      <c r="J8" s="447"/>
      <c r="K8" s="447"/>
    </row>
    <row r="9" spans="2:11" x14ac:dyDescent="0.2">
      <c r="B9" s="449" t="s">
        <v>538</v>
      </c>
      <c r="C9" s="402">
        <f>IF(B9="","",VLOOKUP(B9,BASE!$F$20:$H$25,2,FALSE))</f>
        <v>5</v>
      </c>
      <c r="D9" s="354">
        <f>COUNTIFS(NOMINA!$B$22:$B$332,"*",NOMINA!$E$22:$E$332,Hoja2!$B9)</f>
        <v>80</v>
      </c>
      <c r="E9" s="470">
        <f t="shared" si="0"/>
        <v>0.28985507246376813</v>
      </c>
      <c r="F9" s="446"/>
      <c r="G9" s="447"/>
    </row>
    <row r="10" spans="2:11" x14ac:dyDescent="0.2">
      <c r="B10" s="449" t="s">
        <v>539</v>
      </c>
      <c r="C10" s="402">
        <f>IF(B10="","",VLOOKUP(B10,BASE!$F$20:$H$25,2,FALSE))</f>
        <v>4</v>
      </c>
      <c r="D10" s="354">
        <f>COUNTIFS(NOMINA!$B$22:$B$332,"*",NOMINA!$E$22:$E$332,Hoja2!$B10)</f>
        <v>80</v>
      </c>
      <c r="E10" s="470">
        <f t="shared" si="0"/>
        <v>0.28985507246376813</v>
      </c>
      <c r="F10" s="446"/>
      <c r="G10" s="590"/>
    </row>
    <row r="11" spans="2:11" x14ac:dyDescent="0.2">
      <c r="B11" s="449" t="s">
        <v>540</v>
      </c>
      <c r="C11" s="402">
        <f>IF(B11="","",VLOOKUP(B11,BASE!$F$20:$H$25,2,FALSE))</f>
        <v>3</v>
      </c>
      <c r="D11" s="354">
        <f>COUNTIFS(NOMINA!$B$22:$B$332,"*",NOMINA!$E$22:$E$332,Hoja2!$B11)</f>
        <v>55</v>
      </c>
      <c r="E11" s="470">
        <f t="shared" si="0"/>
        <v>0.19927536231884058</v>
      </c>
      <c r="G11" s="590"/>
    </row>
    <row r="12" spans="2:11" x14ac:dyDescent="0.2">
      <c r="B12" s="449" t="s">
        <v>541</v>
      </c>
      <c r="C12" s="402">
        <f>IF(B12="","",VLOOKUP(B12,BASE!$F$20:$H$25,2,FALSE))</f>
        <v>2</v>
      </c>
      <c r="D12" s="354">
        <f>COUNTIFS(NOMINA!$B$22:$B$332,"*",NOMINA!$E$22:$E$332,Hoja2!$B12)</f>
        <v>44</v>
      </c>
      <c r="E12" s="470">
        <f t="shared" si="0"/>
        <v>0.15942028985507245</v>
      </c>
      <c r="F12" s="446"/>
      <c r="G12" s="447"/>
    </row>
    <row r="13" spans="2:11" x14ac:dyDescent="0.2">
      <c r="B13" s="450" t="s">
        <v>168</v>
      </c>
      <c r="C13" s="451">
        <f>IF(B13="","",VLOOKUP(B13,BASE!$F$20:$H$25,2,FALSE))</f>
        <v>1</v>
      </c>
      <c r="D13" s="472">
        <f>COUNTIFS(NOMINA!$B$22:$B$332,"*",NOMINA!$E$22:$E$332,Hoja2!$B13)</f>
        <v>6</v>
      </c>
      <c r="E13" s="474">
        <f t="shared" si="0"/>
        <v>2.1739130434782608E-2</v>
      </c>
      <c r="F13" s="446"/>
      <c r="G13" s="447"/>
    </row>
    <row r="14" spans="2:11" x14ac:dyDescent="0.2">
      <c r="B14" s="591"/>
      <c r="C14" s="402"/>
      <c r="D14" s="354"/>
      <c r="E14" s="592"/>
      <c r="F14" s="446"/>
      <c r="G14" s="447"/>
    </row>
    <row r="15" spans="2:11" x14ac:dyDescent="0.2">
      <c r="C15" s="593" t="s">
        <v>531</v>
      </c>
      <c r="D15" s="421">
        <f>COUNTIFS(NOMINA!$B$22:$B$332,"*",NOMINA!$C$22:$C$332,Hoja2!$C15)</f>
        <v>0</v>
      </c>
      <c r="E15" s="468">
        <f t="shared" ref="E15:E21" si="1">IFERROR(+D15/$D$22,0)</f>
        <v>0</v>
      </c>
      <c r="F15" s="446"/>
      <c r="G15" s="447"/>
    </row>
    <row r="16" spans="2:11" x14ac:dyDescent="0.2">
      <c r="C16" s="469" t="s">
        <v>532</v>
      </c>
      <c r="D16" s="354">
        <f>COUNTIFS(NOMINA!$B$22:$B$332,"*",NOMINA!$C$22:$C$332,Hoja2!$C16)</f>
        <v>0</v>
      </c>
      <c r="E16" s="470">
        <f t="shared" si="1"/>
        <v>0</v>
      </c>
      <c r="F16" s="446"/>
      <c r="G16" s="447"/>
    </row>
    <row r="17" spans="2:7" x14ac:dyDescent="0.2">
      <c r="C17" s="469" t="s">
        <v>533</v>
      </c>
      <c r="D17" s="354">
        <f>COUNTIFS(NOMINA!$B$22:$B$332,"*",NOMINA!$C$22:$C$332,Hoja2!$C17)</f>
        <v>0</v>
      </c>
      <c r="E17" s="470">
        <f t="shared" si="1"/>
        <v>0</v>
      </c>
      <c r="F17" s="446"/>
      <c r="G17" s="447"/>
    </row>
    <row r="18" spans="2:7" x14ac:dyDescent="0.2">
      <c r="C18" s="469" t="s">
        <v>534</v>
      </c>
      <c r="D18" s="354">
        <f>COUNTIFS(NOMINA!$B$22:$B$332,"*",NOMINA!$C$22:$C$332,Hoja2!$C18)</f>
        <v>2</v>
      </c>
      <c r="E18" s="470">
        <f t="shared" si="1"/>
        <v>0.10526315789473684</v>
      </c>
      <c r="F18" s="446"/>
      <c r="G18" s="447"/>
    </row>
    <row r="19" spans="2:7" x14ac:dyDescent="0.2">
      <c r="C19" s="469" t="s">
        <v>535</v>
      </c>
      <c r="D19" s="354">
        <f>COUNTIFS(NOMINA!$B$22:$B$332,"*",NOMINA!$C$22:$C$332,Hoja2!$C19)</f>
        <v>3</v>
      </c>
      <c r="E19" s="470">
        <f t="shared" si="1"/>
        <v>0.15789473684210525</v>
      </c>
      <c r="F19" s="446"/>
      <c r="G19" s="447"/>
    </row>
    <row r="20" spans="2:7" x14ac:dyDescent="0.2">
      <c r="C20" s="475" t="s">
        <v>536</v>
      </c>
      <c r="D20" s="354">
        <f>COUNTIFS(NOMINA!$B$22:$B$332,"*",NOMINA!$C$22:$C$332,Hoja2!$C20)</f>
        <v>10</v>
      </c>
      <c r="E20" s="470">
        <f t="shared" si="1"/>
        <v>0.52631578947368418</v>
      </c>
    </row>
    <row r="21" spans="2:7" x14ac:dyDescent="0.2">
      <c r="C21" s="475" t="s">
        <v>542</v>
      </c>
      <c r="D21" s="354">
        <f>COUNTIFS(NOMINA!$B$22:$B$332,"*",NOMINA!$C$22:$C$332,Hoja2!$C21)</f>
        <v>4</v>
      </c>
      <c r="E21" s="470">
        <f t="shared" si="1"/>
        <v>0.21052631578947367</v>
      </c>
    </row>
    <row r="22" spans="2:7" x14ac:dyDescent="0.2">
      <c r="C22" s="471" t="s">
        <v>167</v>
      </c>
      <c r="D22" s="472">
        <f>SUM(D15:D21)</f>
        <v>19</v>
      </c>
      <c r="E22" s="473"/>
    </row>
    <row r="23" spans="2:7" x14ac:dyDescent="0.2">
      <c r="B23" s="445"/>
    </row>
    <row r="24" spans="2:7" x14ac:dyDescent="0.2">
      <c r="B24" s="458" t="s">
        <v>261</v>
      </c>
      <c r="C24" s="459">
        <f>IF(B24="","",VLOOKUP(B24,BASE!$B$15:$C$18,2,FALSE))</f>
        <v>1</v>
      </c>
      <c r="D24" s="460">
        <f>COUNTIFS(NOMINA!$B$22:$B$332,"*",NOMINA!$F$22:$F$332,Hoja2!$B24)</f>
        <v>9</v>
      </c>
      <c r="E24" s="465">
        <f>IFERROR(+D24/$D$28,0)</f>
        <v>3.2608695652173912E-2</v>
      </c>
    </row>
    <row r="25" spans="2:7" x14ac:dyDescent="0.2">
      <c r="B25" s="449" t="s">
        <v>258</v>
      </c>
      <c r="C25" s="403">
        <f>IF(B25="","",VLOOKUP(B25,BASE!$B$15:$C$18,2,FALSE))</f>
        <v>2</v>
      </c>
      <c r="D25" s="399">
        <f>COUNTIFS(NOMINA!$B$22:$B$332,"*",NOMINA!$F$22:$F$332,Hoja2!$B25)</f>
        <v>41</v>
      </c>
      <c r="E25" s="467">
        <f>IFERROR(+D25/$D$28,0)</f>
        <v>0.14855072463768115</v>
      </c>
    </row>
    <row r="26" spans="2:7" x14ac:dyDescent="0.2">
      <c r="B26" s="449" t="s">
        <v>546</v>
      </c>
      <c r="C26" s="403">
        <f>IF(B26="","",VLOOKUP(B26,BASE!$B$15:$C$18,2,FALSE))</f>
        <v>3</v>
      </c>
      <c r="D26" s="399">
        <f>COUNTIFS(NOMINA!$B$22:$B$332,"*",NOMINA!$F$22:$F$332,Hoja2!$B26)</f>
        <v>153</v>
      </c>
      <c r="E26" s="467">
        <f>IFERROR(+D26/$D$28,0)</f>
        <v>0.55434782608695654</v>
      </c>
    </row>
    <row r="27" spans="2:7" x14ac:dyDescent="0.2">
      <c r="B27" s="886" t="s">
        <v>863</v>
      </c>
      <c r="C27" s="403">
        <f>IF(B27="","",VLOOKUP(B27,BASE!$B$15:$C$18,2,FALSE))</f>
        <v>4</v>
      </c>
      <c r="D27" s="399">
        <f>COUNTIFS(NOMINA!$B$22:$B$332,"*",NOMINA!$F$22:$F$332,Hoja2!$B27)</f>
        <v>73</v>
      </c>
      <c r="E27" s="467">
        <f>IFERROR(+D27/$D$28,0)</f>
        <v>0.26449275362318841</v>
      </c>
    </row>
    <row r="28" spans="2:7" x14ac:dyDescent="0.2">
      <c r="B28" s="462" t="s">
        <v>635</v>
      </c>
      <c r="C28" s="463" t="s">
        <v>167</v>
      </c>
      <c r="D28" s="464">
        <f>SUM(D24:D27)</f>
        <v>276</v>
      </c>
      <c r="E28" s="466" t="s">
        <v>629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K255"/>
  <sheetViews>
    <sheetView showGridLines="0" zoomScale="90" zoomScaleNormal="90" workbookViewId="0">
      <selection activeCell="V30" sqref="V30"/>
    </sheetView>
  </sheetViews>
  <sheetFormatPr baseColWidth="10" defaultRowHeight="12.75" x14ac:dyDescent="0.2"/>
  <cols>
    <col min="1" max="1" width="11.28515625" style="445" customWidth="1"/>
    <col min="2" max="2" width="28.42578125" customWidth="1"/>
    <col min="3" max="3" width="15.85546875" customWidth="1"/>
    <col min="4" max="12" width="12.7109375" customWidth="1"/>
    <col min="13" max="13" width="14.85546875" customWidth="1"/>
    <col min="14" max="14" width="17.28515625" customWidth="1"/>
    <col min="15" max="15" width="17.85546875" customWidth="1"/>
    <col min="16" max="17" width="12.7109375" customWidth="1"/>
    <col min="18" max="18" width="17.5703125" customWidth="1"/>
    <col min="19" max="19" width="12.5703125" customWidth="1"/>
    <col min="20" max="21" width="12.7109375" customWidth="1"/>
    <col min="22" max="22" width="16.85546875" customWidth="1"/>
    <col min="23" max="89" width="11.42578125" style="237"/>
  </cols>
  <sheetData>
    <row r="1" spans="1:23" x14ac:dyDescent="0.2">
      <c r="A1" s="623"/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 t="s">
        <v>1231</v>
      </c>
      <c r="O1" s="237"/>
      <c r="P1" s="237"/>
      <c r="Q1" s="237"/>
      <c r="R1" s="237"/>
      <c r="S1" s="237"/>
      <c r="T1" s="237"/>
      <c r="U1" s="237"/>
      <c r="V1" s="237"/>
    </row>
    <row r="2" spans="1:23" ht="20.25" customHeight="1" x14ac:dyDescent="0.25">
      <c r="A2" s="1255" t="s">
        <v>442</v>
      </c>
      <c r="B2" s="1255"/>
      <c r="C2" s="1255"/>
      <c r="D2" s="1255"/>
      <c r="E2" s="1255"/>
      <c r="F2" s="1255"/>
      <c r="G2" s="1255"/>
      <c r="H2" s="1255"/>
      <c r="I2" s="1255"/>
      <c r="J2" s="1255"/>
      <c r="K2" s="1255"/>
      <c r="L2" s="1255"/>
      <c r="M2" s="1255"/>
      <c r="N2" s="1255"/>
      <c r="O2" s="1255"/>
      <c r="P2" s="1255"/>
      <c r="Q2" s="1255"/>
      <c r="R2" s="1255"/>
      <c r="S2" s="1255"/>
      <c r="T2" s="1255"/>
      <c r="U2" s="1255"/>
      <c r="V2" s="1255"/>
    </row>
    <row r="3" spans="1:23" ht="20.25" customHeight="1" x14ac:dyDescent="0.25">
      <c r="A3" s="1254" t="str">
        <f>+PRESUPUESTO!B2</f>
        <v>MEDICINA PREGRADO</v>
      </c>
      <c r="B3" s="1254"/>
      <c r="C3" s="1254"/>
      <c r="D3" s="1254"/>
      <c r="E3" s="1254"/>
      <c r="F3" s="1254"/>
      <c r="G3" s="1254"/>
      <c r="H3" s="1254"/>
      <c r="I3" s="1254"/>
      <c r="J3" s="1254"/>
      <c r="K3" s="1254"/>
      <c r="L3" s="1254"/>
      <c r="M3" s="1254"/>
      <c r="N3" s="1254"/>
      <c r="O3" s="1254"/>
      <c r="P3" s="1254"/>
      <c r="Q3" s="1254"/>
      <c r="R3" s="1254"/>
      <c r="S3" s="1254"/>
      <c r="T3" s="1254"/>
      <c r="U3" s="1254"/>
      <c r="V3" s="1254"/>
    </row>
    <row r="4" spans="1:23" ht="20.25" customHeight="1" thickBot="1" x14ac:dyDescent="0.3">
      <c r="A4" s="1256" t="s">
        <v>875</v>
      </c>
      <c r="B4" s="1256"/>
      <c r="C4" s="1256"/>
      <c r="D4" s="1256"/>
      <c r="E4" s="1256"/>
      <c r="F4" s="1256"/>
      <c r="G4" s="1256"/>
      <c r="H4" s="1309"/>
      <c r="I4" s="1309"/>
      <c r="J4" s="1309"/>
      <c r="K4" s="1309"/>
      <c r="L4" s="1309"/>
      <c r="M4" s="1309"/>
      <c r="N4" s="1256"/>
      <c r="O4" s="1256"/>
      <c r="P4" s="1309"/>
      <c r="Q4" s="1309"/>
      <c r="R4" s="1256"/>
      <c r="S4" s="1256"/>
      <c r="T4" s="1256"/>
      <c r="U4" s="1256"/>
      <c r="V4" s="1256"/>
    </row>
    <row r="5" spans="1:23" ht="12.75" customHeight="1" x14ac:dyDescent="0.2">
      <c r="A5" s="1312" t="s">
        <v>418</v>
      </c>
      <c r="B5" s="1259" t="s">
        <v>441</v>
      </c>
      <c r="C5" s="1310" t="s">
        <v>1291</v>
      </c>
      <c r="D5" s="1310" t="s">
        <v>1292</v>
      </c>
      <c r="E5" s="1310" t="s">
        <v>1293</v>
      </c>
      <c r="F5" s="1310" t="s">
        <v>1294</v>
      </c>
      <c r="G5" s="1310" t="s">
        <v>1295</v>
      </c>
      <c r="H5" s="1310" t="s">
        <v>1296</v>
      </c>
      <c r="I5" s="1310" t="s">
        <v>1297</v>
      </c>
      <c r="J5" s="1310" t="s">
        <v>1298</v>
      </c>
      <c r="K5" s="1310" t="s">
        <v>1299</v>
      </c>
      <c r="L5" s="1310" t="s">
        <v>1300</v>
      </c>
      <c r="M5" s="1310" t="s">
        <v>1301</v>
      </c>
      <c r="N5" s="1310" t="s">
        <v>1302</v>
      </c>
      <c r="O5" s="1310" t="s">
        <v>1303</v>
      </c>
      <c r="P5" s="1310" t="s">
        <v>1304</v>
      </c>
      <c r="Q5" s="1310" t="s">
        <v>1305</v>
      </c>
      <c r="R5" s="1310" t="s">
        <v>1306</v>
      </c>
      <c r="S5" s="1310" t="s">
        <v>1307</v>
      </c>
      <c r="T5" s="1310" t="s">
        <v>1308</v>
      </c>
      <c r="U5" s="1310" t="s">
        <v>1309</v>
      </c>
      <c r="V5" s="1261" t="s">
        <v>869</v>
      </c>
    </row>
    <row r="6" spans="1:23" ht="44.25" customHeight="1" thickBot="1" x14ac:dyDescent="0.25">
      <c r="A6" s="1313"/>
      <c r="B6" s="1260"/>
      <c r="C6" s="1311"/>
      <c r="D6" s="1311"/>
      <c r="E6" s="1311"/>
      <c r="F6" s="1311"/>
      <c r="G6" s="1311"/>
      <c r="H6" s="1311"/>
      <c r="I6" s="1311"/>
      <c r="J6" s="1311"/>
      <c r="K6" s="1311"/>
      <c r="L6" s="1311"/>
      <c r="M6" s="1311"/>
      <c r="N6" s="1311"/>
      <c r="O6" s="1311"/>
      <c r="P6" s="1311"/>
      <c r="Q6" s="1311"/>
      <c r="R6" s="1311"/>
      <c r="S6" s="1311"/>
      <c r="T6" s="1311"/>
      <c r="U6" s="1311"/>
      <c r="V6" s="1262"/>
    </row>
    <row r="7" spans="1:23" ht="13.5" thickBot="1" x14ac:dyDescent="0.25">
      <c r="A7" s="1251" t="s">
        <v>0</v>
      </c>
      <c r="B7" s="1252"/>
      <c r="C7" s="240"/>
      <c r="D7" s="240"/>
      <c r="E7" s="240"/>
      <c r="F7" s="240"/>
      <c r="G7" s="240"/>
      <c r="H7" s="240"/>
      <c r="I7" s="1012"/>
      <c r="J7" s="1012"/>
      <c r="K7" s="1012"/>
      <c r="L7" s="1012"/>
      <c r="M7" s="1012"/>
      <c r="N7" s="1012"/>
      <c r="O7" s="1012"/>
      <c r="P7" s="1012"/>
      <c r="Q7" s="1012"/>
      <c r="R7" s="1012"/>
      <c r="S7" s="1012"/>
      <c r="T7" s="240"/>
      <c r="U7" s="240"/>
      <c r="V7" s="238"/>
    </row>
    <row r="8" spans="1:23" ht="13.5" thickBot="1" x14ac:dyDescent="0.25">
      <c r="A8" s="910"/>
      <c r="B8" s="245" t="s">
        <v>832</v>
      </c>
      <c r="C8" s="1001">
        <v>82320000</v>
      </c>
      <c r="D8" s="1001">
        <v>110000000</v>
      </c>
      <c r="E8" s="1001">
        <v>200000000</v>
      </c>
      <c r="F8" s="1001">
        <v>293250000</v>
      </c>
      <c r="G8" s="1001">
        <v>197700000</v>
      </c>
      <c r="H8" s="1001">
        <v>153600000</v>
      </c>
      <c r="I8" s="1001">
        <v>25547178</v>
      </c>
      <c r="J8" s="1001">
        <v>100000000</v>
      </c>
      <c r="K8" s="1001">
        <v>48000000</v>
      </c>
      <c r="L8" s="1001">
        <v>7625000</v>
      </c>
      <c r="M8" s="1001">
        <v>35805000</v>
      </c>
      <c r="N8" s="1001">
        <v>26669200</v>
      </c>
      <c r="O8" s="1001">
        <v>19505600</v>
      </c>
      <c r="P8" s="1001">
        <v>30375000</v>
      </c>
      <c r="Q8" s="1001">
        <v>10200000</v>
      </c>
      <c r="R8" s="1001">
        <v>53760000</v>
      </c>
      <c r="S8" s="1001">
        <v>0</v>
      </c>
      <c r="T8" s="1001">
        <v>95434850</v>
      </c>
      <c r="U8" s="1001">
        <v>0</v>
      </c>
      <c r="V8" s="554">
        <f>SUM(C8:U8)</f>
        <v>1489791828</v>
      </c>
    </row>
    <row r="9" spans="1:23" x14ac:dyDescent="0.2">
      <c r="A9" s="910"/>
      <c r="B9" s="245" t="s">
        <v>833</v>
      </c>
      <c r="C9" s="1001"/>
      <c r="D9" s="1001"/>
      <c r="E9" s="1001"/>
      <c r="F9" s="1001"/>
      <c r="G9" s="1001"/>
      <c r="H9" s="1001"/>
      <c r="I9" s="1001"/>
      <c r="J9" s="1001"/>
      <c r="K9" s="1001"/>
      <c r="L9" s="1001"/>
      <c r="M9" s="1001"/>
      <c r="N9" s="1001"/>
      <c r="O9" s="1001"/>
      <c r="P9" s="1001"/>
      <c r="Q9" s="1001"/>
      <c r="R9" s="1001"/>
      <c r="S9" s="1001">
        <v>15000000</v>
      </c>
      <c r="T9" s="1001"/>
      <c r="U9" s="1001">
        <v>17000000</v>
      </c>
      <c r="V9" s="554">
        <f>SUM(C9:U9)</f>
        <v>32000000</v>
      </c>
    </row>
    <row r="10" spans="1:23" ht="13.5" thickBot="1" x14ac:dyDescent="0.25">
      <c r="A10" s="1253" t="s">
        <v>444</v>
      </c>
      <c r="B10" s="1252"/>
      <c r="C10" s="271">
        <f>SUM(C8:C9)</f>
        <v>82320000</v>
      </c>
      <c r="D10" s="271">
        <f t="shared" ref="D10:U10" si="0">SUM(D8:D9)</f>
        <v>110000000</v>
      </c>
      <c r="E10" s="271">
        <f t="shared" si="0"/>
        <v>200000000</v>
      </c>
      <c r="F10" s="271">
        <f t="shared" si="0"/>
        <v>293250000</v>
      </c>
      <c r="G10" s="271">
        <f t="shared" si="0"/>
        <v>197700000</v>
      </c>
      <c r="H10" s="271">
        <f t="shared" ref="H10:M10" si="1">SUM(H8:H9)</f>
        <v>153600000</v>
      </c>
      <c r="I10" s="271">
        <f t="shared" si="1"/>
        <v>25547178</v>
      </c>
      <c r="J10" s="271">
        <f t="shared" si="1"/>
        <v>100000000</v>
      </c>
      <c r="K10" s="271">
        <f t="shared" si="1"/>
        <v>48000000</v>
      </c>
      <c r="L10" s="271">
        <f t="shared" si="1"/>
        <v>7625000</v>
      </c>
      <c r="M10" s="271">
        <f t="shared" si="1"/>
        <v>35805000</v>
      </c>
      <c r="N10" s="271">
        <f t="shared" si="0"/>
        <v>26669200</v>
      </c>
      <c r="O10" s="271">
        <f t="shared" si="0"/>
        <v>19505600</v>
      </c>
      <c r="P10" s="271">
        <f t="shared" ref="P10:Q10" si="2">SUM(P8:P9)</f>
        <v>30375000</v>
      </c>
      <c r="Q10" s="271">
        <f t="shared" si="2"/>
        <v>10200000</v>
      </c>
      <c r="R10" s="271">
        <f t="shared" si="0"/>
        <v>53760000</v>
      </c>
      <c r="S10" s="271">
        <f t="shared" si="0"/>
        <v>15000000</v>
      </c>
      <c r="T10" s="271">
        <f t="shared" si="0"/>
        <v>95434850</v>
      </c>
      <c r="U10" s="271">
        <f t="shared" si="0"/>
        <v>17000000</v>
      </c>
      <c r="V10" s="271">
        <f>SUM(C10:U10)</f>
        <v>1521791828</v>
      </c>
    </row>
    <row r="11" spans="1:23" ht="13.5" thickBot="1" x14ac:dyDescent="0.25">
      <c r="A11" s="911"/>
      <c r="B11" s="244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554"/>
    </row>
    <row r="12" spans="1:23" ht="13.5" thickBot="1" x14ac:dyDescent="0.25">
      <c r="A12" s="1253" t="s">
        <v>445</v>
      </c>
      <c r="B12" s="1272"/>
      <c r="C12" s="899"/>
      <c r="D12" s="899"/>
      <c r="E12" s="899"/>
      <c r="F12" s="899"/>
      <c r="G12" s="899"/>
      <c r="H12" s="899"/>
      <c r="I12" s="899"/>
      <c r="J12" s="899"/>
      <c r="K12" s="899"/>
      <c r="L12" s="899"/>
      <c r="M12" s="899"/>
      <c r="N12" s="899"/>
      <c r="O12" s="899"/>
      <c r="P12" s="899"/>
      <c r="Q12" s="899"/>
      <c r="R12" s="899"/>
      <c r="S12" s="899"/>
      <c r="T12" s="899"/>
      <c r="U12" s="899"/>
      <c r="V12" s="1037" t="s">
        <v>1310</v>
      </c>
    </row>
    <row r="13" spans="1:23" x14ac:dyDescent="0.2">
      <c r="A13" s="912">
        <v>5110350300</v>
      </c>
      <c r="B13" s="902" t="s">
        <v>223</v>
      </c>
      <c r="C13" s="1006">
        <v>34916000</v>
      </c>
      <c r="D13" s="1006">
        <v>60000000</v>
      </c>
      <c r="E13" s="1006">
        <v>104693930</v>
      </c>
      <c r="F13" s="1001">
        <v>64935000</v>
      </c>
      <c r="G13" s="1001">
        <v>19770000</v>
      </c>
      <c r="H13" s="1001">
        <v>80040000</v>
      </c>
      <c r="I13" s="1001">
        <v>6554718</v>
      </c>
      <c r="J13" s="1001">
        <v>20278500</v>
      </c>
      <c r="K13" s="1001">
        <v>13740000</v>
      </c>
      <c r="L13" s="1001">
        <v>1800000</v>
      </c>
      <c r="M13" s="1001">
        <v>21180500</v>
      </c>
      <c r="N13" s="1001">
        <v>14946920</v>
      </c>
      <c r="O13" s="1001">
        <v>7950560</v>
      </c>
      <c r="P13" s="1001">
        <v>14477500</v>
      </c>
      <c r="Q13" s="1001">
        <v>1020000</v>
      </c>
      <c r="R13" s="1001">
        <v>18516000</v>
      </c>
      <c r="S13" s="1001">
        <v>3527000</v>
      </c>
      <c r="T13" s="1001">
        <v>57196728</v>
      </c>
      <c r="U13" s="1001">
        <v>850000</v>
      </c>
      <c r="V13" s="905">
        <f t="shared" ref="V13:V27" si="3">SUM(C13:U13)</f>
        <v>546393356</v>
      </c>
      <c r="W13" s="623"/>
    </row>
    <row r="14" spans="1:23" x14ac:dyDescent="0.2">
      <c r="A14" s="913">
        <v>5120950000</v>
      </c>
      <c r="B14" s="245" t="s">
        <v>446</v>
      </c>
      <c r="C14" s="1006"/>
      <c r="D14" s="1006"/>
      <c r="E14" s="1006"/>
      <c r="F14" s="1001"/>
      <c r="G14" s="1001">
        <v>5700000</v>
      </c>
      <c r="H14" s="1001"/>
      <c r="I14" s="1001"/>
      <c r="J14" s="1001"/>
      <c r="K14" s="1001"/>
      <c r="L14" s="1001"/>
      <c r="M14" s="1001"/>
      <c r="N14" s="1001"/>
      <c r="O14" s="1001"/>
      <c r="P14" s="1001"/>
      <c r="Q14" s="1001"/>
      <c r="R14" s="1001">
        <v>9000000</v>
      </c>
      <c r="S14" s="1001"/>
      <c r="T14" s="1001"/>
      <c r="U14" s="1001"/>
      <c r="V14" s="554">
        <f t="shared" si="3"/>
        <v>14700000</v>
      </c>
      <c r="W14" s="623"/>
    </row>
    <row r="15" spans="1:23" x14ac:dyDescent="0.2">
      <c r="A15" s="913">
        <v>5130100000</v>
      </c>
      <c r="B15" s="245" t="s">
        <v>447</v>
      </c>
      <c r="C15" s="1006"/>
      <c r="D15" s="1006"/>
      <c r="E15" s="1006"/>
      <c r="F15" s="1001"/>
      <c r="G15" s="1001"/>
      <c r="H15" s="1001"/>
      <c r="I15" s="1001"/>
      <c r="J15" s="1001"/>
      <c r="K15" s="1001"/>
      <c r="L15" s="1001"/>
      <c r="M15" s="1001"/>
      <c r="N15" s="1001"/>
      <c r="O15" s="1001"/>
      <c r="P15" s="1001"/>
      <c r="Q15" s="1001"/>
      <c r="R15" s="1001"/>
      <c r="S15" s="1001"/>
      <c r="T15" s="1001"/>
      <c r="U15" s="1001"/>
      <c r="V15" s="554">
        <f t="shared" si="3"/>
        <v>0</v>
      </c>
      <c r="W15" s="623"/>
    </row>
    <row r="16" spans="1:23" x14ac:dyDescent="0.2">
      <c r="A16" s="913">
        <v>5135400000</v>
      </c>
      <c r="B16" s="245" t="s">
        <v>448</v>
      </c>
      <c r="C16" s="1006"/>
      <c r="D16" s="1006"/>
      <c r="E16" s="1006"/>
      <c r="F16" s="1001"/>
      <c r="G16" s="1001"/>
      <c r="H16" s="1001"/>
      <c r="I16" s="1001"/>
      <c r="J16" s="1001"/>
      <c r="K16" s="1001"/>
      <c r="L16" s="1001"/>
      <c r="M16" s="1001"/>
      <c r="N16" s="1001"/>
      <c r="O16" s="1001"/>
      <c r="P16" s="1001"/>
      <c r="Q16" s="1001"/>
      <c r="R16" s="1001"/>
      <c r="S16" s="1001"/>
      <c r="T16" s="1001"/>
      <c r="U16" s="1001"/>
      <c r="V16" s="554">
        <f t="shared" si="3"/>
        <v>0</v>
      </c>
      <c r="W16" s="623"/>
    </row>
    <row r="17" spans="1:23" x14ac:dyDescent="0.2">
      <c r="A17" s="913">
        <v>5135950500</v>
      </c>
      <c r="B17" s="245" t="s">
        <v>449</v>
      </c>
      <c r="C17" s="1006">
        <v>1646400</v>
      </c>
      <c r="D17" s="1006">
        <v>5520000</v>
      </c>
      <c r="E17" s="1006">
        <v>5996100</v>
      </c>
      <c r="F17" s="1001">
        <v>8797500</v>
      </c>
      <c r="G17" s="1001">
        <v>1977000</v>
      </c>
      <c r="H17" s="1001">
        <v>4608000</v>
      </c>
      <c r="I17" s="1001">
        <v>766415</v>
      </c>
      <c r="J17" s="1001">
        <v>3000000</v>
      </c>
      <c r="K17" s="1001">
        <v>1920000</v>
      </c>
      <c r="L17" s="1001">
        <v>528750</v>
      </c>
      <c r="M17" s="1001">
        <v>1074150</v>
      </c>
      <c r="N17" s="1001">
        <v>800076</v>
      </c>
      <c r="O17" s="1001">
        <v>585168</v>
      </c>
      <c r="P17" s="1001">
        <v>600000</v>
      </c>
      <c r="Q17" s="1001">
        <v>408000</v>
      </c>
      <c r="R17" s="1001">
        <v>555480</v>
      </c>
      <c r="S17" s="1001">
        <v>600000</v>
      </c>
      <c r="T17" s="1001">
        <v>1908697</v>
      </c>
      <c r="U17" s="1001">
        <v>810000</v>
      </c>
      <c r="V17" s="554">
        <f t="shared" si="3"/>
        <v>42101736</v>
      </c>
      <c r="W17" s="623"/>
    </row>
    <row r="18" spans="1:23" x14ac:dyDescent="0.2">
      <c r="A18" s="913">
        <v>5135950600</v>
      </c>
      <c r="B18" s="245" t="s">
        <v>450</v>
      </c>
      <c r="C18" s="1006"/>
      <c r="D18" s="1006"/>
      <c r="E18" s="1006"/>
      <c r="F18" s="1001"/>
      <c r="G18" s="1001"/>
      <c r="H18" s="1001"/>
      <c r="I18" s="1001"/>
      <c r="J18" s="1001"/>
      <c r="K18" s="1001"/>
      <c r="L18" s="1001"/>
      <c r="M18" s="1001"/>
      <c r="N18" s="1001"/>
      <c r="O18" s="1001"/>
      <c r="P18" s="1001"/>
      <c r="Q18" s="1001"/>
      <c r="R18" s="1001"/>
      <c r="S18" s="1001"/>
      <c r="T18" s="1001"/>
      <c r="U18" s="1001"/>
      <c r="V18" s="554">
        <f t="shared" si="3"/>
        <v>0</v>
      </c>
      <c r="W18" s="623"/>
    </row>
    <row r="19" spans="1:23" x14ac:dyDescent="0.2">
      <c r="A19" s="913">
        <v>5155050000</v>
      </c>
      <c r="B19" s="245" t="s">
        <v>420</v>
      </c>
      <c r="C19" s="1006">
        <v>1890000</v>
      </c>
      <c r="D19" s="1006"/>
      <c r="E19" s="1006"/>
      <c r="F19" s="1001"/>
      <c r="G19" s="1001">
        <v>9720000</v>
      </c>
      <c r="H19" s="1001"/>
      <c r="I19" s="1001"/>
      <c r="J19" s="1001"/>
      <c r="K19" s="1001"/>
      <c r="L19" s="1001"/>
      <c r="M19" s="1001"/>
      <c r="N19" s="1001"/>
      <c r="O19" s="1001"/>
      <c r="P19" s="1001"/>
      <c r="Q19" s="1001"/>
      <c r="R19" s="1001"/>
      <c r="S19" s="1001"/>
      <c r="T19" s="1001"/>
      <c r="U19" s="1001"/>
      <c r="V19" s="554">
        <f t="shared" si="3"/>
        <v>11610000</v>
      </c>
      <c r="W19" s="623"/>
    </row>
    <row r="20" spans="1:23" x14ac:dyDescent="0.2">
      <c r="A20" s="913">
        <v>5155150000</v>
      </c>
      <c r="B20" s="245" t="s">
        <v>233</v>
      </c>
      <c r="C20" s="1006">
        <v>3500000</v>
      </c>
      <c r="D20" s="1006"/>
      <c r="E20" s="1006"/>
      <c r="F20" s="1001"/>
      <c r="G20" s="1001">
        <v>31500000</v>
      </c>
      <c r="H20" s="1001">
        <v>480000</v>
      </c>
      <c r="I20" s="1001"/>
      <c r="J20" s="1001"/>
      <c r="K20" s="1001"/>
      <c r="L20" s="1001"/>
      <c r="M20" s="1001"/>
      <c r="N20" s="1001">
        <v>0</v>
      </c>
      <c r="O20" s="1001"/>
      <c r="P20" s="1001"/>
      <c r="Q20" s="1001"/>
      <c r="R20" s="1001"/>
      <c r="S20" s="1001"/>
      <c r="T20" s="1001"/>
      <c r="U20" s="1001"/>
      <c r="V20" s="554">
        <f t="shared" si="3"/>
        <v>35480000</v>
      </c>
      <c r="W20" s="623"/>
    </row>
    <row r="21" spans="1:23" x14ac:dyDescent="0.2">
      <c r="A21" s="913">
        <v>5195200000</v>
      </c>
      <c r="B21" s="245" t="s">
        <v>452</v>
      </c>
      <c r="C21" s="1006">
        <v>0</v>
      </c>
      <c r="D21" s="1006"/>
      <c r="E21" s="1006">
        <v>2530000</v>
      </c>
      <c r="F21" s="1001">
        <v>0</v>
      </c>
      <c r="G21" s="1001">
        <v>975000</v>
      </c>
      <c r="H21" s="1001"/>
      <c r="I21" s="1001">
        <v>2948000</v>
      </c>
      <c r="J21" s="1001">
        <v>20375000</v>
      </c>
      <c r="K21" s="1001"/>
      <c r="L21" s="1001">
        <v>2189000</v>
      </c>
      <c r="M21" s="1001">
        <v>0</v>
      </c>
      <c r="N21" s="1001">
        <v>350000</v>
      </c>
      <c r="O21" s="1001">
        <v>637500</v>
      </c>
      <c r="P21" s="1001">
        <v>1192000</v>
      </c>
      <c r="Q21" s="1001">
        <v>2450000</v>
      </c>
      <c r="R21" s="1001">
        <v>4125000</v>
      </c>
      <c r="S21" s="1001">
        <v>3686000</v>
      </c>
      <c r="T21" s="1001">
        <v>5418000</v>
      </c>
      <c r="U21" s="1001">
        <v>5280000</v>
      </c>
      <c r="V21" s="554">
        <f t="shared" si="3"/>
        <v>52155500</v>
      </c>
      <c r="W21" s="623"/>
    </row>
    <row r="22" spans="1:23" x14ac:dyDescent="0.2">
      <c r="A22" s="913">
        <v>5195300000</v>
      </c>
      <c r="B22" s="245" t="s">
        <v>453</v>
      </c>
      <c r="C22" s="1006">
        <v>375000</v>
      </c>
      <c r="D22" s="1006">
        <v>6000000</v>
      </c>
      <c r="E22" s="1006">
        <v>3542000</v>
      </c>
      <c r="F22" s="1001">
        <v>1400000</v>
      </c>
      <c r="G22" s="1001"/>
      <c r="H22" s="1001">
        <v>4320000</v>
      </c>
      <c r="I22" s="1001">
        <v>450000</v>
      </c>
      <c r="J22" s="1001">
        <v>10475000</v>
      </c>
      <c r="K22" s="1001">
        <v>6900000</v>
      </c>
      <c r="L22" s="1001">
        <v>1725000</v>
      </c>
      <c r="M22" s="1001">
        <v>302500</v>
      </c>
      <c r="N22" s="1001">
        <v>120000</v>
      </c>
      <c r="O22" s="1001">
        <v>438000</v>
      </c>
      <c r="P22" s="1001">
        <v>88000</v>
      </c>
      <c r="Q22" s="1001">
        <v>1600000</v>
      </c>
      <c r="R22" s="1001">
        <v>562500</v>
      </c>
      <c r="S22" s="1001">
        <v>2160000</v>
      </c>
      <c r="T22" s="1001">
        <v>666000</v>
      </c>
      <c r="U22" s="1001">
        <v>3187500</v>
      </c>
      <c r="V22" s="554">
        <f t="shared" si="3"/>
        <v>44311500</v>
      </c>
      <c r="W22" s="623"/>
    </row>
    <row r="23" spans="1:23" x14ac:dyDescent="0.2">
      <c r="A23" s="913">
        <v>5195450000</v>
      </c>
      <c r="B23" s="245" t="s">
        <v>454</v>
      </c>
      <c r="C23" s="1006"/>
      <c r="D23" s="1006"/>
      <c r="E23" s="1006"/>
      <c r="F23" s="1001"/>
      <c r="G23" s="1001"/>
      <c r="H23" s="1001">
        <v>240000</v>
      </c>
      <c r="I23" s="1001"/>
      <c r="J23" s="1001"/>
      <c r="K23" s="1001">
        <v>1500000</v>
      </c>
      <c r="L23" s="1001"/>
      <c r="M23" s="1001"/>
      <c r="N23" s="1001"/>
      <c r="O23" s="1001"/>
      <c r="P23" s="1001"/>
      <c r="Q23" s="1001"/>
      <c r="R23" s="1001"/>
      <c r="S23" s="1001"/>
      <c r="T23" s="1001"/>
      <c r="U23" s="1001"/>
      <c r="V23" s="554">
        <f t="shared" si="3"/>
        <v>1740000</v>
      </c>
      <c r="W23" s="623"/>
    </row>
    <row r="24" spans="1:23" x14ac:dyDescent="0.2">
      <c r="A24" s="913">
        <v>5195950200</v>
      </c>
      <c r="B24" s="245" t="s">
        <v>455</v>
      </c>
      <c r="C24" s="1006"/>
      <c r="D24" s="1006"/>
      <c r="E24" s="1006"/>
      <c r="F24" s="1001"/>
      <c r="G24" s="1001"/>
      <c r="H24" s="1001"/>
      <c r="I24" s="1001">
        <v>600000</v>
      </c>
      <c r="J24" s="1001"/>
      <c r="K24" s="1001">
        <v>900000</v>
      </c>
      <c r="L24" s="1001"/>
      <c r="M24" s="1001"/>
      <c r="N24" s="1001"/>
      <c r="O24" s="1001"/>
      <c r="P24" s="1001"/>
      <c r="Q24" s="1001"/>
      <c r="R24" s="1001">
        <v>1000000</v>
      </c>
      <c r="S24" s="1001"/>
      <c r="T24" s="1001"/>
      <c r="U24" s="1001"/>
      <c r="V24" s="554">
        <f t="shared" si="3"/>
        <v>2500000</v>
      </c>
      <c r="W24" s="623"/>
    </row>
    <row r="25" spans="1:23" x14ac:dyDescent="0.2">
      <c r="A25" s="913">
        <v>5195951600</v>
      </c>
      <c r="B25" s="246" t="s">
        <v>456</v>
      </c>
      <c r="C25" s="1006"/>
      <c r="D25" s="1006"/>
      <c r="E25" s="1006"/>
      <c r="F25" s="1001"/>
      <c r="G25" s="1001">
        <v>1500000</v>
      </c>
      <c r="H25" s="1001"/>
      <c r="I25" s="1001"/>
      <c r="J25" s="1001"/>
      <c r="K25" s="1001">
        <v>300000</v>
      </c>
      <c r="L25" s="1001"/>
      <c r="M25" s="1001"/>
      <c r="N25" s="1001"/>
      <c r="O25" s="1001"/>
      <c r="P25" s="1001"/>
      <c r="Q25" s="1001"/>
      <c r="R25" s="1001"/>
      <c r="S25" s="1001"/>
      <c r="T25" s="1001"/>
      <c r="U25" s="1001"/>
      <c r="V25" s="554">
        <f t="shared" si="3"/>
        <v>1800000</v>
      </c>
      <c r="W25" s="623"/>
    </row>
    <row r="26" spans="1:23" x14ac:dyDescent="0.2">
      <c r="A26" s="913">
        <v>5395950000</v>
      </c>
      <c r="B26" s="246" t="s">
        <v>457</v>
      </c>
      <c r="C26" s="1006">
        <v>300000</v>
      </c>
      <c r="D26" s="1006">
        <v>5520000</v>
      </c>
      <c r="E26" s="1006">
        <v>993500</v>
      </c>
      <c r="F26" s="1001">
        <v>500000</v>
      </c>
      <c r="G26" s="1001">
        <v>750000</v>
      </c>
      <c r="H26" s="1001">
        <v>4608000</v>
      </c>
      <c r="I26" s="1001">
        <v>1277359</v>
      </c>
      <c r="J26" s="1001">
        <v>300000</v>
      </c>
      <c r="K26" s="1001">
        <v>2400000</v>
      </c>
      <c r="L26" s="1001"/>
      <c r="M26" s="1001"/>
      <c r="N26" s="1001"/>
      <c r="O26" s="1001">
        <v>390112</v>
      </c>
      <c r="P26" s="1001">
        <v>1215000</v>
      </c>
      <c r="Q26" s="1001">
        <v>816000</v>
      </c>
      <c r="R26" s="1001">
        <v>1075200</v>
      </c>
      <c r="S26" s="1001"/>
      <c r="T26" s="1001"/>
      <c r="U26" s="1001">
        <v>850000</v>
      </c>
      <c r="V26" s="554">
        <f t="shared" si="3"/>
        <v>20995171</v>
      </c>
      <c r="W26" s="623"/>
    </row>
    <row r="27" spans="1:23" ht="13.5" thickBot="1" x14ac:dyDescent="0.25">
      <c r="A27" s="914"/>
      <c r="B27" s="908" t="s">
        <v>459</v>
      </c>
      <c r="C27" s="1036">
        <v>18110400</v>
      </c>
      <c r="D27" s="1036">
        <v>16500000</v>
      </c>
      <c r="E27" s="1036">
        <v>30000000</v>
      </c>
      <c r="F27" s="1036">
        <v>64515000</v>
      </c>
      <c r="G27" s="1036">
        <f>+G10*0.15</f>
        <v>29655000</v>
      </c>
      <c r="H27" s="1036">
        <v>23040000</v>
      </c>
      <c r="I27" s="1036">
        <v>5620379.1600000001</v>
      </c>
      <c r="J27" s="1036">
        <v>22000000</v>
      </c>
      <c r="K27" s="1036">
        <v>7200000</v>
      </c>
      <c r="L27" s="1036">
        <v>1143750</v>
      </c>
      <c r="M27" s="1036">
        <v>7877100</v>
      </c>
      <c r="N27" s="1036">
        <v>5867224</v>
      </c>
      <c r="O27" s="1036">
        <v>4291232</v>
      </c>
      <c r="P27" s="1036">
        <v>6682500</v>
      </c>
      <c r="Q27" s="1036">
        <v>1530000</v>
      </c>
      <c r="R27" s="1036">
        <v>8064000</v>
      </c>
      <c r="S27" s="1036">
        <v>2250000</v>
      </c>
      <c r="T27" s="1036">
        <v>20995667</v>
      </c>
      <c r="U27" s="1036">
        <v>2550000</v>
      </c>
      <c r="V27" s="909">
        <f t="shared" si="3"/>
        <v>277892252.15999997</v>
      </c>
      <c r="W27" s="266"/>
    </row>
    <row r="28" spans="1:23" ht="13.5" thickBot="1" x14ac:dyDescent="0.25">
      <c r="A28" s="1253" t="s">
        <v>458</v>
      </c>
      <c r="B28" s="1314"/>
      <c r="C28" s="900">
        <f>SUM(C13:C27)</f>
        <v>60737800</v>
      </c>
      <c r="D28" s="900">
        <f>SUM(D13:D27)</f>
        <v>93540000</v>
      </c>
      <c r="E28" s="900">
        <f t="shared" ref="E28:U28" si="4">SUM(E13:E27)</f>
        <v>147755530</v>
      </c>
      <c r="F28" s="900">
        <f>SUM(F13:F27)</f>
        <v>140147500</v>
      </c>
      <c r="G28" s="900">
        <f>SUM(G13:G27)</f>
        <v>101547000</v>
      </c>
      <c r="H28" s="900">
        <f t="shared" ref="H28:M28" si="5">SUM(H13:H27)</f>
        <v>117336000</v>
      </c>
      <c r="I28" s="900">
        <f t="shared" si="5"/>
        <v>18216871.16</v>
      </c>
      <c r="J28" s="900">
        <f t="shared" si="5"/>
        <v>76428500</v>
      </c>
      <c r="K28" s="900">
        <f t="shared" si="5"/>
        <v>34860000</v>
      </c>
      <c r="L28" s="900">
        <f t="shared" si="5"/>
        <v>7386500</v>
      </c>
      <c r="M28" s="900">
        <f t="shared" si="5"/>
        <v>30434250</v>
      </c>
      <c r="N28" s="900">
        <f>SUM(N13:N27)</f>
        <v>22084220</v>
      </c>
      <c r="O28" s="900">
        <f>SUM(O13:O27)</f>
        <v>14292572</v>
      </c>
      <c r="P28" s="900">
        <f t="shared" ref="P28:Q28" si="6">SUM(P13:P27)</f>
        <v>24255000</v>
      </c>
      <c r="Q28" s="900">
        <f t="shared" si="6"/>
        <v>7824000</v>
      </c>
      <c r="R28" s="900">
        <f t="shared" si="4"/>
        <v>42898180</v>
      </c>
      <c r="S28" s="900">
        <f t="shared" si="4"/>
        <v>12223000</v>
      </c>
      <c r="T28" s="900">
        <f t="shared" si="4"/>
        <v>86185092</v>
      </c>
      <c r="U28" s="900">
        <f t="shared" si="4"/>
        <v>13527500</v>
      </c>
      <c r="V28" s="267">
        <f>SUM(C28:U28)</f>
        <v>1051679515.16</v>
      </c>
    </row>
    <row r="29" spans="1:23" ht="13.5" thickBot="1" x14ac:dyDescent="0.25">
      <c r="A29" s="911"/>
      <c r="B29" s="248"/>
      <c r="C29" s="273"/>
      <c r="D29" s="273"/>
      <c r="E29" s="273"/>
      <c r="F29" s="273"/>
      <c r="G29" s="273"/>
      <c r="H29" s="273"/>
      <c r="I29" s="273"/>
      <c r="J29" s="273"/>
      <c r="K29" s="273"/>
      <c r="L29" s="273"/>
      <c r="M29" s="273"/>
      <c r="N29" s="273"/>
      <c r="O29" s="273"/>
      <c r="P29" s="273"/>
      <c r="Q29" s="273"/>
      <c r="R29" s="273"/>
      <c r="S29" s="273"/>
      <c r="T29" s="273"/>
      <c r="U29" s="273"/>
      <c r="V29" s="554"/>
    </row>
    <row r="30" spans="1:23" ht="13.5" thickBot="1" x14ac:dyDescent="0.25">
      <c r="A30" s="1247" t="s">
        <v>460</v>
      </c>
      <c r="B30" s="1248"/>
      <c r="C30" s="274">
        <f>+C10-C28</f>
        <v>21582200</v>
      </c>
      <c r="D30" s="274">
        <f t="shared" ref="D30:U30" si="7">+D10-D28</f>
        <v>16460000</v>
      </c>
      <c r="E30" s="274">
        <f t="shared" si="7"/>
        <v>52244470</v>
      </c>
      <c r="F30" s="274">
        <f>+F10-F28</f>
        <v>153102500</v>
      </c>
      <c r="G30" s="274">
        <f>+G10-G28</f>
        <v>96153000</v>
      </c>
      <c r="H30" s="274">
        <f t="shared" ref="H30:M30" si="8">+H10-H28</f>
        <v>36264000</v>
      </c>
      <c r="I30" s="274">
        <f t="shared" si="8"/>
        <v>7330306.8399999999</v>
      </c>
      <c r="J30" s="274">
        <f t="shared" si="8"/>
        <v>23571500</v>
      </c>
      <c r="K30" s="274">
        <f t="shared" si="8"/>
        <v>13140000</v>
      </c>
      <c r="L30" s="274">
        <f t="shared" si="8"/>
        <v>238500</v>
      </c>
      <c r="M30" s="274">
        <f t="shared" si="8"/>
        <v>5370750</v>
      </c>
      <c r="N30" s="274">
        <f>+N10-N28</f>
        <v>4584980</v>
      </c>
      <c r="O30" s="274">
        <f>+O10-O28</f>
        <v>5213028</v>
      </c>
      <c r="P30" s="274">
        <f t="shared" ref="P30:Q30" si="9">+P10-P28</f>
        <v>6120000</v>
      </c>
      <c r="Q30" s="274">
        <f t="shared" si="9"/>
        <v>2376000</v>
      </c>
      <c r="R30" s="274">
        <f t="shared" si="7"/>
        <v>10861820</v>
      </c>
      <c r="S30" s="274">
        <f t="shared" si="7"/>
        <v>2777000</v>
      </c>
      <c r="T30" s="274">
        <f t="shared" si="7"/>
        <v>9249758</v>
      </c>
      <c r="U30" s="274">
        <f t="shared" si="7"/>
        <v>3472500</v>
      </c>
      <c r="V30" s="271">
        <f>SUM(C30:U30)</f>
        <v>470112312.83999997</v>
      </c>
    </row>
    <row r="31" spans="1:23" x14ac:dyDescent="0.2">
      <c r="A31" s="623"/>
      <c r="B31" s="237"/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</row>
    <row r="32" spans="1:23" x14ac:dyDescent="0.2">
      <c r="A32" s="555" t="s">
        <v>461</v>
      </c>
      <c r="B32" s="252"/>
      <c r="C32" s="252"/>
      <c r="D32" s="252"/>
      <c r="E32" s="252"/>
      <c r="F32" s="252"/>
      <c r="G32" s="252"/>
      <c r="H32" s="252"/>
      <c r="I32" s="252"/>
      <c r="J32" s="252"/>
      <c r="K32" s="252"/>
      <c r="L32" s="252"/>
      <c r="M32" s="252"/>
      <c r="N32" s="252"/>
      <c r="O32" s="252"/>
      <c r="P32" s="252"/>
      <c r="Q32" s="252"/>
      <c r="R32" s="252"/>
      <c r="S32" s="252"/>
      <c r="T32" s="252"/>
      <c r="U32" s="252"/>
      <c r="V32" s="237"/>
    </row>
    <row r="33" spans="1:1" s="237" customFormat="1" x14ac:dyDescent="0.2">
      <c r="A33" s="623"/>
    </row>
    <row r="34" spans="1:1" s="237" customFormat="1" x14ac:dyDescent="0.2">
      <c r="A34" s="623"/>
    </row>
    <row r="35" spans="1:1" s="237" customFormat="1" x14ac:dyDescent="0.2">
      <c r="A35" s="623"/>
    </row>
    <row r="36" spans="1:1" s="237" customFormat="1" x14ac:dyDescent="0.2">
      <c r="A36" s="623"/>
    </row>
    <row r="37" spans="1:1" s="237" customFormat="1" x14ac:dyDescent="0.2">
      <c r="A37" s="623"/>
    </row>
    <row r="38" spans="1:1" s="237" customFormat="1" x14ac:dyDescent="0.2">
      <c r="A38" s="623"/>
    </row>
    <row r="39" spans="1:1" s="237" customFormat="1" x14ac:dyDescent="0.2">
      <c r="A39" s="623"/>
    </row>
    <row r="40" spans="1:1" s="237" customFormat="1" x14ac:dyDescent="0.2">
      <c r="A40" s="623"/>
    </row>
    <row r="41" spans="1:1" s="237" customFormat="1" x14ac:dyDescent="0.2">
      <c r="A41" s="623"/>
    </row>
    <row r="42" spans="1:1" s="237" customFormat="1" x14ac:dyDescent="0.2">
      <c r="A42" s="623"/>
    </row>
    <row r="43" spans="1:1" s="237" customFormat="1" x14ac:dyDescent="0.2">
      <c r="A43" s="623"/>
    </row>
    <row r="44" spans="1:1" s="237" customFormat="1" x14ac:dyDescent="0.2">
      <c r="A44" s="623"/>
    </row>
    <row r="45" spans="1:1" s="237" customFormat="1" x14ac:dyDescent="0.2">
      <c r="A45" s="623"/>
    </row>
    <row r="46" spans="1:1" s="237" customFormat="1" x14ac:dyDescent="0.2">
      <c r="A46" s="623"/>
    </row>
    <row r="47" spans="1:1" s="237" customFormat="1" x14ac:dyDescent="0.2">
      <c r="A47" s="623"/>
    </row>
    <row r="48" spans="1:1" s="237" customFormat="1" x14ac:dyDescent="0.2">
      <c r="A48" s="623"/>
    </row>
    <row r="49" spans="1:1" s="237" customFormat="1" x14ac:dyDescent="0.2">
      <c r="A49" s="623"/>
    </row>
    <row r="50" spans="1:1" s="237" customFormat="1" x14ac:dyDescent="0.2">
      <c r="A50" s="623"/>
    </row>
    <row r="51" spans="1:1" s="237" customFormat="1" x14ac:dyDescent="0.2">
      <c r="A51" s="623"/>
    </row>
    <row r="52" spans="1:1" s="237" customFormat="1" x14ac:dyDescent="0.2">
      <c r="A52" s="623"/>
    </row>
    <row r="53" spans="1:1" s="237" customFormat="1" x14ac:dyDescent="0.2">
      <c r="A53" s="623"/>
    </row>
    <row r="54" spans="1:1" s="237" customFormat="1" x14ac:dyDescent="0.2">
      <c r="A54" s="623"/>
    </row>
    <row r="55" spans="1:1" s="237" customFormat="1" x14ac:dyDescent="0.2">
      <c r="A55" s="623"/>
    </row>
    <row r="56" spans="1:1" s="237" customFormat="1" x14ac:dyDescent="0.2">
      <c r="A56" s="623"/>
    </row>
    <row r="57" spans="1:1" s="237" customFormat="1" x14ac:dyDescent="0.2">
      <c r="A57" s="623"/>
    </row>
    <row r="58" spans="1:1" s="237" customFormat="1" x14ac:dyDescent="0.2">
      <c r="A58" s="623"/>
    </row>
    <row r="59" spans="1:1" s="237" customFormat="1" x14ac:dyDescent="0.2">
      <c r="A59" s="623"/>
    </row>
    <row r="60" spans="1:1" s="237" customFormat="1" x14ac:dyDescent="0.2">
      <c r="A60" s="623"/>
    </row>
    <row r="61" spans="1:1" s="237" customFormat="1" x14ac:dyDescent="0.2">
      <c r="A61" s="623"/>
    </row>
    <row r="62" spans="1:1" s="237" customFormat="1" x14ac:dyDescent="0.2">
      <c r="A62" s="623"/>
    </row>
    <row r="63" spans="1:1" s="237" customFormat="1" x14ac:dyDescent="0.2">
      <c r="A63" s="623"/>
    </row>
    <row r="64" spans="1:1" s="237" customFormat="1" x14ac:dyDescent="0.2">
      <c r="A64" s="623"/>
    </row>
    <row r="65" spans="1:1" s="237" customFormat="1" x14ac:dyDescent="0.2">
      <c r="A65" s="623"/>
    </row>
    <row r="66" spans="1:1" s="237" customFormat="1" x14ac:dyDescent="0.2">
      <c r="A66" s="623"/>
    </row>
    <row r="67" spans="1:1" s="237" customFormat="1" x14ac:dyDescent="0.2">
      <c r="A67" s="623"/>
    </row>
    <row r="68" spans="1:1" s="237" customFormat="1" x14ac:dyDescent="0.2">
      <c r="A68" s="623"/>
    </row>
    <row r="69" spans="1:1" s="237" customFormat="1" x14ac:dyDescent="0.2">
      <c r="A69" s="623"/>
    </row>
    <row r="70" spans="1:1" s="237" customFormat="1" x14ac:dyDescent="0.2">
      <c r="A70" s="623"/>
    </row>
    <row r="71" spans="1:1" s="237" customFormat="1" x14ac:dyDescent="0.2">
      <c r="A71" s="623"/>
    </row>
    <row r="72" spans="1:1" s="237" customFormat="1" x14ac:dyDescent="0.2">
      <c r="A72" s="623"/>
    </row>
    <row r="73" spans="1:1" s="237" customFormat="1" x14ac:dyDescent="0.2">
      <c r="A73" s="623"/>
    </row>
    <row r="74" spans="1:1" s="237" customFormat="1" x14ac:dyDescent="0.2">
      <c r="A74" s="623"/>
    </row>
    <row r="75" spans="1:1" s="237" customFormat="1" x14ac:dyDescent="0.2">
      <c r="A75" s="623"/>
    </row>
    <row r="76" spans="1:1" s="237" customFormat="1" x14ac:dyDescent="0.2">
      <c r="A76" s="623"/>
    </row>
    <row r="77" spans="1:1" s="237" customFormat="1" x14ac:dyDescent="0.2">
      <c r="A77" s="623"/>
    </row>
    <row r="78" spans="1:1" s="237" customFormat="1" x14ac:dyDescent="0.2">
      <c r="A78" s="623"/>
    </row>
    <row r="79" spans="1:1" s="237" customFormat="1" x14ac:dyDescent="0.2">
      <c r="A79" s="623"/>
    </row>
    <row r="80" spans="1:1" s="237" customFormat="1" x14ac:dyDescent="0.2">
      <c r="A80" s="623"/>
    </row>
    <row r="81" spans="1:1" s="237" customFormat="1" x14ac:dyDescent="0.2">
      <c r="A81" s="623"/>
    </row>
    <row r="82" spans="1:1" s="237" customFormat="1" x14ac:dyDescent="0.2">
      <c r="A82" s="623"/>
    </row>
    <row r="83" spans="1:1" s="237" customFormat="1" x14ac:dyDescent="0.2">
      <c r="A83" s="623"/>
    </row>
    <row r="84" spans="1:1" s="237" customFormat="1" x14ac:dyDescent="0.2">
      <c r="A84" s="623"/>
    </row>
    <row r="85" spans="1:1" s="237" customFormat="1" x14ac:dyDescent="0.2">
      <c r="A85" s="623"/>
    </row>
    <row r="86" spans="1:1" s="237" customFormat="1" x14ac:dyDescent="0.2">
      <c r="A86" s="623"/>
    </row>
    <row r="87" spans="1:1" s="237" customFormat="1" x14ac:dyDescent="0.2">
      <c r="A87" s="623"/>
    </row>
    <row r="88" spans="1:1" s="237" customFormat="1" x14ac:dyDescent="0.2">
      <c r="A88" s="623"/>
    </row>
    <row r="89" spans="1:1" s="237" customFormat="1" x14ac:dyDescent="0.2">
      <c r="A89" s="623"/>
    </row>
    <row r="90" spans="1:1" s="237" customFormat="1" x14ac:dyDescent="0.2">
      <c r="A90" s="623"/>
    </row>
    <row r="91" spans="1:1" s="237" customFormat="1" x14ac:dyDescent="0.2">
      <c r="A91" s="623"/>
    </row>
    <row r="92" spans="1:1" s="237" customFormat="1" x14ac:dyDescent="0.2">
      <c r="A92" s="623"/>
    </row>
    <row r="93" spans="1:1" s="237" customFormat="1" x14ac:dyDescent="0.2">
      <c r="A93" s="623"/>
    </row>
    <row r="94" spans="1:1" s="237" customFormat="1" x14ac:dyDescent="0.2">
      <c r="A94" s="623"/>
    </row>
    <row r="95" spans="1:1" s="237" customFormat="1" x14ac:dyDescent="0.2">
      <c r="A95" s="623"/>
    </row>
    <row r="96" spans="1:1" s="237" customFormat="1" x14ac:dyDescent="0.2">
      <c r="A96" s="623"/>
    </row>
    <row r="97" spans="1:1" s="237" customFormat="1" x14ac:dyDescent="0.2">
      <c r="A97" s="623"/>
    </row>
    <row r="98" spans="1:1" s="237" customFormat="1" x14ac:dyDescent="0.2">
      <c r="A98" s="623"/>
    </row>
    <row r="99" spans="1:1" s="237" customFormat="1" x14ac:dyDescent="0.2">
      <c r="A99" s="623"/>
    </row>
    <row r="100" spans="1:1" s="237" customFormat="1" x14ac:dyDescent="0.2">
      <c r="A100" s="623"/>
    </row>
    <row r="101" spans="1:1" s="237" customFormat="1" x14ac:dyDescent="0.2">
      <c r="A101" s="623"/>
    </row>
    <row r="102" spans="1:1" s="237" customFormat="1" x14ac:dyDescent="0.2">
      <c r="A102" s="623"/>
    </row>
    <row r="103" spans="1:1" s="237" customFormat="1" x14ac:dyDescent="0.2">
      <c r="A103" s="623"/>
    </row>
    <row r="104" spans="1:1" s="237" customFormat="1" x14ac:dyDescent="0.2">
      <c r="A104" s="623"/>
    </row>
    <row r="105" spans="1:1" s="237" customFormat="1" x14ac:dyDescent="0.2">
      <c r="A105" s="623"/>
    </row>
    <row r="106" spans="1:1" s="237" customFormat="1" x14ac:dyDescent="0.2">
      <c r="A106" s="623"/>
    </row>
    <row r="107" spans="1:1" s="237" customFormat="1" x14ac:dyDescent="0.2">
      <c r="A107" s="623"/>
    </row>
    <row r="108" spans="1:1" s="237" customFormat="1" x14ac:dyDescent="0.2">
      <c r="A108" s="623"/>
    </row>
    <row r="109" spans="1:1" s="237" customFormat="1" x14ac:dyDescent="0.2">
      <c r="A109" s="623"/>
    </row>
    <row r="110" spans="1:1" s="237" customFormat="1" x14ac:dyDescent="0.2">
      <c r="A110" s="623"/>
    </row>
    <row r="111" spans="1:1" s="237" customFormat="1" x14ac:dyDescent="0.2">
      <c r="A111" s="623"/>
    </row>
    <row r="112" spans="1:1" s="237" customFormat="1" x14ac:dyDescent="0.2">
      <c r="A112" s="623"/>
    </row>
    <row r="113" spans="1:1" s="237" customFormat="1" x14ac:dyDescent="0.2">
      <c r="A113" s="623"/>
    </row>
    <row r="114" spans="1:1" s="237" customFormat="1" x14ac:dyDescent="0.2">
      <c r="A114" s="623"/>
    </row>
    <row r="115" spans="1:1" s="237" customFormat="1" x14ac:dyDescent="0.2">
      <c r="A115" s="623"/>
    </row>
    <row r="116" spans="1:1" s="237" customFormat="1" x14ac:dyDescent="0.2">
      <c r="A116" s="623"/>
    </row>
    <row r="117" spans="1:1" s="237" customFormat="1" x14ac:dyDescent="0.2">
      <c r="A117" s="623"/>
    </row>
    <row r="118" spans="1:1" s="237" customFormat="1" x14ac:dyDescent="0.2">
      <c r="A118" s="623"/>
    </row>
    <row r="119" spans="1:1" s="237" customFormat="1" x14ac:dyDescent="0.2">
      <c r="A119" s="623"/>
    </row>
    <row r="120" spans="1:1" s="237" customFormat="1" x14ac:dyDescent="0.2">
      <c r="A120" s="623"/>
    </row>
    <row r="121" spans="1:1" s="237" customFormat="1" x14ac:dyDescent="0.2">
      <c r="A121" s="623"/>
    </row>
    <row r="122" spans="1:1" s="237" customFormat="1" x14ac:dyDescent="0.2">
      <c r="A122" s="623"/>
    </row>
    <row r="123" spans="1:1" s="237" customFormat="1" x14ac:dyDescent="0.2">
      <c r="A123" s="623"/>
    </row>
    <row r="124" spans="1:1" s="237" customFormat="1" x14ac:dyDescent="0.2">
      <c r="A124" s="623"/>
    </row>
    <row r="125" spans="1:1" s="237" customFormat="1" x14ac:dyDescent="0.2">
      <c r="A125" s="623"/>
    </row>
    <row r="126" spans="1:1" s="237" customFormat="1" x14ac:dyDescent="0.2">
      <c r="A126" s="623"/>
    </row>
    <row r="127" spans="1:1" s="237" customFormat="1" x14ac:dyDescent="0.2">
      <c r="A127" s="623"/>
    </row>
    <row r="128" spans="1:1" s="237" customFormat="1" x14ac:dyDescent="0.2">
      <c r="A128" s="623"/>
    </row>
    <row r="129" spans="1:1" s="237" customFormat="1" x14ac:dyDescent="0.2">
      <c r="A129" s="623"/>
    </row>
    <row r="130" spans="1:1" s="237" customFormat="1" x14ac:dyDescent="0.2">
      <c r="A130" s="623"/>
    </row>
    <row r="131" spans="1:1" s="237" customFormat="1" x14ac:dyDescent="0.2">
      <c r="A131" s="623"/>
    </row>
    <row r="132" spans="1:1" s="237" customFormat="1" x14ac:dyDescent="0.2">
      <c r="A132" s="623"/>
    </row>
    <row r="133" spans="1:1" s="237" customFormat="1" x14ac:dyDescent="0.2">
      <c r="A133" s="623"/>
    </row>
    <row r="134" spans="1:1" s="237" customFormat="1" x14ac:dyDescent="0.2">
      <c r="A134" s="623"/>
    </row>
    <row r="135" spans="1:1" s="237" customFormat="1" x14ac:dyDescent="0.2">
      <c r="A135" s="623"/>
    </row>
    <row r="136" spans="1:1" s="237" customFormat="1" x14ac:dyDescent="0.2">
      <c r="A136" s="623"/>
    </row>
    <row r="137" spans="1:1" s="237" customFormat="1" x14ac:dyDescent="0.2">
      <c r="A137" s="623"/>
    </row>
    <row r="138" spans="1:1" s="237" customFormat="1" x14ac:dyDescent="0.2">
      <c r="A138" s="623"/>
    </row>
    <row r="139" spans="1:1" s="237" customFormat="1" x14ac:dyDescent="0.2">
      <c r="A139" s="623"/>
    </row>
    <row r="140" spans="1:1" s="237" customFormat="1" x14ac:dyDescent="0.2">
      <c r="A140" s="623"/>
    </row>
    <row r="141" spans="1:1" s="237" customFormat="1" x14ac:dyDescent="0.2">
      <c r="A141" s="623"/>
    </row>
    <row r="142" spans="1:1" s="237" customFormat="1" x14ac:dyDescent="0.2">
      <c r="A142" s="623"/>
    </row>
    <row r="143" spans="1:1" s="237" customFormat="1" x14ac:dyDescent="0.2">
      <c r="A143" s="623"/>
    </row>
    <row r="144" spans="1:1" s="237" customFormat="1" x14ac:dyDescent="0.2">
      <c r="A144" s="623"/>
    </row>
    <row r="145" spans="1:1" s="237" customFormat="1" x14ac:dyDescent="0.2">
      <c r="A145" s="623"/>
    </row>
    <row r="146" spans="1:1" s="237" customFormat="1" x14ac:dyDescent="0.2">
      <c r="A146" s="623"/>
    </row>
    <row r="147" spans="1:1" s="237" customFormat="1" x14ac:dyDescent="0.2">
      <c r="A147" s="623"/>
    </row>
    <row r="148" spans="1:1" s="237" customFormat="1" x14ac:dyDescent="0.2">
      <c r="A148" s="623"/>
    </row>
    <row r="149" spans="1:1" s="237" customFormat="1" x14ac:dyDescent="0.2">
      <c r="A149" s="623"/>
    </row>
    <row r="150" spans="1:1" s="237" customFormat="1" x14ac:dyDescent="0.2">
      <c r="A150" s="623"/>
    </row>
    <row r="151" spans="1:1" s="237" customFormat="1" x14ac:dyDescent="0.2">
      <c r="A151" s="623"/>
    </row>
    <row r="152" spans="1:1" s="237" customFormat="1" x14ac:dyDescent="0.2">
      <c r="A152" s="623"/>
    </row>
    <row r="153" spans="1:1" s="237" customFormat="1" x14ac:dyDescent="0.2">
      <c r="A153" s="623"/>
    </row>
    <row r="154" spans="1:1" s="237" customFormat="1" x14ac:dyDescent="0.2">
      <c r="A154" s="623"/>
    </row>
    <row r="155" spans="1:1" s="237" customFormat="1" x14ac:dyDescent="0.2">
      <c r="A155" s="623"/>
    </row>
    <row r="156" spans="1:1" s="237" customFormat="1" x14ac:dyDescent="0.2">
      <c r="A156" s="623"/>
    </row>
    <row r="157" spans="1:1" s="237" customFormat="1" x14ac:dyDescent="0.2">
      <c r="A157" s="623"/>
    </row>
    <row r="158" spans="1:1" s="237" customFormat="1" x14ac:dyDescent="0.2">
      <c r="A158" s="623"/>
    </row>
    <row r="159" spans="1:1" s="237" customFormat="1" x14ac:dyDescent="0.2">
      <c r="A159" s="623"/>
    </row>
    <row r="160" spans="1:1" s="237" customFormat="1" x14ac:dyDescent="0.2">
      <c r="A160" s="623"/>
    </row>
    <row r="161" spans="1:1" s="237" customFormat="1" x14ac:dyDescent="0.2">
      <c r="A161" s="623"/>
    </row>
    <row r="162" spans="1:1" s="237" customFormat="1" x14ac:dyDescent="0.2">
      <c r="A162" s="623"/>
    </row>
    <row r="163" spans="1:1" s="237" customFormat="1" x14ac:dyDescent="0.2">
      <c r="A163" s="623"/>
    </row>
    <row r="164" spans="1:1" s="237" customFormat="1" x14ac:dyDescent="0.2">
      <c r="A164" s="623"/>
    </row>
    <row r="165" spans="1:1" s="237" customFormat="1" x14ac:dyDescent="0.2">
      <c r="A165" s="623"/>
    </row>
    <row r="166" spans="1:1" s="237" customFormat="1" x14ac:dyDescent="0.2">
      <c r="A166" s="623"/>
    </row>
    <row r="167" spans="1:1" s="237" customFormat="1" x14ac:dyDescent="0.2">
      <c r="A167" s="623"/>
    </row>
    <row r="168" spans="1:1" s="237" customFormat="1" x14ac:dyDescent="0.2">
      <c r="A168" s="623"/>
    </row>
    <row r="169" spans="1:1" s="237" customFormat="1" x14ac:dyDescent="0.2">
      <c r="A169" s="623"/>
    </row>
    <row r="170" spans="1:1" s="237" customFormat="1" x14ac:dyDescent="0.2">
      <c r="A170" s="623"/>
    </row>
    <row r="171" spans="1:1" s="237" customFormat="1" x14ac:dyDescent="0.2">
      <c r="A171" s="623"/>
    </row>
    <row r="172" spans="1:1" s="237" customFormat="1" x14ac:dyDescent="0.2">
      <c r="A172" s="623"/>
    </row>
    <row r="173" spans="1:1" s="237" customFormat="1" x14ac:dyDescent="0.2">
      <c r="A173" s="623"/>
    </row>
    <row r="174" spans="1:1" s="237" customFormat="1" x14ac:dyDescent="0.2">
      <c r="A174" s="623"/>
    </row>
    <row r="175" spans="1:1" s="237" customFormat="1" x14ac:dyDescent="0.2">
      <c r="A175" s="623"/>
    </row>
    <row r="176" spans="1:1" s="237" customFormat="1" x14ac:dyDescent="0.2">
      <c r="A176" s="623"/>
    </row>
    <row r="177" spans="1:1" s="237" customFormat="1" x14ac:dyDescent="0.2">
      <c r="A177" s="623"/>
    </row>
    <row r="178" spans="1:1" s="237" customFormat="1" x14ac:dyDescent="0.2">
      <c r="A178" s="623"/>
    </row>
    <row r="179" spans="1:1" s="237" customFormat="1" x14ac:dyDescent="0.2">
      <c r="A179" s="623"/>
    </row>
    <row r="180" spans="1:1" s="237" customFormat="1" x14ac:dyDescent="0.2">
      <c r="A180" s="623"/>
    </row>
    <row r="181" spans="1:1" s="237" customFormat="1" x14ac:dyDescent="0.2">
      <c r="A181" s="623"/>
    </row>
    <row r="182" spans="1:1" s="237" customFormat="1" x14ac:dyDescent="0.2">
      <c r="A182" s="623"/>
    </row>
    <row r="183" spans="1:1" s="237" customFormat="1" x14ac:dyDescent="0.2">
      <c r="A183" s="623"/>
    </row>
    <row r="184" spans="1:1" s="237" customFormat="1" x14ac:dyDescent="0.2">
      <c r="A184" s="623"/>
    </row>
    <row r="185" spans="1:1" s="237" customFormat="1" x14ac:dyDescent="0.2">
      <c r="A185" s="623"/>
    </row>
    <row r="186" spans="1:1" s="237" customFormat="1" x14ac:dyDescent="0.2">
      <c r="A186" s="623"/>
    </row>
    <row r="187" spans="1:1" s="237" customFormat="1" x14ac:dyDescent="0.2">
      <c r="A187" s="623"/>
    </row>
    <row r="188" spans="1:1" s="237" customFormat="1" x14ac:dyDescent="0.2">
      <c r="A188" s="623"/>
    </row>
    <row r="189" spans="1:1" s="237" customFormat="1" x14ac:dyDescent="0.2">
      <c r="A189" s="623"/>
    </row>
    <row r="190" spans="1:1" s="237" customFormat="1" x14ac:dyDescent="0.2">
      <c r="A190" s="623"/>
    </row>
    <row r="191" spans="1:1" s="237" customFormat="1" x14ac:dyDescent="0.2">
      <c r="A191" s="623"/>
    </row>
    <row r="192" spans="1:1" s="237" customFormat="1" x14ac:dyDescent="0.2">
      <c r="A192" s="623"/>
    </row>
    <row r="193" spans="1:1" s="237" customFormat="1" x14ac:dyDescent="0.2">
      <c r="A193" s="623"/>
    </row>
    <row r="194" spans="1:1" s="237" customFormat="1" x14ac:dyDescent="0.2">
      <c r="A194" s="623"/>
    </row>
    <row r="195" spans="1:1" s="237" customFormat="1" x14ac:dyDescent="0.2">
      <c r="A195" s="623"/>
    </row>
    <row r="196" spans="1:1" s="237" customFormat="1" x14ac:dyDescent="0.2">
      <c r="A196" s="623"/>
    </row>
    <row r="197" spans="1:1" s="237" customFormat="1" x14ac:dyDescent="0.2">
      <c r="A197" s="623"/>
    </row>
    <row r="198" spans="1:1" s="237" customFormat="1" x14ac:dyDescent="0.2">
      <c r="A198" s="623"/>
    </row>
    <row r="199" spans="1:1" s="237" customFormat="1" x14ac:dyDescent="0.2">
      <c r="A199" s="623"/>
    </row>
    <row r="200" spans="1:1" s="237" customFormat="1" x14ac:dyDescent="0.2">
      <c r="A200" s="623"/>
    </row>
    <row r="201" spans="1:1" s="237" customFormat="1" x14ac:dyDescent="0.2">
      <c r="A201" s="623"/>
    </row>
    <row r="202" spans="1:1" s="237" customFormat="1" x14ac:dyDescent="0.2">
      <c r="A202" s="623"/>
    </row>
    <row r="203" spans="1:1" s="237" customFormat="1" x14ac:dyDescent="0.2">
      <c r="A203" s="623"/>
    </row>
    <row r="204" spans="1:1" s="237" customFormat="1" x14ac:dyDescent="0.2">
      <c r="A204" s="623"/>
    </row>
    <row r="205" spans="1:1" s="237" customFormat="1" x14ac:dyDescent="0.2">
      <c r="A205" s="623"/>
    </row>
    <row r="206" spans="1:1" s="237" customFormat="1" x14ac:dyDescent="0.2">
      <c r="A206" s="623"/>
    </row>
    <row r="207" spans="1:1" s="237" customFormat="1" x14ac:dyDescent="0.2">
      <c r="A207" s="623"/>
    </row>
    <row r="208" spans="1:1" s="237" customFormat="1" x14ac:dyDescent="0.2">
      <c r="A208" s="623"/>
    </row>
    <row r="209" spans="1:1" s="237" customFormat="1" x14ac:dyDescent="0.2">
      <c r="A209" s="623"/>
    </row>
    <row r="210" spans="1:1" s="237" customFormat="1" x14ac:dyDescent="0.2">
      <c r="A210" s="623"/>
    </row>
    <row r="211" spans="1:1" s="237" customFormat="1" x14ac:dyDescent="0.2">
      <c r="A211" s="623"/>
    </row>
    <row r="212" spans="1:1" s="237" customFormat="1" x14ac:dyDescent="0.2">
      <c r="A212" s="623"/>
    </row>
    <row r="213" spans="1:1" s="237" customFormat="1" x14ac:dyDescent="0.2">
      <c r="A213" s="623"/>
    </row>
    <row r="214" spans="1:1" s="237" customFormat="1" x14ac:dyDescent="0.2">
      <c r="A214" s="623"/>
    </row>
    <row r="215" spans="1:1" s="237" customFormat="1" x14ac:dyDescent="0.2">
      <c r="A215" s="623"/>
    </row>
    <row r="216" spans="1:1" s="237" customFormat="1" x14ac:dyDescent="0.2">
      <c r="A216" s="623"/>
    </row>
    <row r="217" spans="1:1" s="237" customFormat="1" x14ac:dyDescent="0.2">
      <c r="A217" s="623"/>
    </row>
    <row r="218" spans="1:1" s="237" customFormat="1" x14ac:dyDescent="0.2">
      <c r="A218" s="623"/>
    </row>
    <row r="219" spans="1:1" s="237" customFormat="1" x14ac:dyDescent="0.2">
      <c r="A219" s="623"/>
    </row>
    <row r="220" spans="1:1" s="237" customFormat="1" x14ac:dyDescent="0.2">
      <c r="A220" s="623"/>
    </row>
    <row r="221" spans="1:1" s="237" customFormat="1" x14ac:dyDescent="0.2">
      <c r="A221" s="623"/>
    </row>
    <row r="222" spans="1:1" s="237" customFormat="1" x14ac:dyDescent="0.2">
      <c r="A222" s="623"/>
    </row>
    <row r="223" spans="1:1" s="237" customFormat="1" x14ac:dyDescent="0.2">
      <c r="A223" s="623"/>
    </row>
    <row r="224" spans="1:1" s="237" customFormat="1" x14ac:dyDescent="0.2">
      <c r="A224" s="623"/>
    </row>
    <row r="225" spans="1:1" s="237" customFormat="1" x14ac:dyDescent="0.2">
      <c r="A225" s="623"/>
    </row>
    <row r="226" spans="1:1" s="237" customFormat="1" x14ac:dyDescent="0.2">
      <c r="A226" s="623"/>
    </row>
    <row r="227" spans="1:1" s="237" customFormat="1" x14ac:dyDescent="0.2">
      <c r="A227" s="623"/>
    </row>
    <row r="228" spans="1:1" s="237" customFormat="1" x14ac:dyDescent="0.2">
      <c r="A228" s="623"/>
    </row>
    <row r="229" spans="1:1" s="237" customFormat="1" x14ac:dyDescent="0.2">
      <c r="A229" s="623"/>
    </row>
    <row r="230" spans="1:1" s="237" customFormat="1" x14ac:dyDescent="0.2">
      <c r="A230" s="623"/>
    </row>
    <row r="231" spans="1:1" s="237" customFormat="1" x14ac:dyDescent="0.2">
      <c r="A231" s="623"/>
    </row>
    <row r="232" spans="1:1" s="237" customFormat="1" x14ac:dyDescent="0.2">
      <c r="A232" s="623"/>
    </row>
    <row r="233" spans="1:1" s="237" customFormat="1" x14ac:dyDescent="0.2">
      <c r="A233" s="623"/>
    </row>
    <row r="234" spans="1:1" s="237" customFormat="1" x14ac:dyDescent="0.2">
      <c r="A234" s="623"/>
    </row>
    <row r="235" spans="1:1" s="237" customFormat="1" x14ac:dyDescent="0.2">
      <c r="A235" s="623"/>
    </row>
    <row r="236" spans="1:1" s="237" customFormat="1" x14ac:dyDescent="0.2">
      <c r="A236" s="623"/>
    </row>
    <row r="237" spans="1:1" s="237" customFormat="1" x14ac:dyDescent="0.2">
      <c r="A237" s="623"/>
    </row>
    <row r="238" spans="1:1" s="237" customFormat="1" x14ac:dyDescent="0.2">
      <c r="A238" s="623"/>
    </row>
    <row r="239" spans="1:1" s="237" customFormat="1" x14ac:dyDescent="0.2">
      <c r="A239" s="623"/>
    </row>
    <row r="240" spans="1:1" s="237" customFormat="1" x14ac:dyDescent="0.2">
      <c r="A240" s="623"/>
    </row>
    <row r="241" spans="1:1" s="237" customFormat="1" x14ac:dyDescent="0.2">
      <c r="A241" s="623"/>
    </row>
    <row r="242" spans="1:1" s="237" customFormat="1" x14ac:dyDescent="0.2">
      <c r="A242" s="623"/>
    </row>
    <row r="243" spans="1:1" s="237" customFormat="1" x14ac:dyDescent="0.2">
      <c r="A243" s="623"/>
    </row>
    <row r="244" spans="1:1" s="237" customFormat="1" x14ac:dyDescent="0.2">
      <c r="A244" s="623"/>
    </row>
    <row r="245" spans="1:1" s="237" customFormat="1" x14ac:dyDescent="0.2">
      <c r="A245" s="623"/>
    </row>
    <row r="246" spans="1:1" s="237" customFormat="1" x14ac:dyDescent="0.2">
      <c r="A246" s="623"/>
    </row>
    <row r="247" spans="1:1" s="237" customFormat="1" x14ac:dyDescent="0.2">
      <c r="A247" s="623"/>
    </row>
    <row r="248" spans="1:1" s="237" customFormat="1" x14ac:dyDescent="0.2">
      <c r="A248" s="623"/>
    </row>
    <row r="249" spans="1:1" s="237" customFormat="1" x14ac:dyDescent="0.2">
      <c r="A249" s="623"/>
    </row>
    <row r="250" spans="1:1" s="237" customFormat="1" x14ac:dyDescent="0.2">
      <c r="A250" s="623"/>
    </row>
    <row r="251" spans="1:1" s="237" customFormat="1" x14ac:dyDescent="0.2">
      <c r="A251" s="623"/>
    </row>
    <row r="252" spans="1:1" s="237" customFormat="1" x14ac:dyDescent="0.2">
      <c r="A252" s="623"/>
    </row>
    <row r="253" spans="1:1" s="237" customFormat="1" x14ac:dyDescent="0.2">
      <c r="A253" s="623"/>
    </row>
    <row r="254" spans="1:1" s="237" customFormat="1" x14ac:dyDescent="0.2">
      <c r="A254" s="623"/>
    </row>
    <row r="255" spans="1:1" s="237" customFormat="1" x14ac:dyDescent="0.2">
      <c r="A255" s="623"/>
    </row>
  </sheetData>
  <mergeCells count="30">
    <mergeCell ref="P5:P6"/>
    <mergeCell ref="Q5:Q6"/>
    <mergeCell ref="I5:I6"/>
    <mergeCell ref="J5:J6"/>
    <mergeCell ref="K5:K6"/>
    <mergeCell ref="L5:L6"/>
    <mergeCell ref="M5:M6"/>
    <mergeCell ref="A30:B30"/>
    <mergeCell ref="A5:A6"/>
    <mergeCell ref="B5:B6"/>
    <mergeCell ref="A7:B7"/>
    <mergeCell ref="A10:B10"/>
    <mergeCell ref="A12:B12"/>
    <mergeCell ref="A28:B28"/>
    <mergeCell ref="A2:V2"/>
    <mergeCell ref="A4:V4"/>
    <mergeCell ref="C5:C6"/>
    <mergeCell ref="D5:D6"/>
    <mergeCell ref="E5:E6"/>
    <mergeCell ref="R5:R6"/>
    <mergeCell ref="S5:S6"/>
    <mergeCell ref="T5:T6"/>
    <mergeCell ref="U5:U6"/>
    <mergeCell ref="V5:V6"/>
    <mergeCell ref="A3:V3"/>
    <mergeCell ref="F5:F6"/>
    <mergeCell ref="G5:G6"/>
    <mergeCell ref="N5:N6"/>
    <mergeCell ref="O5:O6"/>
    <mergeCell ref="H5:H6"/>
  </mergeCells>
  <phoneticPr fontId="0" type="noConversion"/>
  <pageMargins left="0.17" right="0.16" top="0.75" bottom="0.75" header="0.3" footer="0.3"/>
  <pageSetup scale="9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BASE!$F$3:$F$4</xm:f>
          </x14:formula1>
          <xm:sqref>A13:A27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239" sqref="B239"/>
    </sheetView>
  </sheetViews>
  <sheetFormatPr baseColWidth="10" defaultColWidth="10.85546875" defaultRowHeight="16.5" customHeight="1" outlineLevelRow="1" x14ac:dyDescent="0.2"/>
  <cols>
    <col min="1" max="1" width="1.5703125" style="196" customWidth="1"/>
    <col min="2" max="2" width="49.28515625" style="223" customWidth="1"/>
    <col min="3" max="3" width="20" style="224" customWidth="1"/>
    <col min="4" max="4" width="57.140625" style="542" customWidth="1"/>
    <col min="5" max="7" width="0" style="196" hidden="1" customWidth="1"/>
    <col min="8" max="9" width="14" style="196" bestFit="1" customWidth="1"/>
    <col min="10" max="16384" width="10.85546875" style="196"/>
  </cols>
  <sheetData>
    <row r="1" spans="1:9" ht="60" customHeight="1" thickBot="1" x14ac:dyDescent="0.25">
      <c r="B1" s="929" t="s">
        <v>879</v>
      </c>
      <c r="C1" s="929"/>
    </row>
    <row r="2" spans="1:9" ht="18" customHeight="1" thickBot="1" x14ac:dyDescent="0.3">
      <c r="B2" s="1081" t="s">
        <v>881</v>
      </c>
      <c r="C2" s="1081"/>
      <c r="H2" s="613">
        <v>1.07</v>
      </c>
      <c r="I2" s="614">
        <v>1.07</v>
      </c>
    </row>
    <row r="3" spans="1:9" ht="12.75" customHeight="1" thickBot="1" x14ac:dyDescent="0.25">
      <c r="A3" s="197"/>
      <c r="B3" s="198" t="s">
        <v>432</v>
      </c>
      <c r="C3" s="199" t="s">
        <v>169</v>
      </c>
    </row>
    <row r="4" spans="1:9" s="201" customFormat="1" ht="13.5" customHeight="1" x14ac:dyDescent="0.2">
      <c r="B4" s="1315" t="s">
        <v>230</v>
      </c>
      <c r="C4" s="1079" t="s">
        <v>879</v>
      </c>
      <c r="D4" s="1077" t="s">
        <v>657</v>
      </c>
      <c r="E4" s="1078"/>
      <c r="F4" s="1078"/>
      <c r="G4" s="1078"/>
    </row>
    <row r="5" spans="1:9" ht="13.5" customHeight="1" thickBot="1" x14ac:dyDescent="0.25">
      <c r="B5" s="1316"/>
      <c r="C5" s="1133"/>
      <c r="D5" s="1077"/>
      <c r="E5" s="1078"/>
      <c r="F5" s="1078"/>
      <c r="G5" s="1078"/>
    </row>
    <row r="6" spans="1:9" customFormat="1" ht="12.75" x14ac:dyDescent="0.2">
      <c r="A6" s="2"/>
      <c r="B6" s="202" t="s">
        <v>0</v>
      </c>
      <c r="C6" s="203"/>
      <c r="D6" s="543"/>
      <c r="E6" s="524"/>
      <c r="F6" s="524"/>
      <c r="G6" s="524"/>
    </row>
    <row r="7" spans="1:9" customFormat="1" ht="12.75" hidden="1" outlineLevel="1" x14ac:dyDescent="0.2">
      <c r="A7" s="2"/>
      <c r="B7" s="206" t="s">
        <v>291</v>
      </c>
      <c r="C7" s="203"/>
      <c r="D7" s="543"/>
      <c r="E7" s="524"/>
      <c r="F7" s="524"/>
      <c r="G7" s="524"/>
    </row>
    <row r="8" spans="1:9" customFormat="1" ht="13.5" hidden="1" customHeight="1" outlineLevel="1" x14ac:dyDescent="0.2">
      <c r="A8" s="176">
        <v>4160050100</v>
      </c>
      <c r="B8" s="207" t="s">
        <v>1</v>
      </c>
      <c r="C8" s="226">
        <v>35378126.171746016</v>
      </c>
      <c r="D8" s="543"/>
      <c r="E8" s="524"/>
      <c r="F8" s="524"/>
      <c r="G8" s="524"/>
    </row>
    <row r="9" spans="1:9" customFormat="1" ht="13.5" hidden="1" customHeight="1" outlineLevel="1" x14ac:dyDescent="0.2">
      <c r="A9" s="610">
        <v>4160050200</v>
      </c>
      <c r="B9" s="207" t="s">
        <v>769</v>
      </c>
      <c r="C9" s="607">
        <v>0</v>
      </c>
      <c r="D9" s="543"/>
      <c r="E9" s="524"/>
      <c r="F9" s="524"/>
      <c r="G9" s="524"/>
    </row>
    <row r="10" spans="1:9" customFormat="1" ht="12.75" hidden="1" outlineLevel="1" x14ac:dyDescent="0.2">
      <c r="A10" s="3">
        <v>4160050300</v>
      </c>
      <c r="B10" s="207" t="s">
        <v>3</v>
      </c>
      <c r="C10" s="225">
        <v>143405.68000000002</v>
      </c>
      <c r="D10" s="543"/>
      <c r="E10" s="524"/>
      <c r="F10" s="524"/>
      <c r="G10" s="524"/>
    </row>
    <row r="11" spans="1:9" customFormat="1" ht="12.75" hidden="1" outlineLevel="1" x14ac:dyDescent="0.2">
      <c r="A11" s="608">
        <v>4160050500</v>
      </c>
      <c r="B11" s="207" t="s">
        <v>741</v>
      </c>
      <c r="C11" s="225">
        <v>0</v>
      </c>
      <c r="D11" s="543"/>
      <c r="E11" s="524"/>
      <c r="F11" s="524"/>
      <c r="G11" s="524"/>
    </row>
    <row r="12" spans="1:9" customFormat="1" ht="12.75" hidden="1" outlineLevel="1" x14ac:dyDescent="0.2">
      <c r="A12" s="3">
        <v>4160050600</v>
      </c>
      <c r="B12" s="207" t="s">
        <v>4</v>
      </c>
      <c r="C12" s="225">
        <v>46770.770000000004</v>
      </c>
      <c r="D12" s="543"/>
      <c r="E12" s="524"/>
      <c r="F12" s="524"/>
      <c r="G12" s="524"/>
    </row>
    <row r="13" spans="1:9" customFormat="1" ht="12.75" hidden="1" outlineLevel="1" x14ac:dyDescent="0.2">
      <c r="A13" s="3">
        <v>4160050700</v>
      </c>
      <c r="B13" s="207" t="s">
        <v>5</v>
      </c>
      <c r="C13" s="225">
        <v>37343</v>
      </c>
      <c r="D13" s="543"/>
      <c r="E13" s="524"/>
      <c r="F13" s="524"/>
      <c r="G13" s="524"/>
    </row>
    <row r="14" spans="1:9" customFormat="1" ht="12.75" hidden="1" outlineLevel="1" x14ac:dyDescent="0.2">
      <c r="A14" s="3">
        <v>4160050800</v>
      </c>
      <c r="B14" s="207" t="s">
        <v>744</v>
      </c>
      <c r="C14" s="225">
        <v>0</v>
      </c>
      <c r="D14" s="543"/>
      <c r="E14" s="524"/>
      <c r="F14" s="524"/>
      <c r="G14" s="524"/>
    </row>
    <row r="15" spans="1:9" customFormat="1" ht="12.75" hidden="1" outlineLevel="1" x14ac:dyDescent="0.2">
      <c r="A15" s="3">
        <v>4160050900</v>
      </c>
      <c r="B15" s="207" t="s">
        <v>6</v>
      </c>
      <c r="C15" s="225">
        <v>6123.6100000000006</v>
      </c>
      <c r="D15" s="543"/>
      <c r="E15" s="524"/>
      <c r="F15" s="524"/>
      <c r="G15" s="524"/>
    </row>
    <row r="16" spans="1:9" customFormat="1" ht="12.75" hidden="1" outlineLevel="1" x14ac:dyDescent="0.2">
      <c r="A16" s="3">
        <v>4160051100</v>
      </c>
      <c r="B16" s="207" t="s">
        <v>7</v>
      </c>
      <c r="C16" s="225">
        <v>3659.4</v>
      </c>
      <c r="D16" s="543"/>
      <c r="E16" s="524"/>
      <c r="F16" s="524"/>
      <c r="G16" s="524"/>
    </row>
    <row r="17" spans="1:7" customFormat="1" ht="12.75" hidden="1" outlineLevel="1" x14ac:dyDescent="0.2">
      <c r="A17" s="3">
        <v>4160051200</v>
      </c>
      <c r="B17" s="207" t="s">
        <v>8</v>
      </c>
      <c r="C17" s="225">
        <v>2985.3</v>
      </c>
      <c r="D17" s="543"/>
      <c r="E17" s="524"/>
      <c r="F17" s="524"/>
      <c r="G17" s="524"/>
    </row>
    <row r="18" spans="1:7" customFormat="1" ht="12.75" hidden="1" outlineLevel="1" x14ac:dyDescent="0.2">
      <c r="A18" s="3">
        <v>4160051300</v>
      </c>
      <c r="B18" s="207" t="s">
        <v>284</v>
      </c>
      <c r="C18" s="225">
        <v>0</v>
      </c>
      <c r="D18" s="543"/>
      <c r="E18" s="524"/>
      <c r="F18" s="524"/>
      <c r="G18" s="524"/>
    </row>
    <row r="19" spans="1:7" customFormat="1" ht="12.75" hidden="1" outlineLevel="1" x14ac:dyDescent="0.2">
      <c r="A19" s="3">
        <v>4160053000</v>
      </c>
      <c r="B19" s="207" t="s">
        <v>9</v>
      </c>
      <c r="C19" s="225">
        <v>-83323.040000000008</v>
      </c>
      <c r="D19" s="543"/>
      <c r="E19" s="524"/>
      <c r="F19" s="524"/>
      <c r="G19" s="524"/>
    </row>
    <row r="20" spans="1:7" customFormat="1" ht="12.75" hidden="1" outlineLevel="1" x14ac:dyDescent="0.2">
      <c r="A20" s="3">
        <v>4160950100</v>
      </c>
      <c r="B20" s="207" t="s">
        <v>10</v>
      </c>
      <c r="C20" s="225">
        <v>1441.2900000000002</v>
      </c>
      <c r="D20" s="543"/>
      <c r="E20" s="524"/>
      <c r="F20" s="524"/>
      <c r="G20" s="524"/>
    </row>
    <row r="21" spans="1:7" customFormat="1" ht="12.75" hidden="1" outlineLevel="1" x14ac:dyDescent="0.2">
      <c r="A21" s="3">
        <v>4160950200</v>
      </c>
      <c r="B21" s="207" t="s">
        <v>292</v>
      </c>
      <c r="C21" s="225">
        <v>0</v>
      </c>
      <c r="D21" s="543"/>
      <c r="E21" s="524"/>
      <c r="F21" s="524"/>
      <c r="G21" s="524"/>
    </row>
    <row r="22" spans="1:7" customFormat="1" ht="12.75" hidden="1" outlineLevel="1" x14ac:dyDescent="0.2">
      <c r="A22" s="3">
        <v>4160950300</v>
      </c>
      <c r="B22" s="207" t="s">
        <v>293</v>
      </c>
      <c r="C22" s="225">
        <v>0</v>
      </c>
      <c r="D22" s="543"/>
      <c r="E22" s="524"/>
      <c r="F22" s="524"/>
      <c r="G22" s="524"/>
    </row>
    <row r="23" spans="1:7" customFormat="1" ht="12.75" hidden="1" outlineLevel="1" x14ac:dyDescent="0.2">
      <c r="A23" s="3">
        <v>4160950400</v>
      </c>
      <c r="B23" s="207" t="s">
        <v>294</v>
      </c>
      <c r="C23" s="225">
        <v>0</v>
      </c>
      <c r="D23" s="543"/>
      <c r="E23" s="524"/>
      <c r="F23" s="524"/>
      <c r="G23" s="524"/>
    </row>
    <row r="24" spans="1:7" customFormat="1" ht="12.75" hidden="1" outlineLevel="1" x14ac:dyDescent="0.2">
      <c r="A24" s="3">
        <v>4160950500</v>
      </c>
      <c r="B24" s="207" t="s">
        <v>11</v>
      </c>
      <c r="C24" s="225">
        <v>2208.48</v>
      </c>
      <c r="D24" s="543"/>
      <c r="E24" s="524"/>
      <c r="F24" s="524"/>
      <c r="G24" s="524"/>
    </row>
    <row r="25" spans="1:7" customFormat="1" ht="12.75" hidden="1" outlineLevel="1" x14ac:dyDescent="0.2">
      <c r="A25" s="3">
        <v>4160950600</v>
      </c>
      <c r="B25" s="207" t="s">
        <v>12</v>
      </c>
      <c r="C25" s="225">
        <v>0</v>
      </c>
      <c r="D25" s="543"/>
      <c r="E25" s="524"/>
      <c r="F25" s="524"/>
      <c r="G25" s="524"/>
    </row>
    <row r="26" spans="1:7" customFormat="1" ht="12.75" hidden="1" outlineLevel="1" x14ac:dyDescent="0.2">
      <c r="A26" s="3">
        <v>4160950700</v>
      </c>
      <c r="B26" s="207" t="s">
        <v>295</v>
      </c>
      <c r="C26" s="225">
        <v>0</v>
      </c>
      <c r="D26" s="543"/>
      <c r="E26" s="524"/>
      <c r="F26" s="524"/>
      <c r="G26" s="524"/>
    </row>
    <row r="27" spans="1:7" customFormat="1" ht="12.75" hidden="1" outlineLevel="1" x14ac:dyDescent="0.2">
      <c r="A27" s="608">
        <v>4160950800</v>
      </c>
      <c r="B27" s="207" t="s">
        <v>742</v>
      </c>
      <c r="C27" s="609">
        <v>0</v>
      </c>
      <c r="D27" s="543"/>
      <c r="E27" s="524"/>
      <c r="F27" s="524"/>
      <c r="G27" s="524"/>
    </row>
    <row r="28" spans="1:7" customFormat="1" ht="12.75" hidden="1" outlineLevel="1" x14ac:dyDescent="0.2">
      <c r="A28" s="608">
        <v>4160951000</v>
      </c>
      <c r="B28" s="207" t="s">
        <v>743</v>
      </c>
      <c r="C28" s="609">
        <v>0</v>
      </c>
      <c r="D28" s="543"/>
      <c r="E28" s="524"/>
      <c r="F28" s="524"/>
      <c r="G28" s="524"/>
    </row>
    <row r="29" spans="1:7" customFormat="1" ht="12.75" collapsed="1" x14ac:dyDescent="0.2">
      <c r="A29" s="176"/>
      <c r="B29" s="209" t="s">
        <v>13</v>
      </c>
      <c r="C29" s="540">
        <f>SUM(C8:C28)</f>
        <v>35538740.66174601</v>
      </c>
      <c r="D29" s="543"/>
      <c r="E29" s="524"/>
      <c r="F29" s="524"/>
      <c r="G29" s="524"/>
    </row>
    <row r="30" spans="1:7" customFormat="1" ht="12.75" x14ac:dyDescent="0.2">
      <c r="A30" s="176"/>
      <c r="B30" s="206" t="s">
        <v>296</v>
      </c>
      <c r="C30" s="208" t="s">
        <v>169</v>
      </c>
      <c r="D30" s="543"/>
      <c r="E30" s="524"/>
      <c r="F30" s="524"/>
      <c r="G30" s="524"/>
    </row>
    <row r="31" spans="1:7" customFormat="1" ht="12.75" hidden="1" x14ac:dyDescent="0.2">
      <c r="A31" s="176"/>
      <c r="B31" s="212" t="s">
        <v>297</v>
      </c>
      <c r="C31" s="208" t="s">
        <v>169</v>
      </c>
      <c r="D31" s="543"/>
      <c r="E31" s="524"/>
      <c r="F31" s="524"/>
      <c r="G31" s="524"/>
    </row>
    <row r="32" spans="1:7" customFormat="1" ht="12.75" hidden="1" outlineLevel="1" x14ac:dyDescent="0.2">
      <c r="A32" s="176"/>
      <c r="B32" s="212" t="s">
        <v>298</v>
      </c>
      <c r="C32" s="208"/>
      <c r="D32" s="543"/>
      <c r="E32" s="524"/>
      <c r="F32" s="524"/>
      <c r="G32" s="524"/>
    </row>
    <row r="33" spans="1:7" customFormat="1" ht="12.75" hidden="1" outlineLevel="1" x14ac:dyDescent="0.2">
      <c r="A33" s="610">
        <v>5105030000</v>
      </c>
      <c r="B33" s="207" t="s">
        <v>770</v>
      </c>
      <c r="C33" s="642">
        <v>0</v>
      </c>
      <c r="D33" s="543"/>
      <c r="E33" s="524"/>
      <c r="F33" s="524"/>
      <c r="G33" s="524"/>
    </row>
    <row r="34" spans="1:7" customFormat="1" ht="12.75" hidden="1" outlineLevel="1" x14ac:dyDescent="0.2">
      <c r="A34" s="176">
        <v>5105060000</v>
      </c>
      <c r="B34" s="207" t="s">
        <v>20</v>
      </c>
      <c r="C34" s="226">
        <v>9209447.6533333398</v>
      </c>
      <c r="D34" s="543"/>
      <c r="E34" s="524"/>
      <c r="F34" s="524"/>
      <c r="G34" s="524"/>
    </row>
    <row r="35" spans="1:7" customFormat="1" ht="12.75" hidden="1" outlineLevel="1" x14ac:dyDescent="0.2">
      <c r="A35" s="176">
        <v>5105150000</v>
      </c>
      <c r="B35" s="207" t="s">
        <v>21</v>
      </c>
      <c r="C35" s="225">
        <v>0</v>
      </c>
      <c r="D35" s="543"/>
      <c r="E35" s="524"/>
      <c r="F35" s="524"/>
      <c r="G35" s="524"/>
    </row>
    <row r="36" spans="1:7" customFormat="1" ht="12.75" hidden="1" outlineLevel="1" x14ac:dyDescent="0.2">
      <c r="A36" s="176">
        <v>5105240000</v>
      </c>
      <c r="B36" s="207" t="s">
        <v>22</v>
      </c>
      <c r="C36" s="225">
        <v>1291.49</v>
      </c>
      <c r="D36" s="543"/>
      <c r="E36" s="524"/>
      <c r="F36" s="524"/>
      <c r="G36" s="524"/>
    </row>
    <row r="37" spans="1:7" customFormat="1" ht="12.75" hidden="1" outlineLevel="1" x14ac:dyDescent="0.2">
      <c r="A37" s="176">
        <v>5105250000</v>
      </c>
      <c r="B37" s="207" t="s">
        <v>739</v>
      </c>
      <c r="C37" s="225">
        <v>33.17</v>
      </c>
      <c r="D37" s="543"/>
      <c r="E37" s="524"/>
      <c r="F37" s="524"/>
      <c r="G37" s="524"/>
    </row>
    <row r="38" spans="1:7" customFormat="1" ht="12.75" hidden="1" outlineLevel="1" x14ac:dyDescent="0.2">
      <c r="A38" s="176">
        <v>5105270000</v>
      </c>
      <c r="B38" s="207" t="s">
        <v>23</v>
      </c>
      <c r="C38" s="226">
        <v>47549.965400000001</v>
      </c>
      <c r="D38" s="543"/>
      <c r="E38" s="524"/>
      <c r="F38" s="524"/>
      <c r="G38" s="524"/>
    </row>
    <row r="39" spans="1:7" customFormat="1" ht="12.75" hidden="1" outlineLevel="1" x14ac:dyDescent="0.2">
      <c r="A39" s="176">
        <v>5105300000</v>
      </c>
      <c r="B39" s="207" t="s">
        <v>24</v>
      </c>
      <c r="C39" s="226">
        <v>1261781.8399320689</v>
      </c>
      <c r="D39" s="543"/>
      <c r="E39" s="524"/>
      <c r="F39" s="524"/>
      <c r="G39" s="524"/>
    </row>
    <row r="40" spans="1:7" customFormat="1" ht="12.75" hidden="1" outlineLevel="1" x14ac:dyDescent="0.2">
      <c r="A40" s="176">
        <v>5105330000</v>
      </c>
      <c r="B40" s="207" t="s">
        <v>25</v>
      </c>
      <c r="C40" s="226">
        <v>411698.53220271412</v>
      </c>
      <c r="D40" s="543"/>
      <c r="E40" s="524"/>
      <c r="F40" s="524"/>
      <c r="G40" s="524"/>
    </row>
    <row r="41" spans="1:7" customFormat="1" ht="12.75" hidden="1" outlineLevel="1" x14ac:dyDescent="0.2">
      <c r="A41" s="176">
        <v>5105360000</v>
      </c>
      <c r="B41" s="207" t="s">
        <v>26</v>
      </c>
      <c r="C41" s="226">
        <v>814052.81200000003</v>
      </c>
      <c r="D41" s="543"/>
      <c r="E41" s="524"/>
      <c r="F41" s="524"/>
      <c r="G41" s="524"/>
    </row>
    <row r="42" spans="1:7" customFormat="1" ht="12.75" hidden="1" outlineLevel="1" x14ac:dyDescent="0.2">
      <c r="A42" s="176">
        <v>5105390000</v>
      </c>
      <c r="B42" s="207" t="s">
        <v>27</v>
      </c>
      <c r="C42" s="226">
        <v>767453.97111111169</v>
      </c>
      <c r="D42" s="543"/>
      <c r="E42" s="524"/>
      <c r="F42" s="524"/>
      <c r="G42" s="524"/>
    </row>
    <row r="43" spans="1:7" customFormat="1" ht="12.75" hidden="1" outlineLevel="1" x14ac:dyDescent="0.2">
      <c r="A43" s="176">
        <v>5105420000</v>
      </c>
      <c r="B43" s="207" t="s">
        <v>505</v>
      </c>
      <c r="C43" s="225">
        <v>0</v>
      </c>
      <c r="D43" s="543"/>
      <c r="E43" s="524"/>
      <c r="F43" s="524"/>
      <c r="G43" s="524"/>
    </row>
    <row r="44" spans="1:7" customFormat="1" ht="12.75" hidden="1" outlineLevel="1" x14ac:dyDescent="0.2">
      <c r="A44" s="176">
        <v>5105450000</v>
      </c>
      <c r="B44" s="207" t="s">
        <v>28</v>
      </c>
      <c r="C44" s="225">
        <v>51065.75</v>
      </c>
      <c r="D44" s="543"/>
      <c r="E44" s="524"/>
      <c r="F44" s="524"/>
      <c r="G44" s="524"/>
    </row>
    <row r="45" spans="1:7" customFormat="1" ht="12.75" hidden="1" outlineLevel="1" x14ac:dyDescent="0.2">
      <c r="A45" s="176">
        <v>5105480000</v>
      </c>
      <c r="B45" s="207" t="s">
        <v>425</v>
      </c>
      <c r="C45" s="225">
        <v>0</v>
      </c>
      <c r="D45" s="543"/>
      <c r="E45" s="524"/>
      <c r="F45" s="524"/>
      <c r="G45" s="524"/>
    </row>
    <row r="46" spans="1:7" customFormat="1" ht="12.75" hidden="1" outlineLevel="1" x14ac:dyDescent="0.2">
      <c r="A46" s="176">
        <v>5105510000</v>
      </c>
      <c r="B46" s="207" t="s">
        <v>29</v>
      </c>
      <c r="C46" s="225">
        <v>7753.22</v>
      </c>
      <c r="D46" s="543"/>
      <c r="E46" s="524"/>
      <c r="F46" s="524"/>
      <c r="G46" s="524"/>
    </row>
    <row r="47" spans="1:7" customFormat="1" ht="12.75" hidden="1" outlineLevel="1" x14ac:dyDescent="0.2">
      <c r="A47" s="176">
        <v>5105600000</v>
      </c>
      <c r="B47" s="207" t="s">
        <v>299</v>
      </c>
      <c r="C47" s="225">
        <v>0</v>
      </c>
      <c r="D47" s="543"/>
      <c r="E47" s="524"/>
      <c r="F47" s="524"/>
      <c r="G47" s="524"/>
    </row>
    <row r="48" spans="1:7" customFormat="1" ht="12.75" hidden="1" outlineLevel="1" x14ac:dyDescent="0.2">
      <c r="A48" s="176">
        <v>5105630000</v>
      </c>
      <c r="B48" s="207" t="s">
        <v>300</v>
      </c>
      <c r="C48" s="226">
        <v>36900</v>
      </c>
      <c r="D48" s="543"/>
      <c r="E48" s="524"/>
      <c r="F48" s="524"/>
      <c r="G48" s="524"/>
    </row>
    <row r="49" spans="1:7" customFormat="1" ht="12.75" hidden="1" outlineLevel="1" x14ac:dyDescent="0.2">
      <c r="A49" s="176">
        <v>5105640000</v>
      </c>
      <c r="B49" s="207" t="s">
        <v>740</v>
      </c>
      <c r="C49" s="607">
        <v>11350.560000000001</v>
      </c>
      <c r="D49" s="543"/>
      <c r="E49" s="524"/>
      <c r="F49" s="524"/>
      <c r="G49" s="524"/>
    </row>
    <row r="50" spans="1:7" customFormat="1" ht="12.75" hidden="1" outlineLevel="1" x14ac:dyDescent="0.2">
      <c r="A50" s="176">
        <v>5105660000</v>
      </c>
      <c r="B50" s="207" t="s">
        <v>301</v>
      </c>
      <c r="C50" s="225">
        <v>0</v>
      </c>
      <c r="D50" s="543"/>
      <c r="E50" s="524"/>
      <c r="F50" s="524"/>
      <c r="G50" s="524"/>
    </row>
    <row r="51" spans="1:7" customFormat="1" ht="12.75" hidden="1" outlineLevel="1" x14ac:dyDescent="0.2">
      <c r="A51" s="176">
        <v>5105680000</v>
      </c>
      <c r="B51" s="207" t="s">
        <v>30</v>
      </c>
      <c r="C51" s="226">
        <v>51393.137814000002</v>
      </c>
      <c r="D51" s="543"/>
      <c r="E51" s="524"/>
      <c r="F51" s="524"/>
      <c r="G51" s="524"/>
    </row>
    <row r="52" spans="1:7" customFormat="1" ht="12.75" hidden="1" outlineLevel="1" x14ac:dyDescent="0.2">
      <c r="A52" s="176">
        <v>5105690000</v>
      </c>
      <c r="B52" s="207" t="s">
        <v>31</v>
      </c>
      <c r="C52" s="226">
        <v>939251.75795111118</v>
      </c>
      <c r="D52" s="543"/>
      <c r="E52" s="524"/>
      <c r="F52" s="524"/>
      <c r="G52" s="524"/>
    </row>
    <row r="53" spans="1:7" customFormat="1" ht="12.75" hidden="1" outlineLevel="1" x14ac:dyDescent="0.2">
      <c r="A53" s="176">
        <v>5105700000</v>
      </c>
      <c r="B53" s="207" t="s">
        <v>32</v>
      </c>
      <c r="C53" s="226">
        <v>925593.30943333334</v>
      </c>
      <c r="D53" s="543"/>
      <c r="E53" s="524"/>
      <c r="F53" s="524"/>
      <c r="G53" s="524"/>
    </row>
    <row r="54" spans="1:7" customFormat="1" ht="12.75" hidden="1" outlineLevel="1" x14ac:dyDescent="0.2">
      <c r="A54" s="176">
        <v>5105720000</v>
      </c>
      <c r="B54" s="207" t="s">
        <v>33</v>
      </c>
      <c r="C54" s="226">
        <v>388842.9565196177</v>
      </c>
      <c r="D54" s="543"/>
      <c r="E54" s="524"/>
      <c r="F54" s="524"/>
      <c r="G54" s="524"/>
    </row>
    <row r="55" spans="1:7" customFormat="1" ht="12.75" hidden="1" outlineLevel="1" x14ac:dyDescent="0.2">
      <c r="A55" s="176">
        <v>5105750000</v>
      </c>
      <c r="B55" s="207" t="s">
        <v>34</v>
      </c>
      <c r="C55" s="226">
        <v>291632.21738971327</v>
      </c>
      <c r="D55" s="543"/>
      <c r="E55" s="524"/>
      <c r="F55" s="524"/>
      <c r="G55" s="524"/>
    </row>
    <row r="56" spans="1:7" customFormat="1" ht="12.75" hidden="1" outlineLevel="1" x14ac:dyDescent="0.2">
      <c r="A56" s="176">
        <v>5105780000</v>
      </c>
      <c r="B56" s="207" t="s">
        <v>35</v>
      </c>
      <c r="C56" s="226">
        <v>194421.47825980885</v>
      </c>
      <c r="D56" s="543"/>
      <c r="E56" s="524"/>
      <c r="F56" s="524"/>
      <c r="G56" s="524"/>
    </row>
    <row r="57" spans="1:7" customFormat="1" ht="12.75" hidden="1" outlineLevel="1" x14ac:dyDescent="0.2">
      <c r="A57" s="176">
        <v>5105840000</v>
      </c>
      <c r="B57" s="207" t="s">
        <v>302</v>
      </c>
      <c r="C57" s="225">
        <v>0</v>
      </c>
      <c r="D57" s="543"/>
      <c r="E57" s="524"/>
      <c r="F57" s="524"/>
      <c r="G57" s="524"/>
    </row>
    <row r="58" spans="1:7" customFormat="1" ht="12.75" hidden="1" outlineLevel="1" x14ac:dyDescent="0.2">
      <c r="A58" s="176">
        <v>5105950100</v>
      </c>
      <c r="B58" s="207" t="s">
        <v>36</v>
      </c>
      <c r="C58" s="225">
        <v>0</v>
      </c>
      <c r="D58" s="543"/>
      <c r="E58" s="524"/>
      <c r="F58" s="524"/>
      <c r="G58" s="524"/>
    </row>
    <row r="59" spans="1:7" customFormat="1" ht="12.75" hidden="1" outlineLevel="1" x14ac:dyDescent="0.2">
      <c r="A59" s="176">
        <v>5105950200</v>
      </c>
      <c r="B59" s="207" t="s">
        <v>37</v>
      </c>
      <c r="C59" s="225">
        <v>0</v>
      </c>
      <c r="D59" s="543"/>
      <c r="E59" s="524"/>
      <c r="F59" s="524"/>
      <c r="G59" s="524"/>
    </row>
    <row r="60" spans="1:7" customFormat="1" ht="12.75" hidden="1" outlineLevel="1" x14ac:dyDescent="0.2">
      <c r="A60" s="176">
        <v>5105950300</v>
      </c>
      <c r="B60" s="207" t="s">
        <v>38</v>
      </c>
      <c r="C60" s="225">
        <v>0</v>
      </c>
      <c r="D60" s="543"/>
      <c r="E60" s="524"/>
      <c r="F60" s="524"/>
      <c r="G60" s="524"/>
    </row>
    <row r="61" spans="1:7" customFormat="1" ht="12.75" collapsed="1" x14ac:dyDescent="0.2">
      <c r="A61" s="176"/>
      <c r="B61" s="213" t="s">
        <v>303</v>
      </c>
      <c r="C61" s="214">
        <f>SUM(C33:C60)</f>
        <v>15411513.821346819</v>
      </c>
      <c r="D61" s="543"/>
      <c r="E61" s="524"/>
      <c r="F61" s="524"/>
      <c r="G61" s="524"/>
    </row>
    <row r="62" spans="1:7" customFormat="1" ht="12.75" hidden="1" outlineLevel="1" x14ac:dyDescent="0.2">
      <c r="A62" s="176"/>
      <c r="B62" s="212" t="s">
        <v>304</v>
      </c>
      <c r="C62" s="208" t="s">
        <v>169</v>
      </c>
      <c r="D62" s="543"/>
      <c r="E62" s="524"/>
      <c r="F62" s="524"/>
      <c r="G62" s="524"/>
    </row>
    <row r="63" spans="1:7" customFormat="1" ht="12.75" hidden="1" outlineLevel="1" x14ac:dyDescent="0.2">
      <c r="A63" s="3">
        <v>5110100000</v>
      </c>
      <c r="B63" s="207" t="s">
        <v>307</v>
      </c>
      <c r="C63" s="225">
        <v>0</v>
      </c>
      <c r="D63" s="543"/>
      <c r="E63" s="524"/>
      <c r="F63" s="524"/>
      <c r="G63" s="524"/>
    </row>
    <row r="64" spans="1:7" customFormat="1" ht="12.75" hidden="1" outlineLevel="1" x14ac:dyDescent="0.2">
      <c r="A64" s="3">
        <v>5110200000</v>
      </c>
      <c r="B64" s="207" t="s">
        <v>640</v>
      </c>
      <c r="C64" s="225">
        <v>0</v>
      </c>
      <c r="D64" s="543"/>
      <c r="E64" s="524"/>
      <c r="F64" s="524"/>
      <c r="G64" s="524"/>
    </row>
    <row r="65" spans="1:7" customFormat="1" ht="12.75" hidden="1" outlineLevel="1" x14ac:dyDescent="0.2">
      <c r="A65" s="3">
        <v>5110250000</v>
      </c>
      <c r="B65" s="207" t="s">
        <v>308</v>
      </c>
      <c r="C65" s="225">
        <v>0</v>
      </c>
      <c r="D65" s="543"/>
      <c r="E65" s="524"/>
      <c r="F65" s="524"/>
      <c r="G65" s="524"/>
    </row>
    <row r="66" spans="1:7" customFormat="1" ht="12.75" hidden="1" outlineLevel="1" x14ac:dyDescent="0.2">
      <c r="A66" s="608">
        <v>5110350000</v>
      </c>
      <c r="B66" s="207" t="s">
        <v>745</v>
      </c>
      <c r="C66" s="225">
        <v>0</v>
      </c>
      <c r="D66" s="543"/>
      <c r="E66" s="524"/>
      <c r="F66" s="524"/>
      <c r="G66" s="524"/>
    </row>
    <row r="67" spans="1:7" customFormat="1" ht="12.75" hidden="1" outlineLevel="1" x14ac:dyDescent="0.2">
      <c r="A67" s="176">
        <v>5110350100</v>
      </c>
      <c r="B67" s="577" t="s">
        <v>686</v>
      </c>
      <c r="C67" s="226">
        <v>333826.09399999998</v>
      </c>
      <c r="D67" s="543"/>
      <c r="E67" s="524"/>
      <c r="F67" s="524"/>
      <c r="G67" s="524"/>
    </row>
    <row r="68" spans="1:7" customFormat="1" ht="12.75" hidden="1" outlineLevel="1" x14ac:dyDescent="0.2">
      <c r="A68" s="176">
        <v>5110350300</v>
      </c>
      <c r="B68" s="207" t="s">
        <v>40</v>
      </c>
      <c r="C68" s="225">
        <v>0</v>
      </c>
      <c r="D68" s="543"/>
      <c r="E68" s="524"/>
      <c r="F68" s="524"/>
      <c r="G68" s="524"/>
    </row>
    <row r="69" spans="1:7" customFormat="1" ht="12.75" hidden="1" outlineLevel="1" x14ac:dyDescent="0.2">
      <c r="A69" s="176">
        <v>5110350400</v>
      </c>
      <c r="B69" s="207" t="s">
        <v>41</v>
      </c>
      <c r="C69" s="225">
        <v>0</v>
      </c>
      <c r="D69" s="543"/>
      <c r="E69" s="524"/>
      <c r="F69" s="524"/>
      <c r="G69" s="524"/>
    </row>
    <row r="70" spans="1:7" customFormat="1" ht="12.75" hidden="1" outlineLevel="1" x14ac:dyDescent="0.2">
      <c r="A70" s="176">
        <v>5110350600</v>
      </c>
      <c r="B70" s="207" t="s">
        <v>305</v>
      </c>
      <c r="C70" s="225">
        <v>53660.5</v>
      </c>
      <c r="D70" s="543"/>
      <c r="E70" s="524"/>
      <c r="F70" s="524"/>
      <c r="G70" s="524"/>
    </row>
    <row r="71" spans="1:7" customFormat="1" ht="12.75" hidden="1" outlineLevel="1" x14ac:dyDescent="0.2">
      <c r="A71" s="176">
        <v>5110950000</v>
      </c>
      <c r="B71" s="207" t="s">
        <v>42</v>
      </c>
      <c r="C71" s="226">
        <v>5500</v>
      </c>
      <c r="D71" s="543"/>
      <c r="E71" s="524"/>
      <c r="F71" s="524"/>
      <c r="G71" s="524"/>
    </row>
    <row r="72" spans="1:7" customFormat="1" ht="12.75" collapsed="1" x14ac:dyDescent="0.2">
      <c r="A72" s="176"/>
      <c r="B72" s="213" t="s">
        <v>306</v>
      </c>
      <c r="C72" s="214">
        <f>SUM(C63:C71)</f>
        <v>392986.59399999998</v>
      </c>
      <c r="D72" s="543"/>
      <c r="E72" s="524"/>
      <c r="F72" s="524"/>
      <c r="G72" s="524"/>
    </row>
    <row r="73" spans="1:7" customFormat="1" ht="12.75" hidden="1" customHeight="1" outlineLevel="1" x14ac:dyDescent="0.2">
      <c r="A73" s="176"/>
      <c r="B73" s="212" t="s">
        <v>506</v>
      </c>
      <c r="C73" s="208"/>
      <c r="D73" s="543"/>
      <c r="E73" s="524"/>
      <c r="F73" s="524"/>
      <c r="G73" s="524"/>
    </row>
    <row r="74" spans="1:7" customFormat="1" ht="12.75" hidden="1" outlineLevel="1" x14ac:dyDescent="0.2">
      <c r="A74" s="176">
        <v>5110350200</v>
      </c>
      <c r="B74" s="207" t="s">
        <v>507</v>
      </c>
      <c r="C74" s="226">
        <v>2431721.0660000001</v>
      </c>
      <c r="D74" s="543"/>
      <c r="E74" s="524"/>
      <c r="F74" s="524"/>
      <c r="G74" s="524"/>
    </row>
    <row r="75" spans="1:7" customFormat="1" ht="12.75" customHeight="1" collapsed="1" x14ac:dyDescent="0.2">
      <c r="A75" s="176"/>
      <c r="B75" s="213" t="s">
        <v>523</v>
      </c>
      <c r="C75" s="214">
        <f>+C74</f>
        <v>2431721.0660000001</v>
      </c>
      <c r="D75" s="543"/>
      <c r="E75" s="524"/>
      <c r="F75" s="524"/>
      <c r="G75" s="524"/>
    </row>
    <row r="76" spans="1:7" customFormat="1" ht="12.75" hidden="1" outlineLevel="1" x14ac:dyDescent="0.2">
      <c r="A76" s="176"/>
      <c r="B76" s="212" t="s">
        <v>44</v>
      </c>
      <c r="C76" s="208" t="s">
        <v>169</v>
      </c>
      <c r="D76" s="543"/>
      <c r="E76" s="524"/>
      <c r="F76" s="524"/>
      <c r="G76" s="524"/>
    </row>
    <row r="77" spans="1:7" customFormat="1" ht="12.75" hidden="1" outlineLevel="1" x14ac:dyDescent="0.2">
      <c r="A77" s="176"/>
      <c r="B77" s="212" t="s">
        <v>508</v>
      </c>
      <c r="C77" s="208"/>
      <c r="D77" s="543"/>
      <c r="E77" s="524"/>
      <c r="F77" s="524"/>
      <c r="G77" s="524"/>
    </row>
    <row r="78" spans="1:7" customFormat="1" ht="12.75" hidden="1" outlineLevel="1" x14ac:dyDescent="0.2">
      <c r="A78" s="3">
        <v>5115050000</v>
      </c>
      <c r="B78" s="207" t="s">
        <v>309</v>
      </c>
      <c r="C78" s="225">
        <v>0</v>
      </c>
      <c r="D78" s="543"/>
      <c r="E78" s="524"/>
      <c r="F78" s="524"/>
      <c r="G78" s="524"/>
    </row>
    <row r="79" spans="1:7" customFormat="1" ht="12.75" hidden="1" outlineLevel="1" x14ac:dyDescent="0.2">
      <c r="A79" s="3">
        <v>5115150000</v>
      </c>
      <c r="B79" s="207" t="s">
        <v>310</v>
      </c>
      <c r="C79" s="225">
        <v>0</v>
      </c>
      <c r="D79" s="543"/>
      <c r="E79" s="524"/>
      <c r="F79" s="524"/>
      <c r="G79" s="524"/>
    </row>
    <row r="80" spans="1:7" customFormat="1" ht="12.75" hidden="1" outlineLevel="1" x14ac:dyDescent="0.2">
      <c r="A80" s="608">
        <v>5115250000</v>
      </c>
      <c r="B80" s="207" t="s">
        <v>746</v>
      </c>
      <c r="C80" s="225">
        <v>0</v>
      </c>
      <c r="D80" s="543"/>
      <c r="E80" s="524"/>
      <c r="F80" s="524"/>
      <c r="G80" s="524"/>
    </row>
    <row r="81" spans="1:7" customFormat="1" ht="12.75" hidden="1" outlineLevel="1" x14ac:dyDescent="0.2">
      <c r="A81" s="3">
        <v>5115950200</v>
      </c>
      <c r="B81" s="207" t="s">
        <v>311</v>
      </c>
      <c r="C81" s="225">
        <v>0</v>
      </c>
      <c r="D81" s="543"/>
      <c r="E81" s="524"/>
      <c r="F81" s="524"/>
      <c r="G81" s="524"/>
    </row>
    <row r="82" spans="1:7" customFormat="1" ht="12.75" hidden="1" outlineLevel="1" x14ac:dyDescent="0.2">
      <c r="A82" s="608">
        <v>5115950500</v>
      </c>
      <c r="B82" s="207" t="s">
        <v>747</v>
      </c>
      <c r="C82" s="225">
        <v>0</v>
      </c>
      <c r="D82" s="543"/>
      <c r="E82" s="524"/>
      <c r="F82" s="524"/>
      <c r="G82" s="524"/>
    </row>
    <row r="83" spans="1:7" customFormat="1" ht="12.75" hidden="1" outlineLevel="1" x14ac:dyDescent="0.2">
      <c r="A83" s="3"/>
      <c r="B83" s="212" t="s">
        <v>446</v>
      </c>
      <c r="C83" s="225"/>
      <c r="D83" s="543"/>
      <c r="E83" s="524"/>
      <c r="F83" s="524"/>
      <c r="G83" s="524"/>
    </row>
    <row r="84" spans="1:7" customFormat="1" ht="12.75" hidden="1" outlineLevel="1" x14ac:dyDescent="0.2">
      <c r="A84" s="3">
        <v>5120100000</v>
      </c>
      <c r="B84" s="207" t="s">
        <v>772</v>
      </c>
      <c r="C84" s="226">
        <v>0</v>
      </c>
      <c r="D84" s="543"/>
      <c r="E84" s="524"/>
      <c r="F84" s="524"/>
      <c r="G84" s="524"/>
    </row>
    <row r="85" spans="1:7" customFormat="1" ht="12.75" hidden="1" outlineLevel="1" x14ac:dyDescent="0.2">
      <c r="A85" s="3">
        <v>5120250000</v>
      </c>
      <c r="B85" s="207" t="s">
        <v>312</v>
      </c>
      <c r="C85" s="225">
        <v>918.06000000000006</v>
      </c>
      <c r="D85" s="543"/>
      <c r="E85" s="524"/>
      <c r="F85" s="524"/>
      <c r="G85" s="524"/>
    </row>
    <row r="86" spans="1:7" customFormat="1" ht="12.75" hidden="1" outlineLevel="1" x14ac:dyDescent="0.2">
      <c r="A86" s="3">
        <v>5120300000</v>
      </c>
      <c r="B86" s="207" t="s">
        <v>313</v>
      </c>
      <c r="C86" s="225">
        <v>0</v>
      </c>
      <c r="D86" s="543"/>
      <c r="E86" s="524"/>
      <c r="F86" s="524"/>
      <c r="G86" s="524"/>
    </row>
    <row r="87" spans="1:7" customFormat="1" ht="12.75" hidden="1" outlineLevel="1" x14ac:dyDescent="0.2">
      <c r="A87" s="3">
        <v>5120950000</v>
      </c>
      <c r="B87" s="207" t="s">
        <v>45</v>
      </c>
      <c r="C87" s="225">
        <v>0</v>
      </c>
      <c r="D87" s="543"/>
      <c r="E87" s="524"/>
      <c r="F87" s="524"/>
      <c r="G87" s="524"/>
    </row>
    <row r="88" spans="1:7" customFormat="1" ht="12.75" hidden="1" outlineLevel="1" x14ac:dyDescent="0.2">
      <c r="A88" s="3"/>
      <c r="B88" s="212" t="s">
        <v>509</v>
      </c>
      <c r="C88" s="225" t="s">
        <v>169</v>
      </c>
      <c r="D88" s="543"/>
      <c r="E88" s="524"/>
      <c r="F88" s="524"/>
      <c r="G88" s="524"/>
    </row>
    <row r="89" spans="1:7" customFormat="1" ht="12.75" hidden="1" outlineLevel="1" x14ac:dyDescent="0.2">
      <c r="A89" s="3">
        <v>5125100000</v>
      </c>
      <c r="B89" s="207" t="s">
        <v>46</v>
      </c>
      <c r="C89" s="226">
        <v>30000</v>
      </c>
      <c r="D89" s="543"/>
      <c r="E89" s="524"/>
      <c r="F89" s="524"/>
      <c r="G89" s="524"/>
    </row>
    <row r="90" spans="1:7" customFormat="1" ht="12.75" hidden="1" outlineLevel="1" x14ac:dyDescent="0.2">
      <c r="A90" s="3"/>
      <c r="B90" s="212" t="s">
        <v>510</v>
      </c>
      <c r="C90" s="225" t="s">
        <v>169</v>
      </c>
      <c r="D90" s="543"/>
      <c r="E90" s="524"/>
      <c r="F90" s="524"/>
      <c r="G90" s="524"/>
    </row>
    <row r="91" spans="1:7" customFormat="1" ht="12.75" hidden="1" outlineLevel="1" x14ac:dyDescent="0.2">
      <c r="A91" s="3">
        <v>5130100000</v>
      </c>
      <c r="B91" s="207" t="s">
        <v>47</v>
      </c>
      <c r="C91" s="226">
        <v>0</v>
      </c>
      <c r="D91" s="543"/>
      <c r="E91" s="524"/>
      <c r="F91" s="524"/>
      <c r="G91" s="524"/>
    </row>
    <row r="92" spans="1:7" customFormat="1" ht="12.75" hidden="1" outlineLevel="1" x14ac:dyDescent="0.2">
      <c r="A92" s="3">
        <v>5130600000</v>
      </c>
      <c r="B92" s="207" t="s">
        <v>48</v>
      </c>
      <c r="C92" s="225">
        <v>2075.8000000000002</v>
      </c>
      <c r="D92" s="543"/>
      <c r="E92" s="524"/>
      <c r="F92" s="524"/>
      <c r="G92" s="524"/>
    </row>
    <row r="93" spans="1:7" customFormat="1" ht="12.75" hidden="1" outlineLevel="1" x14ac:dyDescent="0.2">
      <c r="A93" s="3">
        <v>5130950200</v>
      </c>
      <c r="B93" s="207" t="s">
        <v>314</v>
      </c>
      <c r="C93" s="225">
        <v>0</v>
      </c>
      <c r="D93" s="543"/>
      <c r="E93" s="524"/>
      <c r="F93" s="524"/>
      <c r="G93" s="524"/>
    </row>
    <row r="94" spans="1:7" customFormat="1" ht="12.75" hidden="1" outlineLevel="1" x14ac:dyDescent="0.2">
      <c r="A94" s="3">
        <v>5130950300</v>
      </c>
      <c r="B94" s="207" t="s">
        <v>49</v>
      </c>
      <c r="C94" s="316">
        <v>8985.1298708142676</v>
      </c>
      <c r="D94" s="543"/>
      <c r="E94" s="524"/>
      <c r="F94" s="524"/>
      <c r="G94" s="524"/>
    </row>
    <row r="95" spans="1:7" customFormat="1" ht="12.75" hidden="1" outlineLevel="1" x14ac:dyDescent="0.2">
      <c r="A95" s="608">
        <v>5130950400</v>
      </c>
      <c r="B95" s="207" t="s">
        <v>748</v>
      </c>
      <c r="C95" s="607">
        <v>0</v>
      </c>
      <c r="D95" s="543"/>
      <c r="E95" s="524"/>
      <c r="F95" s="524"/>
      <c r="G95" s="524"/>
    </row>
    <row r="96" spans="1:7" customFormat="1" ht="12.75" hidden="1" outlineLevel="1" x14ac:dyDescent="0.2">
      <c r="A96" s="3"/>
      <c r="B96" s="212" t="s">
        <v>511</v>
      </c>
      <c r="C96" s="225" t="s">
        <v>169</v>
      </c>
      <c r="D96" s="543"/>
      <c r="E96" s="524"/>
      <c r="F96" s="524"/>
      <c r="G96" s="524"/>
    </row>
    <row r="97" spans="1:7" customFormat="1" ht="12.75" hidden="1" outlineLevel="1" x14ac:dyDescent="0.2">
      <c r="A97" s="3">
        <v>5135050100</v>
      </c>
      <c r="B97" s="207" t="s">
        <v>315</v>
      </c>
      <c r="C97" s="225">
        <v>0</v>
      </c>
      <c r="D97" s="543"/>
      <c r="E97" s="524"/>
      <c r="F97" s="524"/>
      <c r="G97" s="524"/>
    </row>
    <row r="98" spans="1:7" customFormat="1" ht="12.75" hidden="1" outlineLevel="1" x14ac:dyDescent="0.2">
      <c r="A98" s="3">
        <v>5135050200</v>
      </c>
      <c r="B98" s="207" t="s">
        <v>316</v>
      </c>
      <c r="C98" s="225">
        <v>0</v>
      </c>
      <c r="D98" s="543"/>
      <c r="E98" s="524"/>
      <c r="F98" s="524"/>
      <c r="G98" s="524"/>
    </row>
    <row r="99" spans="1:7" customFormat="1" ht="12.75" hidden="1" outlineLevel="1" x14ac:dyDescent="0.2">
      <c r="A99" s="3">
        <v>5135150000</v>
      </c>
      <c r="B99" s="207" t="s">
        <v>317</v>
      </c>
      <c r="C99" s="225">
        <v>0</v>
      </c>
      <c r="D99" s="543"/>
      <c r="E99" s="524"/>
      <c r="F99" s="524"/>
      <c r="G99" s="524"/>
    </row>
    <row r="100" spans="1:7" customFormat="1" ht="12.75" hidden="1" outlineLevel="1" x14ac:dyDescent="0.2">
      <c r="A100" s="3">
        <v>5135250000</v>
      </c>
      <c r="B100" s="207" t="s">
        <v>318</v>
      </c>
      <c r="C100" s="225">
        <v>0</v>
      </c>
      <c r="D100" s="543"/>
      <c r="E100" s="524"/>
      <c r="F100" s="524"/>
      <c r="G100" s="524"/>
    </row>
    <row r="101" spans="1:7" customFormat="1" ht="12.75" hidden="1" outlineLevel="1" x14ac:dyDescent="0.2">
      <c r="A101" s="3">
        <v>5135300000</v>
      </c>
      <c r="B101" s="207" t="s">
        <v>319</v>
      </c>
      <c r="C101" s="225">
        <v>0</v>
      </c>
      <c r="D101" s="543"/>
      <c r="E101" s="524"/>
      <c r="F101" s="524"/>
      <c r="G101" s="524"/>
    </row>
    <row r="102" spans="1:7" customFormat="1" ht="12.75" hidden="1" outlineLevel="1" x14ac:dyDescent="0.2">
      <c r="A102" s="3">
        <v>5135350000</v>
      </c>
      <c r="B102" s="207" t="s">
        <v>50</v>
      </c>
      <c r="C102" s="225">
        <v>0</v>
      </c>
      <c r="D102" s="543"/>
      <c r="E102" s="524"/>
      <c r="F102" s="524"/>
      <c r="G102" s="524"/>
    </row>
    <row r="103" spans="1:7" customFormat="1" ht="12.75" hidden="1" outlineLevel="1" x14ac:dyDescent="0.2">
      <c r="A103" s="3">
        <v>5135400000</v>
      </c>
      <c r="B103" s="207" t="s">
        <v>51</v>
      </c>
      <c r="C103" s="226">
        <v>2710.31</v>
      </c>
      <c r="D103" s="543"/>
      <c r="E103" s="524"/>
      <c r="F103" s="524"/>
      <c r="G103" s="524"/>
    </row>
    <row r="104" spans="1:7" customFormat="1" ht="12.75" hidden="1" outlineLevel="1" x14ac:dyDescent="0.2">
      <c r="A104" s="3">
        <v>5135500000</v>
      </c>
      <c r="B104" s="207" t="s">
        <v>52</v>
      </c>
      <c r="C104" s="225">
        <v>10.700000000000001</v>
      </c>
      <c r="D104" s="543"/>
      <c r="E104" s="524"/>
      <c r="F104" s="524"/>
      <c r="G104" s="524"/>
    </row>
    <row r="105" spans="1:7" customFormat="1" ht="12.75" hidden="1" outlineLevel="1" x14ac:dyDescent="0.2">
      <c r="A105" s="3">
        <v>5135550000</v>
      </c>
      <c r="B105" s="207" t="s">
        <v>641</v>
      </c>
      <c r="C105" s="225">
        <v>0</v>
      </c>
      <c r="D105" s="543"/>
      <c r="E105" s="524"/>
      <c r="F105" s="524"/>
      <c r="G105" s="524"/>
    </row>
    <row r="106" spans="1:7" customFormat="1" ht="12.75" hidden="1" outlineLevel="1" x14ac:dyDescent="0.2">
      <c r="A106" s="3">
        <v>5135950100</v>
      </c>
      <c r="B106" s="207" t="s">
        <v>53</v>
      </c>
      <c r="C106" s="225">
        <v>0</v>
      </c>
      <c r="D106" s="543"/>
      <c r="E106" s="524"/>
      <c r="F106" s="524"/>
      <c r="G106" s="524"/>
    </row>
    <row r="107" spans="1:7" customFormat="1" ht="12.75" hidden="1" outlineLevel="1" x14ac:dyDescent="0.2">
      <c r="A107" s="3">
        <v>5135950200</v>
      </c>
      <c r="B107" s="207" t="s">
        <v>320</v>
      </c>
      <c r="C107" s="225">
        <v>0</v>
      </c>
      <c r="D107" s="543"/>
      <c r="E107" s="524"/>
      <c r="F107" s="524"/>
      <c r="G107" s="524"/>
    </row>
    <row r="108" spans="1:7" customFormat="1" ht="12.75" hidden="1" outlineLevel="1" x14ac:dyDescent="0.2">
      <c r="A108" s="3">
        <v>5135950300</v>
      </c>
      <c r="B108" s="207" t="s">
        <v>321</v>
      </c>
      <c r="C108" s="225">
        <v>408.74</v>
      </c>
      <c r="D108" s="543"/>
      <c r="E108" s="524"/>
      <c r="F108" s="524"/>
      <c r="G108" s="524"/>
    </row>
    <row r="109" spans="1:7" customFormat="1" ht="12.75" hidden="1" outlineLevel="1" x14ac:dyDescent="0.2">
      <c r="A109" s="3">
        <v>5135950400</v>
      </c>
      <c r="B109" s="207" t="s">
        <v>54</v>
      </c>
      <c r="C109" s="225">
        <v>0</v>
      </c>
      <c r="D109" s="543"/>
      <c r="E109" s="524"/>
      <c r="F109" s="524"/>
      <c r="G109" s="524"/>
    </row>
    <row r="110" spans="1:7" customFormat="1" ht="12.75" hidden="1" outlineLevel="1" x14ac:dyDescent="0.2">
      <c r="A110" s="3">
        <v>5135950500</v>
      </c>
      <c r="B110" s="207" t="s">
        <v>322</v>
      </c>
      <c r="C110" s="316">
        <v>0</v>
      </c>
      <c r="D110" s="543"/>
      <c r="E110" s="524"/>
      <c r="F110" s="524"/>
      <c r="G110" s="524"/>
    </row>
    <row r="111" spans="1:7" customFormat="1" ht="12.75" hidden="1" outlineLevel="1" x14ac:dyDescent="0.2">
      <c r="A111" s="3">
        <v>5135950600</v>
      </c>
      <c r="B111" s="207" t="s">
        <v>55</v>
      </c>
      <c r="C111" s="225">
        <v>0</v>
      </c>
      <c r="D111" s="543"/>
      <c r="E111" s="524"/>
      <c r="F111" s="524"/>
      <c r="G111" s="524"/>
    </row>
    <row r="112" spans="1:7" customFormat="1" ht="12.75" hidden="1" outlineLevel="1" x14ac:dyDescent="0.2">
      <c r="A112" s="3">
        <v>5135950700</v>
      </c>
      <c r="B112" s="207" t="s">
        <v>56</v>
      </c>
      <c r="C112" s="226">
        <v>400561.08</v>
      </c>
      <c r="D112" s="543"/>
      <c r="E112" s="524"/>
      <c r="F112" s="524"/>
      <c r="G112" s="524"/>
    </row>
    <row r="113" spans="1:7" customFormat="1" ht="12.75" hidden="1" outlineLevel="1" x14ac:dyDescent="0.2">
      <c r="A113" s="3">
        <v>5135950900</v>
      </c>
      <c r="B113" s="207" t="s">
        <v>323</v>
      </c>
      <c r="C113" s="225">
        <v>0</v>
      </c>
      <c r="D113" s="543"/>
      <c r="E113" s="524"/>
      <c r="F113" s="524"/>
      <c r="G113" s="524"/>
    </row>
    <row r="114" spans="1:7" customFormat="1" ht="12.75" hidden="1" outlineLevel="1" x14ac:dyDescent="0.2">
      <c r="A114" s="3">
        <v>5135951000</v>
      </c>
      <c r="B114" s="207" t="s">
        <v>57</v>
      </c>
      <c r="C114" s="225">
        <v>0</v>
      </c>
      <c r="D114" s="543"/>
      <c r="E114" s="524"/>
      <c r="F114" s="524"/>
      <c r="G114" s="524"/>
    </row>
    <row r="115" spans="1:7" customFormat="1" ht="12.75" hidden="1" outlineLevel="1" x14ac:dyDescent="0.2">
      <c r="A115" s="3">
        <v>5135951100</v>
      </c>
      <c r="B115" s="207" t="s">
        <v>58</v>
      </c>
      <c r="C115" s="225">
        <v>11330</v>
      </c>
      <c r="D115" s="543"/>
      <c r="E115" s="524"/>
      <c r="F115" s="524"/>
      <c r="G115" s="524"/>
    </row>
    <row r="116" spans="1:7" customFormat="1" ht="12.75" hidden="1" outlineLevel="1" x14ac:dyDescent="0.2">
      <c r="A116" s="3">
        <v>5135951300</v>
      </c>
      <c r="B116" s="207" t="s">
        <v>59</v>
      </c>
      <c r="C116" s="225">
        <v>19636.64</v>
      </c>
      <c r="D116" s="543"/>
      <c r="E116" s="524"/>
      <c r="F116" s="524"/>
      <c r="G116" s="524"/>
    </row>
    <row r="117" spans="1:7" customFormat="1" ht="12.75" hidden="1" outlineLevel="1" x14ac:dyDescent="0.2">
      <c r="A117" s="3">
        <v>5135951600</v>
      </c>
      <c r="B117" s="207" t="s">
        <v>324</v>
      </c>
      <c r="C117" s="225">
        <v>0</v>
      </c>
      <c r="D117" s="543"/>
      <c r="E117" s="524"/>
      <c r="F117" s="524"/>
      <c r="G117" s="524"/>
    </row>
    <row r="118" spans="1:7" customFormat="1" ht="12.75" hidden="1" outlineLevel="1" x14ac:dyDescent="0.2">
      <c r="A118" s="3">
        <v>5135951700</v>
      </c>
      <c r="B118" s="207" t="s">
        <v>325</v>
      </c>
      <c r="C118" s="225">
        <v>0</v>
      </c>
      <c r="D118" s="543"/>
      <c r="E118" s="524"/>
      <c r="F118" s="524"/>
      <c r="G118" s="524"/>
    </row>
    <row r="119" spans="1:7" customFormat="1" ht="12.75" hidden="1" outlineLevel="1" x14ac:dyDescent="0.2">
      <c r="A119" s="3">
        <v>5135951900</v>
      </c>
      <c r="B119" s="207" t="s">
        <v>642</v>
      </c>
      <c r="C119" s="225">
        <v>96.300000000000011</v>
      </c>
      <c r="D119" s="543"/>
      <c r="E119" s="524"/>
      <c r="F119" s="524"/>
      <c r="G119" s="524"/>
    </row>
    <row r="120" spans="1:7" customFormat="1" ht="12.75" hidden="1" outlineLevel="1" x14ac:dyDescent="0.2">
      <c r="A120" s="608">
        <v>5135953000</v>
      </c>
      <c r="B120" s="207" t="s">
        <v>749</v>
      </c>
      <c r="C120" s="225">
        <v>0</v>
      </c>
      <c r="D120" s="543"/>
      <c r="E120" s="524"/>
      <c r="F120" s="524"/>
      <c r="G120" s="524"/>
    </row>
    <row r="121" spans="1:7" customFormat="1" ht="12.75" hidden="1" outlineLevel="1" x14ac:dyDescent="0.2">
      <c r="A121" s="3">
        <v>5135955000</v>
      </c>
      <c r="B121" s="207" t="s">
        <v>60</v>
      </c>
      <c r="C121" s="225">
        <v>2112.1800000000003</v>
      </c>
      <c r="D121" s="543"/>
      <c r="E121" s="524"/>
      <c r="F121" s="524"/>
      <c r="G121" s="524"/>
    </row>
    <row r="122" spans="1:7" customFormat="1" ht="12.75" hidden="1" outlineLevel="1" x14ac:dyDescent="0.2">
      <c r="A122" s="3">
        <v>5135956900</v>
      </c>
      <c r="B122" s="207" t="s">
        <v>326</v>
      </c>
      <c r="C122" s="225">
        <v>0</v>
      </c>
      <c r="D122" s="543"/>
      <c r="E122" s="524"/>
      <c r="F122" s="524"/>
      <c r="G122" s="524"/>
    </row>
    <row r="123" spans="1:7" customFormat="1" ht="12.75" hidden="1" outlineLevel="1" x14ac:dyDescent="0.2">
      <c r="A123" s="608">
        <v>5135957000</v>
      </c>
      <c r="B123" s="207" t="s">
        <v>750</v>
      </c>
      <c r="C123" s="225">
        <v>0</v>
      </c>
      <c r="D123" s="543"/>
      <c r="E123" s="524"/>
      <c r="F123" s="524"/>
      <c r="G123" s="524"/>
    </row>
    <row r="124" spans="1:7" customFormat="1" ht="12.75" hidden="1" outlineLevel="1" x14ac:dyDescent="0.2">
      <c r="A124" s="3"/>
      <c r="B124" s="212" t="s">
        <v>512</v>
      </c>
      <c r="C124" s="225" t="s">
        <v>169</v>
      </c>
      <c r="D124" s="543"/>
      <c r="E124" s="524"/>
      <c r="F124" s="524"/>
      <c r="G124" s="524"/>
    </row>
    <row r="125" spans="1:7" customFormat="1" ht="12.75" hidden="1" outlineLevel="1" x14ac:dyDescent="0.2">
      <c r="A125" s="3">
        <v>5140050000</v>
      </c>
      <c r="B125" s="207" t="s">
        <v>327</v>
      </c>
      <c r="C125" s="225">
        <v>0</v>
      </c>
      <c r="D125" s="543"/>
      <c r="E125" s="524"/>
      <c r="F125" s="524"/>
      <c r="G125" s="524"/>
    </row>
    <row r="126" spans="1:7" customFormat="1" ht="12.75" hidden="1" outlineLevel="1" x14ac:dyDescent="0.2">
      <c r="A126" s="3">
        <v>5140150000</v>
      </c>
      <c r="B126" s="207" t="s">
        <v>328</v>
      </c>
      <c r="C126" s="225">
        <v>3.21</v>
      </c>
      <c r="D126" s="543"/>
      <c r="E126" s="524"/>
      <c r="F126" s="524"/>
      <c r="G126" s="524"/>
    </row>
    <row r="127" spans="1:7" customFormat="1" ht="12.75" hidden="1" outlineLevel="1" x14ac:dyDescent="0.2">
      <c r="A127" s="608">
        <v>5140200000</v>
      </c>
      <c r="B127" s="207" t="s">
        <v>751</v>
      </c>
      <c r="C127" s="225">
        <v>0</v>
      </c>
      <c r="D127" s="543"/>
      <c r="E127" s="524"/>
      <c r="F127" s="524"/>
      <c r="G127" s="524"/>
    </row>
    <row r="128" spans="1:7" customFormat="1" ht="12.75" hidden="1" outlineLevel="1" x14ac:dyDescent="0.2">
      <c r="A128" s="608">
        <v>5140210000</v>
      </c>
      <c r="B128" s="207" t="s">
        <v>752</v>
      </c>
      <c r="C128" s="225">
        <v>0</v>
      </c>
      <c r="D128" s="543"/>
      <c r="E128" s="524"/>
      <c r="F128" s="524"/>
      <c r="G128" s="524"/>
    </row>
    <row r="129" spans="1:7" customFormat="1" ht="12.75" hidden="1" outlineLevel="1" x14ac:dyDescent="0.2">
      <c r="A129" s="3">
        <v>5140950200</v>
      </c>
      <c r="B129" s="207" t="s">
        <v>329</v>
      </c>
      <c r="C129" s="225">
        <v>0</v>
      </c>
      <c r="D129" s="543"/>
      <c r="E129" s="524"/>
      <c r="F129" s="524"/>
      <c r="G129" s="524"/>
    </row>
    <row r="130" spans="1:7" customFormat="1" ht="12.75" hidden="1" outlineLevel="1" x14ac:dyDescent="0.2">
      <c r="A130" s="3"/>
      <c r="B130" s="212" t="s">
        <v>513</v>
      </c>
      <c r="C130" s="225" t="s">
        <v>169</v>
      </c>
      <c r="D130" s="543"/>
      <c r="E130" s="524"/>
      <c r="F130" s="524"/>
      <c r="G130" s="524"/>
    </row>
    <row r="131" spans="1:7" customFormat="1" ht="12.75" hidden="1" outlineLevel="1" x14ac:dyDescent="0.2">
      <c r="A131" s="3">
        <v>5145100000</v>
      </c>
      <c r="B131" s="207" t="s">
        <v>330</v>
      </c>
      <c r="C131" s="225">
        <v>0</v>
      </c>
      <c r="D131" s="543"/>
      <c r="E131" s="524"/>
      <c r="F131" s="524"/>
      <c r="G131" s="524"/>
    </row>
    <row r="132" spans="1:7" customFormat="1" ht="12.75" hidden="1" outlineLevel="1" x14ac:dyDescent="0.2">
      <c r="A132" s="3">
        <v>5145150200</v>
      </c>
      <c r="B132" s="207" t="s">
        <v>494</v>
      </c>
      <c r="C132" s="225">
        <v>0</v>
      </c>
      <c r="D132" s="543"/>
      <c r="E132" s="524"/>
      <c r="F132" s="524"/>
      <c r="G132" s="524"/>
    </row>
    <row r="133" spans="1:7" customFormat="1" ht="12.75" hidden="1" outlineLevel="1" x14ac:dyDescent="0.2">
      <c r="A133" s="3">
        <v>5145150300</v>
      </c>
      <c r="B133" s="207" t="s">
        <v>495</v>
      </c>
      <c r="C133" s="225">
        <v>0</v>
      </c>
      <c r="D133" s="543"/>
      <c r="E133" s="524"/>
      <c r="F133" s="524"/>
      <c r="G133" s="524"/>
    </row>
    <row r="134" spans="1:7" customFormat="1" ht="12.75" hidden="1" outlineLevel="1" x14ac:dyDescent="0.2">
      <c r="A134" s="3">
        <v>5145150400</v>
      </c>
      <c r="B134" s="207" t="s">
        <v>496</v>
      </c>
      <c r="C134" s="225">
        <v>0</v>
      </c>
      <c r="D134" s="543"/>
      <c r="E134" s="524"/>
      <c r="F134" s="524"/>
      <c r="G134" s="524"/>
    </row>
    <row r="135" spans="1:7" customFormat="1" ht="12.75" hidden="1" outlineLevel="1" x14ac:dyDescent="0.2">
      <c r="A135" s="3">
        <v>5145250000</v>
      </c>
      <c r="B135" s="207" t="s">
        <v>497</v>
      </c>
      <c r="C135" s="225">
        <v>0</v>
      </c>
      <c r="D135" s="543"/>
      <c r="E135" s="524"/>
      <c r="F135" s="524"/>
      <c r="G135" s="524"/>
    </row>
    <row r="136" spans="1:7" customFormat="1" ht="12.75" hidden="1" outlineLevel="1" x14ac:dyDescent="0.2">
      <c r="A136" s="3">
        <v>5145300000</v>
      </c>
      <c r="B136" s="207" t="s">
        <v>498</v>
      </c>
      <c r="C136" s="316">
        <v>0</v>
      </c>
      <c r="D136" s="543"/>
      <c r="E136" s="524"/>
      <c r="F136" s="524"/>
      <c r="G136" s="524"/>
    </row>
    <row r="137" spans="1:7" customFormat="1" ht="12.75" hidden="1" outlineLevel="1" x14ac:dyDescent="0.2">
      <c r="A137" s="3">
        <v>5150950000</v>
      </c>
      <c r="B137" s="207" t="s">
        <v>331</v>
      </c>
      <c r="C137" s="225">
        <v>2660.02</v>
      </c>
      <c r="D137" s="543"/>
      <c r="E137" s="524"/>
      <c r="F137" s="524"/>
      <c r="G137" s="524"/>
    </row>
    <row r="138" spans="1:7" customFormat="1" ht="12.75" hidden="1" outlineLevel="1" x14ac:dyDescent="0.2">
      <c r="A138" s="3"/>
      <c r="B138" s="212" t="s">
        <v>514</v>
      </c>
      <c r="C138" s="225"/>
      <c r="D138" s="543"/>
      <c r="E138" s="524"/>
      <c r="F138" s="524"/>
      <c r="G138" s="524"/>
    </row>
    <row r="139" spans="1:7" customFormat="1" ht="12.75" hidden="1" outlineLevel="1" x14ac:dyDescent="0.2">
      <c r="A139" s="3">
        <v>5155050000</v>
      </c>
      <c r="B139" s="207" t="s">
        <v>61</v>
      </c>
      <c r="C139" s="226">
        <v>1599.3600000000006</v>
      </c>
      <c r="D139" s="543"/>
      <c r="E139" s="524"/>
      <c r="F139" s="524"/>
      <c r="G139" s="524"/>
    </row>
    <row r="140" spans="1:7" customFormat="1" ht="12.75" hidden="1" outlineLevel="1" x14ac:dyDescent="0.2">
      <c r="A140" s="3">
        <v>5155150000</v>
      </c>
      <c r="B140" s="207" t="s">
        <v>62</v>
      </c>
      <c r="C140" s="226">
        <v>284.25</v>
      </c>
      <c r="D140" s="543"/>
      <c r="E140" s="524"/>
      <c r="F140" s="524"/>
      <c r="G140" s="524"/>
    </row>
    <row r="141" spans="1:7" customFormat="1" ht="12.75" hidden="1" outlineLevel="1" x14ac:dyDescent="0.2">
      <c r="A141" s="3">
        <v>5155200000</v>
      </c>
      <c r="B141" s="207" t="s">
        <v>63</v>
      </c>
      <c r="C141" s="225">
        <v>0</v>
      </c>
      <c r="D141" s="543"/>
      <c r="E141" s="524"/>
      <c r="F141" s="524"/>
      <c r="G141" s="524"/>
    </row>
    <row r="142" spans="1:7" customFormat="1" ht="12.75" hidden="1" outlineLevel="1" x14ac:dyDescent="0.2">
      <c r="A142" s="3">
        <v>5155950100</v>
      </c>
      <c r="B142" s="207" t="s">
        <v>285</v>
      </c>
      <c r="C142" s="316">
        <v>400</v>
      </c>
      <c r="D142" s="543"/>
      <c r="E142" s="524"/>
      <c r="F142" s="524"/>
      <c r="G142" s="524"/>
    </row>
    <row r="143" spans="1:7" customFormat="1" ht="12.75" hidden="1" outlineLevel="1" x14ac:dyDescent="0.2">
      <c r="A143" s="3">
        <v>5155950200</v>
      </c>
      <c r="B143" s="207" t="s">
        <v>286</v>
      </c>
      <c r="C143" s="225">
        <v>0</v>
      </c>
      <c r="D143" s="543"/>
      <c r="E143" s="524"/>
      <c r="F143" s="524"/>
      <c r="G143" s="524"/>
    </row>
    <row r="144" spans="1:7" customFormat="1" ht="12.75" hidden="1" outlineLevel="1" x14ac:dyDescent="0.2">
      <c r="A144" s="3"/>
      <c r="B144" s="318" t="s">
        <v>515</v>
      </c>
      <c r="C144" s="225"/>
      <c r="D144" s="543"/>
      <c r="E144" s="524"/>
      <c r="F144" s="524"/>
      <c r="G144" s="524"/>
    </row>
    <row r="145" spans="1:7" customFormat="1" ht="12.75" hidden="1" outlineLevel="1" x14ac:dyDescent="0.2">
      <c r="A145" s="3">
        <v>5165951000</v>
      </c>
      <c r="B145" s="317" t="s">
        <v>93</v>
      </c>
      <c r="C145" s="226">
        <v>10000</v>
      </c>
      <c r="D145" s="543"/>
      <c r="E145" s="524"/>
      <c r="F145" s="524"/>
      <c r="G145" s="524"/>
    </row>
    <row r="146" spans="1:7" customFormat="1" ht="12.75" hidden="1" outlineLevel="1" x14ac:dyDescent="0.2">
      <c r="A146" s="3"/>
      <c r="B146" s="318" t="s">
        <v>516</v>
      </c>
      <c r="C146" s="225"/>
      <c r="D146" s="543"/>
      <c r="E146" s="524"/>
      <c r="F146" s="524"/>
      <c r="G146" s="524"/>
    </row>
    <row r="147" spans="1:7" customFormat="1" ht="12.75" hidden="1" outlineLevel="1" x14ac:dyDescent="0.2">
      <c r="A147" s="3">
        <v>5195100000</v>
      </c>
      <c r="B147" s="207" t="s">
        <v>65</v>
      </c>
      <c r="C147" s="225">
        <v>23190.11</v>
      </c>
      <c r="D147" s="543"/>
      <c r="E147" s="524"/>
      <c r="F147" s="524"/>
      <c r="G147" s="524"/>
    </row>
    <row r="148" spans="1:7" customFormat="1" ht="12.75" hidden="1" outlineLevel="1" x14ac:dyDescent="0.2">
      <c r="A148" s="3">
        <v>5195200000</v>
      </c>
      <c r="B148" s="207" t="s">
        <v>66</v>
      </c>
      <c r="C148" s="226">
        <v>6117</v>
      </c>
      <c r="D148" s="543"/>
      <c r="E148" s="524"/>
      <c r="F148" s="524"/>
      <c r="G148" s="524"/>
    </row>
    <row r="149" spans="1:7" customFormat="1" ht="12.75" hidden="1" outlineLevel="1" x14ac:dyDescent="0.2">
      <c r="A149" s="3">
        <v>5195250000</v>
      </c>
      <c r="B149" s="207" t="s">
        <v>67</v>
      </c>
      <c r="C149" s="225">
        <v>5321.1100000000006</v>
      </c>
      <c r="D149" s="543"/>
      <c r="E149" s="524"/>
      <c r="F149" s="524"/>
      <c r="G149" s="524"/>
    </row>
    <row r="150" spans="1:7" customFormat="1" ht="12.75" hidden="1" outlineLevel="1" x14ac:dyDescent="0.2">
      <c r="A150" s="3">
        <v>5195300000</v>
      </c>
      <c r="B150" s="207" t="s">
        <v>68</v>
      </c>
      <c r="C150" s="226">
        <v>19379.79</v>
      </c>
      <c r="D150" s="543"/>
      <c r="E150" s="524"/>
      <c r="F150" s="524"/>
      <c r="G150" s="524"/>
    </row>
    <row r="151" spans="1:7" customFormat="1" ht="12.75" hidden="1" outlineLevel="1" x14ac:dyDescent="0.2">
      <c r="A151" s="3">
        <v>5195350000</v>
      </c>
      <c r="B151" s="207" t="s">
        <v>287</v>
      </c>
      <c r="C151" s="225">
        <v>0</v>
      </c>
      <c r="D151" s="543"/>
      <c r="E151" s="524"/>
      <c r="F151" s="524"/>
      <c r="G151" s="524"/>
    </row>
    <row r="152" spans="1:7" customFormat="1" ht="12.75" hidden="1" outlineLevel="1" x14ac:dyDescent="0.2">
      <c r="A152" s="3">
        <v>5195450000</v>
      </c>
      <c r="B152" s="207" t="s">
        <v>69</v>
      </c>
      <c r="C152" s="226">
        <v>35950</v>
      </c>
      <c r="D152" s="543"/>
      <c r="E152" s="524"/>
      <c r="F152" s="524"/>
      <c r="G152" s="524"/>
    </row>
    <row r="153" spans="1:7" customFormat="1" ht="12.75" hidden="1" outlineLevel="1" x14ac:dyDescent="0.2">
      <c r="A153" s="3">
        <v>5195500000</v>
      </c>
      <c r="B153" s="207" t="s">
        <v>332</v>
      </c>
      <c r="C153" s="225">
        <v>0</v>
      </c>
      <c r="D153" s="543"/>
      <c r="E153" s="524"/>
      <c r="F153" s="524"/>
      <c r="G153" s="524"/>
    </row>
    <row r="154" spans="1:7" customFormat="1" ht="12.75" hidden="1" outlineLevel="1" x14ac:dyDescent="0.2">
      <c r="A154" s="3">
        <v>5195650000</v>
      </c>
      <c r="B154" s="207" t="s">
        <v>333</v>
      </c>
      <c r="C154" s="225">
        <v>0</v>
      </c>
      <c r="D154" s="543"/>
      <c r="E154" s="524"/>
      <c r="F154" s="524"/>
      <c r="G154" s="524"/>
    </row>
    <row r="155" spans="1:7" customFormat="1" ht="12.75" hidden="1" outlineLevel="1" x14ac:dyDescent="0.2">
      <c r="A155" s="3">
        <v>5195950100</v>
      </c>
      <c r="B155" s="207" t="s">
        <v>54</v>
      </c>
      <c r="C155" s="226">
        <v>69000</v>
      </c>
      <c r="D155" s="543"/>
      <c r="E155" s="524"/>
      <c r="F155" s="524"/>
      <c r="G155" s="524"/>
    </row>
    <row r="156" spans="1:7" customFormat="1" ht="12.75" hidden="1" outlineLevel="1" x14ac:dyDescent="0.2">
      <c r="A156" s="3">
        <v>5195950200</v>
      </c>
      <c r="B156" s="207" t="s">
        <v>70</v>
      </c>
      <c r="C156" s="226">
        <v>33461.040000000001</v>
      </c>
      <c r="D156" s="543"/>
      <c r="E156" s="524"/>
      <c r="F156" s="524"/>
      <c r="G156" s="524"/>
    </row>
    <row r="157" spans="1:7" customFormat="1" ht="12.75" hidden="1" outlineLevel="1" x14ac:dyDescent="0.2">
      <c r="A157" s="3">
        <v>5195950300</v>
      </c>
      <c r="B157" s="207" t="s">
        <v>71</v>
      </c>
      <c r="C157" s="225">
        <v>83.460000000000008</v>
      </c>
      <c r="D157" s="543"/>
      <c r="E157" s="524"/>
      <c r="F157" s="524"/>
      <c r="G157" s="524"/>
    </row>
    <row r="158" spans="1:7" customFormat="1" ht="12.75" hidden="1" outlineLevel="1" x14ac:dyDescent="0.2">
      <c r="A158" s="3">
        <v>5195950400</v>
      </c>
      <c r="B158" s="207" t="s">
        <v>72</v>
      </c>
      <c r="C158" s="225">
        <v>630.23</v>
      </c>
      <c r="D158" s="543"/>
      <c r="E158" s="524"/>
      <c r="F158" s="524"/>
      <c r="G158" s="524"/>
    </row>
    <row r="159" spans="1:7" customFormat="1" ht="12.75" hidden="1" outlineLevel="1" x14ac:dyDescent="0.2">
      <c r="A159" s="3">
        <v>5195950500</v>
      </c>
      <c r="B159" s="207" t="s">
        <v>334</v>
      </c>
      <c r="C159" s="225">
        <v>0</v>
      </c>
      <c r="D159" s="543"/>
      <c r="E159" s="524"/>
      <c r="F159" s="524"/>
      <c r="G159" s="524"/>
    </row>
    <row r="160" spans="1:7" customFormat="1" ht="12.75" hidden="1" outlineLevel="1" x14ac:dyDescent="0.2">
      <c r="A160" s="3">
        <v>5195950600</v>
      </c>
      <c r="B160" s="207" t="s">
        <v>73</v>
      </c>
      <c r="C160" s="225">
        <v>0</v>
      </c>
      <c r="D160" s="543"/>
      <c r="E160" s="524"/>
      <c r="F160" s="524"/>
      <c r="G160" s="524"/>
    </row>
    <row r="161" spans="1:7" customFormat="1" ht="12.75" hidden="1" outlineLevel="1" x14ac:dyDescent="0.2">
      <c r="A161" s="3">
        <v>5195950800</v>
      </c>
      <c r="B161" s="207" t="s">
        <v>74</v>
      </c>
      <c r="C161" s="225">
        <v>0</v>
      </c>
      <c r="D161" s="543"/>
      <c r="E161" s="524"/>
      <c r="F161" s="524"/>
      <c r="G161" s="524"/>
    </row>
    <row r="162" spans="1:7" customFormat="1" ht="12.75" hidden="1" outlineLevel="1" x14ac:dyDescent="0.2">
      <c r="A162" s="3">
        <v>5195950900</v>
      </c>
      <c r="B162" s="207" t="s">
        <v>335</v>
      </c>
      <c r="C162" s="225">
        <v>0</v>
      </c>
      <c r="D162" s="543"/>
      <c r="E162" s="524"/>
      <c r="F162" s="524"/>
      <c r="G162" s="524"/>
    </row>
    <row r="163" spans="1:7" customFormat="1" ht="12.75" hidden="1" outlineLevel="1" x14ac:dyDescent="0.2">
      <c r="A163" s="3">
        <v>5195951000</v>
      </c>
      <c r="B163" s="207" t="s">
        <v>75</v>
      </c>
      <c r="C163" s="225">
        <v>0</v>
      </c>
      <c r="D163" s="543"/>
      <c r="E163" s="524"/>
      <c r="F163" s="524"/>
      <c r="G163" s="524"/>
    </row>
    <row r="164" spans="1:7" customFormat="1" ht="12.75" hidden="1" outlineLevel="1" x14ac:dyDescent="0.2">
      <c r="A164" s="3">
        <v>5195951100</v>
      </c>
      <c r="B164" s="207" t="s">
        <v>288</v>
      </c>
      <c r="C164" s="225">
        <v>0</v>
      </c>
      <c r="D164" s="543"/>
      <c r="E164" s="524"/>
      <c r="F164" s="524"/>
      <c r="G164" s="524"/>
    </row>
    <row r="165" spans="1:7" customFormat="1" ht="12.75" hidden="1" outlineLevel="1" x14ac:dyDescent="0.2">
      <c r="A165" s="3">
        <v>5195951200</v>
      </c>
      <c r="B165" s="207" t="s">
        <v>336</v>
      </c>
      <c r="C165" s="225">
        <v>0</v>
      </c>
      <c r="D165" s="543"/>
      <c r="E165" s="524"/>
      <c r="F165" s="524"/>
      <c r="G165" s="524"/>
    </row>
    <row r="166" spans="1:7" customFormat="1" ht="12.75" hidden="1" outlineLevel="1" x14ac:dyDescent="0.2">
      <c r="A166" s="3">
        <v>5195951300</v>
      </c>
      <c r="B166" s="207" t="s">
        <v>76</v>
      </c>
      <c r="C166" s="225">
        <v>0</v>
      </c>
      <c r="D166" s="543"/>
      <c r="E166" s="524"/>
      <c r="F166" s="524"/>
      <c r="G166" s="524"/>
    </row>
    <row r="167" spans="1:7" customFormat="1" ht="12.75" hidden="1" outlineLevel="1" x14ac:dyDescent="0.2">
      <c r="A167" s="3">
        <v>5195951400</v>
      </c>
      <c r="B167" s="207" t="s">
        <v>337</v>
      </c>
      <c r="C167" s="225">
        <v>0</v>
      </c>
      <c r="D167" s="543"/>
      <c r="E167" s="524"/>
      <c r="F167" s="524"/>
      <c r="G167" s="524"/>
    </row>
    <row r="168" spans="1:7" customFormat="1" ht="12.75" hidden="1" outlineLevel="1" x14ac:dyDescent="0.2">
      <c r="A168" s="3">
        <v>5195951500</v>
      </c>
      <c r="B168" s="207" t="s">
        <v>77</v>
      </c>
      <c r="C168" s="225">
        <v>955.5100000000001</v>
      </c>
      <c r="D168" s="543"/>
      <c r="E168" s="524"/>
      <c r="F168" s="524"/>
      <c r="G168" s="524"/>
    </row>
    <row r="169" spans="1:7" customFormat="1" ht="12.75" hidden="1" outlineLevel="1" x14ac:dyDescent="0.2">
      <c r="A169" s="3">
        <v>5195951600</v>
      </c>
      <c r="B169" s="207" t="s">
        <v>64</v>
      </c>
      <c r="C169" s="316">
        <v>0</v>
      </c>
      <c r="D169" s="543"/>
      <c r="E169" s="524"/>
      <c r="F169" s="524"/>
      <c r="G169" s="524"/>
    </row>
    <row r="170" spans="1:7" customFormat="1" ht="12.75" hidden="1" outlineLevel="1" x14ac:dyDescent="0.2">
      <c r="A170" s="3">
        <v>5195951900</v>
      </c>
      <c r="B170" s="207" t="s">
        <v>78</v>
      </c>
      <c r="C170" s="225">
        <v>0</v>
      </c>
      <c r="D170" s="543"/>
      <c r="E170" s="524"/>
      <c r="F170" s="524"/>
      <c r="G170" s="524"/>
    </row>
    <row r="171" spans="1:7" customFormat="1" ht="12.75" hidden="1" outlineLevel="1" x14ac:dyDescent="0.2">
      <c r="A171" s="3">
        <v>5195952000</v>
      </c>
      <c r="B171" s="207" t="s">
        <v>338</v>
      </c>
      <c r="C171" s="225">
        <v>0</v>
      </c>
      <c r="D171" s="543"/>
      <c r="E171" s="524"/>
      <c r="F171" s="524"/>
      <c r="G171" s="524"/>
    </row>
    <row r="172" spans="1:7" customFormat="1" ht="12.75" hidden="1" outlineLevel="1" x14ac:dyDescent="0.2">
      <c r="A172" s="3">
        <v>5195952800</v>
      </c>
      <c r="B172" s="317" t="s">
        <v>517</v>
      </c>
      <c r="C172" s="225">
        <v>0</v>
      </c>
      <c r="D172" s="543"/>
      <c r="E172" s="524"/>
      <c r="F172" s="524"/>
      <c r="G172" s="524"/>
    </row>
    <row r="173" spans="1:7" customFormat="1" ht="12.75" hidden="1" outlineLevel="1" x14ac:dyDescent="0.2">
      <c r="A173" s="3">
        <v>5195953000</v>
      </c>
      <c r="B173" s="207" t="s">
        <v>339</v>
      </c>
      <c r="C173" s="225">
        <v>0</v>
      </c>
      <c r="D173" s="543"/>
      <c r="E173" s="524"/>
      <c r="F173" s="524"/>
      <c r="G173" s="524"/>
    </row>
    <row r="174" spans="1:7" customFormat="1" ht="12.75" hidden="1" outlineLevel="1" x14ac:dyDescent="0.2">
      <c r="A174" s="3">
        <v>5199051000</v>
      </c>
      <c r="B174" s="207" t="s">
        <v>834</v>
      </c>
      <c r="C174" s="225">
        <v>0</v>
      </c>
      <c r="D174" s="543"/>
      <c r="E174" s="524"/>
      <c r="F174" s="524"/>
      <c r="G174" s="524"/>
    </row>
    <row r="175" spans="1:7" customFormat="1" ht="12.75" collapsed="1" x14ac:dyDescent="0.2">
      <c r="A175" s="176"/>
      <c r="B175" s="213" t="s">
        <v>79</v>
      </c>
      <c r="C175" s="214">
        <f>SUM(C78:C174)</f>
        <v>687880.02987081429</v>
      </c>
      <c r="D175" s="543"/>
      <c r="E175" s="524"/>
      <c r="F175" s="524"/>
      <c r="G175" s="524"/>
    </row>
    <row r="176" spans="1:7" customFormat="1" ht="12.75" x14ac:dyDescent="0.2">
      <c r="A176" s="176"/>
      <c r="B176" s="209" t="s">
        <v>340</v>
      </c>
      <c r="C176" s="210">
        <f>+C61+C72+C175+C75</f>
        <v>18924101.511217635</v>
      </c>
      <c r="D176" s="543"/>
      <c r="E176" s="524"/>
      <c r="F176" s="524"/>
      <c r="G176" s="524"/>
    </row>
    <row r="177" spans="1:7" customFormat="1" ht="12.75" hidden="1" x14ac:dyDescent="0.2">
      <c r="A177" s="176"/>
      <c r="B177" s="212" t="s">
        <v>341</v>
      </c>
      <c r="C177" s="225" t="s">
        <v>169</v>
      </c>
      <c r="D177" s="543"/>
      <c r="E177" s="524"/>
      <c r="F177" s="524"/>
      <c r="G177" s="524"/>
    </row>
    <row r="178" spans="1:7" customFormat="1" ht="12.75" hidden="1" outlineLevel="1" x14ac:dyDescent="0.2">
      <c r="A178" s="176"/>
      <c r="B178" s="212" t="s">
        <v>85</v>
      </c>
      <c r="C178" s="225" t="s">
        <v>169</v>
      </c>
      <c r="D178" s="543"/>
      <c r="E178" s="524"/>
      <c r="F178" s="524"/>
      <c r="G178" s="524"/>
    </row>
    <row r="179" spans="1:7" customFormat="1" ht="12.75" hidden="1" outlineLevel="1" x14ac:dyDescent="0.2">
      <c r="A179" s="176" t="s">
        <v>342</v>
      </c>
      <c r="B179" s="207" t="s">
        <v>343</v>
      </c>
      <c r="C179" s="225">
        <v>0</v>
      </c>
      <c r="D179" s="543"/>
      <c r="E179" s="524"/>
      <c r="F179" s="524"/>
      <c r="G179" s="524"/>
    </row>
    <row r="180" spans="1:7" customFormat="1" ht="12.75" hidden="1" outlineLevel="1" x14ac:dyDescent="0.2">
      <c r="A180" s="176" t="s">
        <v>651</v>
      </c>
      <c r="B180" s="207" t="s">
        <v>652</v>
      </c>
      <c r="C180" s="225">
        <v>0</v>
      </c>
      <c r="D180" s="543"/>
      <c r="E180" s="524"/>
      <c r="F180" s="524"/>
      <c r="G180" s="524"/>
    </row>
    <row r="181" spans="1:7" customFormat="1" ht="12.75" hidden="1" outlineLevel="1" x14ac:dyDescent="0.2">
      <c r="A181" s="177" t="s">
        <v>86</v>
      </c>
      <c r="B181" s="207" t="s">
        <v>87</v>
      </c>
      <c r="C181" s="225">
        <v>24541.950720000001</v>
      </c>
      <c r="D181" s="543"/>
      <c r="E181" s="524"/>
      <c r="F181" s="524"/>
      <c r="G181" s="524"/>
    </row>
    <row r="182" spans="1:7" customFormat="1" ht="12.75" hidden="1" outlineLevel="1" x14ac:dyDescent="0.2">
      <c r="A182" s="177" t="s">
        <v>88</v>
      </c>
      <c r="B182" s="207" t="s">
        <v>89</v>
      </c>
      <c r="C182" s="225">
        <v>64677.692800000012</v>
      </c>
      <c r="D182" s="543"/>
      <c r="E182" s="524"/>
      <c r="F182" s="524"/>
      <c r="G182" s="524"/>
    </row>
    <row r="183" spans="1:7" customFormat="1" ht="12.75" hidden="1" outlineLevel="1" x14ac:dyDescent="0.2">
      <c r="A183" s="177" t="s">
        <v>90</v>
      </c>
      <c r="B183" s="207" t="s">
        <v>91</v>
      </c>
      <c r="C183" s="225">
        <v>27355.858880000003</v>
      </c>
      <c r="D183" s="543"/>
      <c r="E183" s="524"/>
      <c r="F183" s="524"/>
      <c r="G183" s="524"/>
    </row>
    <row r="184" spans="1:7" customFormat="1" ht="12.75" hidden="1" outlineLevel="1" x14ac:dyDescent="0.2">
      <c r="A184" s="177" t="s">
        <v>92</v>
      </c>
      <c r="B184" s="207" t="s">
        <v>93</v>
      </c>
      <c r="C184" s="225">
        <v>139626.40832000002</v>
      </c>
      <c r="D184" s="543"/>
      <c r="E184" s="524"/>
      <c r="F184" s="524"/>
      <c r="G184" s="524"/>
    </row>
    <row r="185" spans="1:7" customFormat="1" ht="12.75" hidden="1" outlineLevel="1" x14ac:dyDescent="0.2">
      <c r="A185" s="177" t="s">
        <v>94</v>
      </c>
      <c r="B185" s="207" t="s">
        <v>95</v>
      </c>
      <c r="C185" s="225">
        <v>451339.30240000004</v>
      </c>
      <c r="D185" s="543"/>
      <c r="E185" s="524"/>
      <c r="F185" s="524"/>
      <c r="G185" s="524"/>
    </row>
    <row r="186" spans="1:7" customFormat="1" ht="12.75" hidden="1" outlineLevel="1" x14ac:dyDescent="0.2">
      <c r="A186" s="177" t="s">
        <v>344</v>
      </c>
      <c r="B186" s="207" t="s">
        <v>345</v>
      </c>
      <c r="C186" s="225">
        <v>0</v>
      </c>
      <c r="D186" s="543"/>
      <c r="E186" s="524"/>
      <c r="F186" s="524"/>
      <c r="G186" s="524"/>
    </row>
    <row r="187" spans="1:7" customFormat="1" ht="12.75" hidden="1" outlineLevel="1" x14ac:dyDescent="0.2">
      <c r="A187" s="177" t="s">
        <v>96</v>
      </c>
      <c r="B187" s="207" t="s">
        <v>97</v>
      </c>
      <c r="C187" s="225">
        <v>264677.00672</v>
      </c>
      <c r="D187" s="543"/>
      <c r="E187" s="524"/>
      <c r="F187" s="524"/>
      <c r="G187" s="524"/>
    </row>
    <row r="188" spans="1:7" customFormat="1" ht="12.75" hidden="1" outlineLevel="1" x14ac:dyDescent="0.2">
      <c r="A188" s="177" t="s">
        <v>346</v>
      </c>
      <c r="B188" s="207" t="s">
        <v>347</v>
      </c>
      <c r="C188" s="225">
        <v>0</v>
      </c>
      <c r="D188" s="543"/>
      <c r="E188" s="524"/>
      <c r="F188" s="524"/>
      <c r="G188" s="524"/>
    </row>
    <row r="189" spans="1:7" customFormat="1" ht="12.75" hidden="1" outlineLevel="1" x14ac:dyDescent="0.2">
      <c r="A189" s="177" t="s">
        <v>348</v>
      </c>
      <c r="B189" s="207" t="s">
        <v>349</v>
      </c>
      <c r="C189" s="225">
        <v>0</v>
      </c>
      <c r="D189" s="543"/>
      <c r="E189" s="524"/>
      <c r="F189" s="524"/>
      <c r="G189" s="524"/>
    </row>
    <row r="190" spans="1:7" customFormat="1" ht="12.75" hidden="1" outlineLevel="1" x14ac:dyDescent="0.2">
      <c r="A190" s="177" t="s">
        <v>98</v>
      </c>
      <c r="B190" s="207" t="s">
        <v>99</v>
      </c>
      <c r="C190" s="225">
        <v>260045.42592000001</v>
      </c>
      <c r="D190" s="543"/>
      <c r="E190" s="524"/>
      <c r="F190" s="524"/>
      <c r="G190" s="524"/>
    </row>
    <row r="191" spans="1:7" customFormat="1" ht="12.75" hidden="1" outlineLevel="1" x14ac:dyDescent="0.2">
      <c r="A191" s="177" t="s">
        <v>100</v>
      </c>
      <c r="B191" s="207" t="s">
        <v>101</v>
      </c>
      <c r="C191" s="225">
        <v>191941.26112000001</v>
      </c>
      <c r="D191" s="543"/>
      <c r="E191" s="524"/>
      <c r="F191" s="524"/>
      <c r="G191" s="524"/>
    </row>
    <row r="192" spans="1:7" customFormat="1" ht="12.75" hidden="1" outlineLevel="1" x14ac:dyDescent="0.2">
      <c r="A192" s="177" t="s">
        <v>102</v>
      </c>
      <c r="B192" s="207" t="s">
        <v>103</v>
      </c>
      <c r="C192" s="225">
        <v>109322.49888</v>
      </c>
      <c r="D192" s="543"/>
      <c r="E192" s="524"/>
      <c r="F192" s="524"/>
      <c r="G192" s="524"/>
    </row>
    <row r="193" spans="1:7" customFormat="1" ht="12.75" hidden="1" outlineLevel="1" x14ac:dyDescent="0.2">
      <c r="A193" s="177" t="s">
        <v>104</v>
      </c>
      <c r="B193" s="207" t="s">
        <v>105</v>
      </c>
      <c r="C193" s="225">
        <v>212558.24575999999</v>
      </c>
      <c r="D193" s="543"/>
      <c r="E193" s="524"/>
      <c r="F193" s="524"/>
      <c r="G193" s="524"/>
    </row>
    <row r="194" spans="1:7" customFormat="1" ht="12.75" hidden="1" outlineLevel="1" x14ac:dyDescent="0.2">
      <c r="A194" s="177" t="s">
        <v>106</v>
      </c>
      <c r="B194" s="207" t="s">
        <v>107</v>
      </c>
      <c r="C194" s="225">
        <v>0</v>
      </c>
      <c r="D194" s="543"/>
      <c r="E194" s="524"/>
      <c r="F194" s="524"/>
      <c r="G194" s="524"/>
    </row>
    <row r="195" spans="1:7" customFormat="1" ht="12.75" hidden="1" outlineLevel="1" x14ac:dyDescent="0.2">
      <c r="A195" s="177" t="s">
        <v>350</v>
      </c>
      <c r="B195" s="207" t="s">
        <v>351</v>
      </c>
      <c r="C195" s="225">
        <v>0</v>
      </c>
      <c r="D195" s="543"/>
      <c r="E195" s="524"/>
      <c r="F195" s="524"/>
      <c r="G195" s="524"/>
    </row>
    <row r="196" spans="1:7" customFormat="1" ht="12.75" hidden="1" outlineLevel="1" x14ac:dyDescent="0.2">
      <c r="A196" s="177" t="s">
        <v>352</v>
      </c>
      <c r="B196" s="207" t="s">
        <v>353</v>
      </c>
      <c r="C196" s="225">
        <v>0</v>
      </c>
      <c r="D196" s="543"/>
      <c r="E196" s="524"/>
      <c r="F196" s="524"/>
      <c r="G196" s="524"/>
    </row>
    <row r="197" spans="1:7" customFormat="1" ht="12.75" hidden="1" outlineLevel="1" x14ac:dyDescent="0.2">
      <c r="A197" s="177" t="s">
        <v>354</v>
      </c>
      <c r="B197" s="207" t="s">
        <v>355</v>
      </c>
      <c r="C197" s="225">
        <v>0</v>
      </c>
      <c r="D197" s="543"/>
      <c r="E197" s="524"/>
      <c r="F197" s="524"/>
      <c r="G197" s="524"/>
    </row>
    <row r="198" spans="1:7" customFormat="1" ht="12.75" hidden="1" outlineLevel="1" x14ac:dyDescent="0.2">
      <c r="A198" s="177" t="s">
        <v>108</v>
      </c>
      <c r="B198" s="207" t="s">
        <v>109</v>
      </c>
      <c r="C198" s="225">
        <v>0</v>
      </c>
      <c r="D198" s="543"/>
      <c r="E198" s="524"/>
      <c r="F198" s="524"/>
      <c r="G198" s="524"/>
    </row>
    <row r="199" spans="1:7" customFormat="1" ht="12.75" hidden="1" outlineLevel="1" x14ac:dyDescent="0.2">
      <c r="A199" s="177" t="s">
        <v>110</v>
      </c>
      <c r="B199" s="207" t="s">
        <v>111</v>
      </c>
      <c r="C199" s="225">
        <v>0</v>
      </c>
      <c r="D199" s="543"/>
      <c r="E199" s="524"/>
      <c r="F199" s="524"/>
      <c r="G199" s="524"/>
    </row>
    <row r="200" spans="1:7" customFormat="1" ht="12.75" hidden="1" outlineLevel="1" x14ac:dyDescent="0.2">
      <c r="A200" s="177" t="s">
        <v>112</v>
      </c>
      <c r="B200" s="207" t="s">
        <v>356</v>
      </c>
      <c r="C200" s="225">
        <v>0</v>
      </c>
      <c r="D200" s="543"/>
      <c r="E200" s="524"/>
      <c r="F200" s="524"/>
      <c r="G200" s="524"/>
    </row>
    <row r="201" spans="1:7" customFormat="1" ht="12.75" hidden="1" outlineLevel="1" x14ac:dyDescent="0.2">
      <c r="A201" s="177" t="s">
        <v>289</v>
      </c>
      <c r="B201" s="207" t="s">
        <v>357</v>
      </c>
      <c r="C201" s="225">
        <v>0</v>
      </c>
      <c r="D201" s="543"/>
      <c r="E201" s="524"/>
      <c r="F201" s="524"/>
      <c r="G201" s="524"/>
    </row>
    <row r="202" spans="1:7" customFormat="1" ht="12.75" hidden="1" outlineLevel="1" x14ac:dyDescent="0.2">
      <c r="A202" s="177" t="s">
        <v>358</v>
      </c>
      <c r="B202" s="207" t="s">
        <v>359</v>
      </c>
      <c r="C202" s="225">
        <v>0</v>
      </c>
      <c r="D202" s="543"/>
      <c r="E202" s="524"/>
      <c r="F202" s="524"/>
      <c r="G202" s="524"/>
    </row>
    <row r="203" spans="1:7" customFormat="1" ht="12.75" hidden="1" outlineLevel="1" x14ac:dyDescent="0.2">
      <c r="A203" s="177" t="s">
        <v>360</v>
      </c>
      <c r="B203" s="207" t="s">
        <v>361</v>
      </c>
      <c r="C203" s="225">
        <v>0</v>
      </c>
      <c r="D203" s="543"/>
      <c r="E203" s="524"/>
      <c r="F203" s="524"/>
      <c r="G203" s="524"/>
    </row>
    <row r="204" spans="1:7" customFormat="1" ht="12.75" hidden="1" outlineLevel="1" x14ac:dyDescent="0.2">
      <c r="A204" s="177" t="s">
        <v>426</v>
      </c>
      <c r="B204" s="207" t="s">
        <v>427</v>
      </c>
      <c r="C204" s="225">
        <v>0</v>
      </c>
      <c r="D204" s="543"/>
      <c r="E204" s="524"/>
      <c r="F204" s="524"/>
      <c r="G204" s="524"/>
    </row>
    <row r="205" spans="1:7" customFormat="1" ht="12.75" hidden="1" outlineLevel="1" x14ac:dyDescent="0.2">
      <c r="A205" s="177" t="s">
        <v>835</v>
      </c>
      <c r="B205" s="207" t="s">
        <v>836</v>
      </c>
      <c r="C205" s="225">
        <v>7140.2240000000002</v>
      </c>
      <c r="D205" s="543"/>
      <c r="E205" s="524"/>
      <c r="F205" s="524"/>
      <c r="G205" s="524"/>
    </row>
    <row r="206" spans="1:7" customFormat="1" ht="12.75" hidden="1" outlineLevel="1" x14ac:dyDescent="0.2">
      <c r="A206" s="177" t="s">
        <v>837</v>
      </c>
      <c r="B206" s="207" t="s">
        <v>838</v>
      </c>
      <c r="C206" s="225">
        <v>1187.2</v>
      </c>
      <c r="D206" s="543"/>
      <c r="E206" s="524"/>
      <c r="F206" s="524"/>
      <c r="G206" s="524"/>
    </row>
    <row r="207" spans="1:7" customFormat="1" ht="12.75" hidden="1" outlineLevel="1" x14ac:dyDescent="0.2">
      <c r="A207" s="177" t="s">
        <v>260</v>
      </c>
      <c r="B207" s="207" t="s">
        <v>362</v>
      </c>
      <c r="C207" s="225">
        <v>603951.04</v>
      </c>
      <c r="D207" s="543"/>
      <c r="E207" s="524"/>
      <c r="F207" s="524"/>
      <c r="G207" s="524"/>
    </row>
    <row r="208" spans="1:7" customFormat="1" ht="12.75" hidden="1" outlineLevel="1" x14ac:dyDescent="0.2">
      <c r="A208" s="177" t="s">
        <v>421</v>
      </c>
      <c r="B208" s="207" t="s">
        <v>422</v>
      </c>
      <c r="C208" s="225">
        <v>28454.852160000002</v>
      </c>
      <c r="D208" s="543"/>
      <c r="E208" s="524"/>
      <c r="F208" s="524"/>
      <c r="G208" s="524"/>
    </row>
    <row r="209" spans="1:7" customFormat="1" ht="12.75" hidden="1" outlineLevel="1" x14ac:dyDescent="0.2">
      <c r="A209" s="321" t="s">
        <v>521</v>
      </c>
      <c r="B209" s="207" t="s">
        <v>522</v>
      </c>
      <c r="C209" s="225">
        <v>388937</v>
      </c>
      <c r="D209" s="543"/>
      <c r="E209" s="524"/>
      <c r="F209" s="524"/>
      <c r="G209" s="524"/>
    </row>
    <row r="210" spans="1:7" customFormat="1" ht="12.75" hidden="1" outlineLevel="1" x14ac:dyDescent="0.2">
      <c r="A210" s="321" t="s">
        <v>643</v>
      </c>
      <c r="B210" s="207" t="s">
        <v>644</v>
      </c>
      <c r="C210" s="225">
        <v>2487711.8463222208</v>
      </c>
      <c r="D210" s="543"/>
      <c r="E210" s="524"/>
      <c r="F210" s="524"/>
      <c r="G210" s="524"/>
    </row>
    <row r="211" spans="1:7" customFormat="1" ht="12.75" hidden="1" outlineLevel="1" x14ac:dyDescent="0.2">
      <c r="A211" s="321" t="s">
        <v>645</v>
      </c>
      <c r="B211" s="207" t="s">
        <v>647</v>
      </c>
      <c r="C211" s="225">
        <v>0</v>
      </c>
      <c r="D211" s="543"/>
      <c r="E211" s="524"/>
      <c r="F211" s="524"/>
      <c r="G211" s="524"/>
    </row>
    <row r="212" spans="1:7" customFormat="1" ht="12.75" hidden="1" outlineLevel="1" x14ac:dyDescent="0.2">
      <c r="A212" s="321" t="s">
        <v>648</v>
      </c>
      <c r="B212" s="207" t="s">
        <v>646</v>
      </c>
      <c r="C212" s="225">
        <v>710774.81323492026</v>
      </c>
      <c r="D212" s="543"/>
      <c r="E212" s="524"/>
      <c r="F212" s="524"/>
      <c r="G212" s="524"/>
    </row>
    <row r="213" spans="1:7" customFormat="1" ht="12.75" hidden="1" outlineLevel="1" x14ac:dyDescent="0.2">
      <c r="A213" s="177" t="s">
        <v>650</v>
      </c>
      <c r="B213" s="207" t="s">
        <v>649</v>
      </c>
      <c r="C213" s="225">
        <v>0</v>
      </c>
      <c r="D213" s="543"/>
      <c r="E213" s="524"/>
      <c r="F213" s="524"/>
      <c r="G213" s="524"/>
    </row>
    <row r="214" spans="1:7" customFormat="1" ht="12.75" hidden="1" outlineLevel="1" x14ac:dyDescent="0.2">
      <c r="A214" s="177" t="s">
        <v>423</v>
      </c>
      <c r="B214" s="207" t="s">
        <v>424</v>
      </c>
      <c r="C214" s="225">
        <v>486806</v>
      </c>
      <c r="D214" s="543"/>
      <c r="E214" s="524"/>
      <c r="F214" s="524"/>
      <c r="G214" s="524"/>
    </row>
    <row r="215" spans="1:7" customFormat="1" ht="12.75" collapsed="1" x14ac:dyDescent="0.2">
      <c r="A215" s="177"/>
      <c r="B215" s="213" t="s">
        <v>113</v>
      </c>
      <c r="C215" s="214">
        <f>SUM(C179:C214)</f>
        <v>6461048.6272371421</v>
      </c>
      <c r="D215" s="543"/>
      <c r="E215" s="524"/>
      <c r="F215" s="524"/>
      <c r="G215" s="524"/>
    </row>
    <row r="216" spans="1:7" customFormat="1" ht="12.75" hidden="1" outlineLevel="1" x14ac:dyDescent="0.2">
      <c r="A216" s="177"/>
      <c r="B216" s="212" t="s">
        <v>114</v>
      </c>
      <c r="C216" s="208" t="s">
        <v>169</v>
      </c>
      <c r="D216" s="543"/>
      <c r="E216" s="524"/>
      <c r="F216" s="524"/>
      <c r="G216" s="524"/>
    </row>
    <row r="217" spans="1:7" customFormat="1" ht="12.75" hidden="1" outlineLevel="1" x14ac:dyDescent="0.2">
      <c r="A217" s="177" t="s">
        <v>115</v>
      </c>
      <c r="B217" s="207" t="s">
        <v>116</v>
      </c>
      <c r="C217" s="225">
        <v>40820.22784</v>
      </c>
      <c r="D217" s="543"/>
      <c r="E217" s="524"/>
      <c r="F217" s="524"/>
      <c r="G217" s="524"/>
    </row>
    <row r="218" spans="1:7" customFormat="1" ht="12.75" hidden="1" outlineLevel="1" x14ac:dyDescent="0.2">
      <c r="A218" s="177" t="s">
        <v>117</v>
      </c>
      <c r="B218" s="207" t="s">
        <v>118</v>
      </c>
      <c r="C218" s="225">
        <v>10561.752320000001</v>
      </c>
      <c r="D218" s="543"/>
      <c r="E218" s="524"/>
      <c r="F218" s="524"/>
      <c r="G218" s="524"/>
    </row>
    <row r="219" spans="1:7" customFormat="1" ht="12.75" hidden="1" outlineLevel="1" x14ac:dyDescent="0.2">
      <c r="A219" s="177" t="s">
        <v>119</v>
      </c>
      <c r="B219" s="207" t="s">
        <v>120</v>
      </c>
      <c r="C219" s="225">
        <v>56108.442880000002</v>
      </c>
      <c r="D219" s="543"/>
      <c r="E219" s="524"/>
      <c r="F219" s="524"/>
      <c r="G219" s="524"/>
    </row>
    <row r="220" spans="1:7" customFormat="1" ht="12.75" hidden="1" outlineLevel="1" x14ac:dyDescent="0.2">
      <c r="A220" s="177" t="s">
        <v>121</v>
      </c>
      <c r="B220" s="207" t="s">
        <v>122</v>
      </c>
      <c r="C220" s="225">
        <v>31311.696640000002</v>
      </c>
      <c r="D220" s="543"/>
      <c r="E220" s="524"/>
      <c r="F220" s="524"/>
      <c r="G220" s="524"/>
    </row>
    <row r="221" spans="1:7" customFormat="1" ht="12.75" hidden="1" outlineLevel="1" x14ac:dyDescent="0.2">
      <c r="A221" s="177" t="s">
        <v>123</v>
      </c>
      <c r="B221" s="207" t="s">
        <v>124</v>
      </c>
      <c r="C221" s="225">
        <v>62931.124480000006</v>
      </c>
      <c r="D221" s="543"/>
      <c r="E221" s="524"/>
      <c r="F221" s="524"/>
      <c r="G221" s="524"/>
    </row>
    <row r="222" spans="1:7" customFormat="1" ht="12.75" hidden="1" outlineLevel="1" x14ac:dyDescent="0.2">
      <c r="A222" s="177" t="s">
        <v>125</v>
      </c>
      <c r="B222" s="207" t="s">
        <v>126</v>
      </c>
      <c r="C222" s="225">
        <v>8458.5715200000013</v>
      </c>
      <c r="D222" s="543"/>
      <c r="E222" s="524"/>
      <c r="F222" s="524"/>
      <c r="G222" s="524"/>
    </row>
    <row r="223" spans="1:7" customFormat="1" ht="12.75" hidden="1" outlineLevel="1" x14ac:dyDescent="0.2">
      <c r="A223" s="177" t="s">
        <v>127</v>
      </c>
      <c r="B223" s="207" t="s">
        <v>128</v>
      </c>
      <c r="C223" s="225">
        <v>33446.295680000003</v>
      </c>
      <c r="D223" s="543"/>
      <c r="E223" s="524"/>
      <c r="F223" s="524"/>
      <c r="G223" s="524"/>
    </row>
    <row r="224" spans="1:7" customFormat="1" ht="12.75" hidden="1" outlineLevel="1" x14ac:dyDescent="0.2">
      <c r="A224" s="177" t="s">
        <v>129</v>
      </c>
      <c r="B224" s="207" t="s">
        <v>130</v>
      </c>
      <c r="C224" s="225">
        <v>36517.676160000003</v>
      </c>
      <c r="D224" s="543"/>
      <c r="E224" s="524"/>
      <c r="F224" s="524"/>
      <c r="G224" s="524"/>
    </row>
    <row r="225" spans="1:7" customFormat="1" ht="12.75" hidden="1" outlineLevel="1" x14ac:dyDescent="0.2">
      <c r="A225" s="177" t="s">
        <v>131</v>
      </c>
      <c r="B225" s="207" t="s">
        <v>132</v>
      </c>
      <c r="C225" s="225">
        <v>114947.16800000001</v>
      </c>
      <c r="D225" s="543"/>
      <c r="E225" s="524"/>
      <c r="F225" s="524"/>
      <c r="G225" s="524"/>
    </row>
    <row r="226" spans="1:7" customFormat="1" ht="12.75" hidden="1" outlineLevel="1" x14ac:dyDescent="0.2">
      <c r="A226" s="177" t="s">
        <v>363</v>
      </c>
      <c r="B226" s="207" t="s">
        <v>364</v>
      </c>
      <c r="C226" s="225">
        <v>229861.91200000004</v>
      </c>
      <c r="D226" s="543"/>
      <c r="E226" s="524"/>
      <c r="F226" s="524"/>
      <c r="G226" s="524"/>
    </row>
    <row r="227" spans="1:7" customFormat="1" ht="12.75" hidden="1" outlineLevel="1" x14ac:dyDescent="0.2">
      <c r="A227" s="177" t="s">
        <v>365</v>
      </c>
      <c r="B227" s="207" t="s">
        <v>366</v>
      </c>
      <c r="C227" s="225">
        <v>1785.38976</v>
      </c>
      <c r="D227" s="543"/>
      <c r="E227" s="524"/>
      <c r="F227" s="524"/>
      <c r="G227" s="524"/>
    </row>
    <row r="228" spans="1:7" customFormat="1" ht="12.75" hidden="1" outlineLevel="1" x14ac:dyDescent="0.2">
      <c r="A228" s="177" t="s">
        <v>367</v>
      </c>
      <c r="B228" s="207" t="s">
        <v>368</v>
      </c>
      <c r="C228" s="225">
        <v>42775.091520000009</v>
      </c>
      <c r="D228" s="543"/>
      <c r="E228" s="524"/>
      <c r="F228" s="524"/>
      <c r="G228" s="524"/>
    </row>
    <row r="229" spans="1:7" customFormat="1" ht="12.75" hidden="1" outlineLevel="1" x14ac:dyDescent="0.2">
      <c r="A229" s="177" t="s">
        <v>133</v>
      </c>
      <c r="B229" s="207" t="s">
        <v>134</v>
      </c>
      <c r="C229" s="225">
        <v>13575.990400000001</v>
      </c>
      <c r="D229" s="543"/>
      <c r="E229" s="524"/>
      <c r="F229" s="524"/>
      <c r="G229" s="524"/>
    </row>
    <row r="230" spans="1:7" customFormat="1" ht="12.75" hidden="1" outlineLevel="1" x14ac:dyDescent="0.2">
      <c r="A230" s="177" t="s">
        <v>135</v>
      </c>
      <c r="B230" s="207" t="s">
        <v>136</v>
      </c>
      <c r="C230" s="225">
        <v>2914240.0000000005</v>
      </c>
      <c r="D230" s="543"/>
      <c r="E230" s="524"/>
      <c r="F230" s="524"/>
      <c r="G230" s="524"/>
    </row>
    <row r="231" spans="1:7" customFormat="1" ht="12.75" hidden="1" outlineLevel="1" x14ac:dyDescent="0.2">
      <c r="A231" s="177" t="s">
        <v>137</v>
      </c>
      <c r="B231" s="207" t="s">
        <v>138</v>
      </c>
      <c r="C231" s="225">
        <v>62438.508160000005</v>
      </c>
      <c r="D231" s="543"/>
      <c r="E231" s="524"/>
      <c r="F231" s="524"/>
      <c r="G231" s="524"/>
    </row>
    <row r="232" spans="1:7" customFormat="1" ht="12.75" hidden="1" outlineLevel="1" x14ac:dyDescent="0.2">
      <c r="A232" s="177" t="s">
        <v>139</v>
      </c>
      <c r="B232" s="207" t="s">
        <v>140</v>
      </c>
      <c r="C232" s="225">
        <v>133460.58432000002</v>
      </c>
      <c r="D232" s="543"/>
      <c r="E232" s="524"/>
      <c r="F232" s="524"/>
      <c r="G232" s="524"/>
    </row>
    <row r="233" spans="1:7" customFormat="1" ht="12.75" hidden="1" outlineLevel="1" x14ac:dyDescent="0.2">
      <c r="A233" s="177" t="s">
        <v>141</v>
      </c>
      <c r="B233" s="207" t="s">
        <v>142</v>
      </c>
      <c r="C233" s="225">
        <v>87560.641280000011</v>
      </c>
      <c r="D233" s="543"/>
      <c r="E233" s="524"/>
      <c r="F233" s="524"/>
      <c r="G233" s="524"/>
    </row>
    <row r="234" spans="1:7" customFormat="1" ht="12.75" hidden="1" outlineLevel="1" x14ac:dyDescent="0.2">
      <c r="A234" s="177" t="s">
        <v>143</v>
      </c>
      <c r="B234" s="207" t="s">
        <v>144</v>
      </c>
      <c r="C234" s="225">
        <v>49.212800000000001</v>
      </c>
      <c r="D234" s="543"/>
      <c r="E234" s="524"/>
      <c r="F234" s="524"/>
      <c r="G234" s="524"/>
    </row>
    <row r="235" spans="1:7" customFormat="1" ht="12.75" hidden="1" outlineLevel="1" x14ac:dyDescent="0.2">
      <c r="A235" s="177" t="s">
        <v>145</v>
      </c>
      <c r="B235" s="207" t="s">
        <v>146</v>
      </c>
      <c r="C235" s="225">
        <v>26125.128960000005</v>
      </c>
      <c r="D235" s="543"/>
      <c r="E235" s="524"/>
      <c r="F235" s="524"/>
      <c r="G235" s="524"/>
    </row>
    <row r="236" spans="1:7" customFormat="1" ht="12.75" hidden="1" outlineLevel="1" x14ac:dyDescent="0.2">
      <c r="A236" s="177" t="s">
        <v>369</v>
      </c>
      <c r="B236" s="207" t="s">
        <v>370</v>
      </c>
      <c r="C236" s="225">
        <v>1984.0620800000002</v>
      </c>
      <c r="D236" s="543"/>
      <c r="E236" s="524"/>
      <c r="F236" s="524"/>
      <c r="G236" s="524"/>
    </row>
    <row r="237" spans="1:7" customFormat="1" ht="12.75" hidden="1" outlineLevel="1" x14ac:dyDescent="0.2">
      <c r="A237" s="177" t="s">
        <v>147</v>
      </c>
      <c r="B237" s="207" t="s">
        <v>148</v>
      </c>
      <c r="C237" s="225">
        <v>80071.02208000001</v>
      </c>
      <c r="D237" s="543"/>
      <c r="E237" s="524"/>
      <c r="F237" s="524"/>
      <c r="G237" s="524"/>
    </row>
    <row r="238" spans="1:7" customFormat="1" ht="12.75" hidden="1" outlineLevel="1" x14ac:dyDescent="0.2">
      <c r="A238" s="177" t="s">
        <v>149</v>
      </c>
      <c r="B238" s="207" t="s">
        <v>150</v>
      </c>
      <c r="C238" s="225">
        <v>45178.654080000008</v>
      </c>
      <c r="D238" s="543"/>
      <c r="E238" s="524"/>
      <c r="F238" s="524"/>
      <c r="G238" s="524"/>
    </row>
    <row r="239" spans="1:7" customFormat="1" ht="12.75" collapsed="1" x14ac:dyDescent="0.2">
      <c r="A239" s="3"/>
      <c r="B239" s="215" t="s">
        <v>151</v>
      </c>
      <c r="C239" s="214">
        <f>SUM(C217:C238)</f>
        <v>4034209.1529600006</v>
      </c>
      <c r="D239" s="543"/>
      <c r="E239" s="524"/>
      <c r="F239" s="524"/>
      <c r="G239" s="524"/>
    </row>
    <row r="240" spans="1:7" customFormat="1" ht="12.75" x14ac:dyDescent="0.2">
      <c r="A240" s="1"/>
      <c r="B240" s="216" t="s">
        <v>371</v>
      </c>
      <c r="C240" s="210">
        <f>+C215+C239</f>
        <v>10495257.780197144</v>
      </c>
      <c r="D240" s="543"/>
      <c r="E240" s="524"/>
      <c r="F240" s="524"/>
      <c r="G240" s="524"/>
    </row>
    <row r="241" spans="1:7" customFormat="1" ht="12.75" x14ac:dyDescent="0.2">
      <c r="A241" s="178"/>
      <c r="B241" s="209" t="s">
        <v>372</v>
      </c>
      <c r="C241" s="210">
        <f>+C176+C240</f>
        <v>29419359.291414779</v>
      </c>
      <c r="D241" s="543"/>
      <c r="E241" s="524"/>
      <c r="F241" s="524"/>
      <c r="G241" s="524"/>
    </row>
    <row r="242" spans="1:7" customFormat="1" ht="12.75" x14ac:dyDescent="0.2">
      <c r="A242" s="176"/>
      <c r="B242" s="209" t="s">
        <v>373</v>
      </c>
      <c r="C242" s="210">
        <f>+C29-C241</f>
        <v>6119381.3703312315</v>
      </c>
      <c r="D242" s="543"/>
      <c r="E242" s="524"/>
      <c r="F242" s="524"/>
      <c r="G242" s="524"/>
    </row>
    <row r="243" spans="1:7" customFormat="1" ht="12.75" hidden="1" outlineLevel="1" x14ac:dyDescent="0.2">
      <c r="A243" s="176"/>
      <c r="B243" s="212" t="s">
        <v>374</v>
      </c>
      <c r="C243" s="208" t="s">
        <v>169</v>
      </c>
      <c r="D243" s="543"/>
      <c r="E243" s="524"/>
      <c r="F243" s="524"/>
      <c r="G243" s="524"/>
    </row>
    <row r="244" spans="1:7" customFormat="1" ht="12.75" hidden="1" outlineLevel="1" x14ac:dyDescent="0.2">
      <c r="A244" s="176"/>
      <c r="B244" s="212" t="s">
        <v>518</v>
      </c>
      <c r="C244" s="208"/>
      <c r="D244" s="543"/>
      <c r="E244" s="524"/>
      <c r="F244" s="524"/>
      <c r="G244" s="524"/>
    </row>
    <row r="245" spans="1:7" customFormat="1" ht="12.75" hidden="1" outlineLevel="1" x14ac:dyDescent="0.2">
      <c r="A245" s="176">
        <v>4210050500</v>
      </c>
      <c r="B245" s="207" t="s">
        <v>14</v>
      </c>
      <c r="C245" s="225">
        <v>0</v>
      </c>
      <c r="D245" s="543"/>
      <c r="E245" s="524"/>
      <c r="F245" s="524"/>
      <c r="G245" s="524"/>
    </row>
    <row r="246" spans="1:7" customFormat="1" ht="12.75" hidden="1" outlineLevel="1" x14ac:dyDescent="0.2">
      <c r="A246" s="176">
        <v>4210050601</v>
      </c>
      <c r="B246" s="207" t="s">
        <v>375</v>
      </c>
      <c r="C246" s="225">
        <v>0</v>
      </c>
      <c r="D246" s="543"/>
      <c r="E246" s="524"/>
      <c r="F246" s="524"/>
      <c r="G246" s="524"/>
    </row>
    <row r="247" spans="1:7" customFormat="1" ht="12.75" hidden="1" outlineLevel="1" x14ac:dyDescent="0.2">
      <c r="A247" s="176">
        <v>4210050602</v>
      </c>
      <c r="B247" s="207" t="s">
        <v>376</v>
      </c>
      <c r="C247" s="225">
        <v>0</v>
      </c>
      <c r="D247" s="543"/>
      <c r="E247" s="524"/>
      <c r="F247" s="524"/>
      <c r="G247" s="524"/>
    </row>
    <row r="248" spans="1:7" customFormat="1" ht="12.75" hidden="1" outlineLevel="1" x14ac:dyDescent="0.2">
      <c r="A248" s="610">
        <v>4210050608</v>
      </c>
      <c r="B248" s="207" t="s">
        <v>753</v>
      </c>
      <c r="C248" s="225">
        <v>0</v>
      </c>
      <c r="D248" s="543"/>
      <c r="E248" s="524"/>
      <c r="F248" s="524"/>
      <c r="G248" s="524"/>
    </row>
    <row r="249" spans="1:7" customFormat="1" ht="12.75" hidden="1" outlineLevel="1" x14ac:dyDescent="0.2">
      <c r="A249" s="176">
        <v>4210050603</v>
      </c>
      <c r="B249" s="207" t="s">
        <v>377</v>
      </c>
      <c r="C249" s="225">
        <v>0</v>
      </c>
      <c r="D249" s="543"/>
      <c r="E249" s="524"/>
      <c r="F249" s="524"/>
      <c r="G249" s="524"/>
    </row>
    <row r="250" spans="1:7" customFormat="1" ht="12.75" hidden="1" outlineLevel="1" x14ac:dyDescent="0.2">
      <c r="A250" s="610">
        <v>4210050606</v>
      </c>
      <c r="B250" s="317" t="s">
        <v>754</v>
      </c>
      <c r="C250" s="225">
        <v>0</v>
      </c>
      <c r="D250" s="543"/>
      <c r="E250" s="524"/>
      <c r="F250" s="524"/>
      <c r="G250" s="524"/>
    </row>
    <row r="251" spans="1:7" customFormat="1" ht="12.75" hidden="1" outlineLevel="1" x14ac:dyDescent="0.2">
      <c r="A251" s="176">
        <v>4210200000</v>
      </c>
      <c r="B251" s="207" t="s">
        <v>15</v>
      </c>
      <c r="C251" s="225">
        <v>0</v>
      </c>
      <c r="D251" s="543"/>
      <c r="E251" s="524"/>
      <c r="F251" s="524"/>
      <c r="G251" s="524"/>
    </row>
    <row r="252" spans="1:7" customFormat="1" ht="12.75" hidden="1" outlineLevel="1" x14ac:dyDescent="0.2">
      <c r="A252" s="176">
        <v>4210400000</v>
      </c>
      <c r="B252" s="207" t="s">
        <v>428</v>
      </c>
      <c r="C252" s="225">
        <v>0</v>
      </c>
      <c r="D252" s="543"/>
      <c r="E252" s="524"/>
      <c r="F252" s="524"/>
      <c r="G252" s="524"/>
    </row>
    <row r="253" spans="1:7" customFormat="1" ht="12.75" hidden="1" outlineLevel="1" x14ac:dyDescent="0.2">
      <c r="A253" s="176">
        <v>4210600000</v>
      </c>
      <c r="B253" s="207" t="s">
        <v>16</v>
      </c>
      <c r="C253" s="225">
        <v>0</v>
      </c>
      <c r="D253" s="543"/>
      <c r="E253" s="524"/>
      <c r="F253" s="524"/>
      <c r="G253" s="524"/>
    </row>
    <row r="254" spans="1:7" customFormat="1" ht="12.75" hidden="1" outlineLevel="1" x14ac:dyDescent="0.2">
      <c r="A254" s="176">
        <v>4210950200</v>
      </c>
      <c r="B254" s="207" t="s">
        <v>17</v>
      </c>
      <c r="C254" s="225">
        <v>0</v>
      </c>
      <c r="D254" s="543"/>
      <c r="E254" s="524"/>
      <c r="F254" s="524"/>
      <c r="G254" s="524"/>
    </row>
    <row r="255" spans="1:7" customFormat="1" ht="12.75" hidden="1" outlineLevel="1" x14ac:dyDescent="0.2">
      <c r="A255" s="176">
        <v>4210950300</v>
      </c>
      <c r="B255" s="207" t="s">
        <v>378</v>
      </c>
      <c r="C255" s="225">
        <v>0</v>
      </c>
      <c r="D255" s="543"/>
      <c r="E255" s="524"/>
      <c r="F255" s="524"/>
      <c r="G255" s="524"/>
    </row>
    <row r="256" spans="1:7" customFormat="1" ht="12.75" hidden="1" outlineLevel="1" x14ac:dyDescent="0.2">
      <c r="A256" s="610">
        <v>4210953501</v>
      </c>
      <c r="B256" s="207" t="s">
        <v>771</v>
      </c>
      <c r="C256" s="225">
        <v>0</v>
      </c>
      <c r="D256" s="543"/>
      <c r="E256" s="524"/>
      <c r="F256" s="524"/>
      <c r="G256" s="524"/>
    </row>
    <row r="257" spans="1:7" customFormat="1" ht="12.75" hidden="1" outlineLevel="1" x14ac:dyDescent="0.2">
      <c r="A257" s="610">
        <v>4210953502</v>
      </c>
      <c r="B257" s="207" t="s">
        <v>755</v>
      </c>
      <c r="C257" s="225">
        <v>0</v>
      </c>
      <c r="D257" s="543"/>
      <c r="E257" s="524"/>
      <c r="F257" s="524"/>
      <c r="G257" s="524"/>
    </row>
    <row r="258" spans="1:7" customFormat="1" ht="12.75" hidden="1" outlineLevel="1" x14ac:dyDescent="0.2">
      <c r="A258" s="176"/>
      <c r="B258" s="212" t="s">
        <v>446</v>
      </c>
      <c r="C258" s="225"/>
      <c r="D258" s="543"/>
      <c r="E258" s="524"/>
      <c r="F258" s="524"/>
      <c r="G258" s="524"/>
    </row>
    <row r="259" spans="1:7" customFormat="1" ht="12.75" hidden="1" outlineLevel="1" x14ac:dyDescent="0.2">
      <c r="A259" s="176">
        <v>4220100100</v>
      </c>
      <c r="B259" s="207" t="s">
        <v>379</v>
      </c>
      <c r="C259" s="225">
        <v>0</v>
      </c>
      <c r="D259" s="543"/>
      <c r="E259" s="524"/>
      <c r="F259" s="524"/>
      <c r="G259" s="524"/>
    </row>
    <row r="260" spans="1:7" customFormat="1" ht="12.75" hidden="1" outlineLevel="1" x14ac:dyDescent="0.2">
      <c r="A260" s="176">
        <v>4220100200</v>
      </c>
      <c r="B260" s="207" t="s">
        <v>380</v>
      </c>
      <c r="C260" s="225">
        <v>0</v>
      </c>
      <c r="D260" s="543"/>
      <c r="E260" s="524"/>
      <c r="F260" s="524"/>
      <c r="G260" s="524"/>
    </row>
    <row r="261" spans="1:7" customFormat="1" ht="12.75" hidden="1" outlineLevel="1" x14ac:dyDescent="0.2">
      <c r="A261" s="176">
        <v>4220100300</v>
      </c>
      <c r="B261" s="207" t="s">
        <v>381</v>
      </c>
      <c r="C261" s="225">
        <v>0</v>
      </c>
      <c r="D261" s="543"/>
      <c r="E261" s="524"/>
      <c r="F261" s="524"/>
      <c r="G261" s="524"/>
    </row>
    <row r="262" spans="1:7" customFormat="1" ht="12.75" hidden="1" outlineLevel="1" x14ac:dyDescent="0.2">
      <c r="A262" s="176">
        <v>4220100400</v>
      </c>
      <c r="B262" s="207" t="s">
        <v>382</v>
      </c>
      <c r="C262" s="225">
        <v>0</v>
      </c>
      <c r="D262" s="543"/>
      <c r="E262" s="524"/>
      <c r="F262" s="524"/>
      <c r="G262" s="524"/>
    </row>
    <row r="263" spans="1:7" customFormat="1" ht="12.75" hidden="1" outlineLevel="1" x14ac:dyDescent="0.2">
      <c r="A263" s="176">
        <v>4220100500</v>
      </c>
      <c r="B263" s="207" t="s">
        <v>333</v>
      </c>
      <c r="C263" s="225">
        <v>0</v>
      </c>
      <c r="D263" s="543"/>
      <c r="E263" s="524"/>
      <c r="F263" s="524"/>
      <c r="G263" s="524"/>
    </row>
    <row r="264" spans="1:7" customFormat="1" ht="12.75" hidden="1" outlineLevel="1" x14ac:dyDescent="0.2">
      <c r="A264" s="176">
        <v>4220100600</v>
      </c>
      <c r="B264" s="207" t="s">
        <v>383</v>
      </c>
      <c r="C264" s="225">
        <v>0</v>
      </c>
      <c r="D264" s="543"/>
      <c r="E264" s="524"/>
      <c r="F264" s="524"/>
      <c r="G264" s="524"/>
    </row>
    <row r="265" spans="1:7" customFormat="1" ht="12.75" hidden="1" outlineLevel="1" x14ac:dyDescent="0.2">
      <c r="A265" s="176">
        <v>4220100700</v>
      </c>
      <c r="B265" s="207" t="s">
        <v>384</v>
      </c>
      <c r="C265" s="225">
        <v>0</v>
      </c>
      <c r="D265" s="543"/>
      <c r="E265" s="524"/>
      <c r="F265" s="524"/>
      <c r="G265" s="524"/>
    </row>
    <row r="266" spans="1:7" customFormat="1" ht="12.75" hidden="1" outlineLevel="1" x14ac:dyDescent="0.2">
      <c r="A266" s="176">
        <v>4220100800</v>
      </c>
      <c r="B266" s="207" t="s">
        <v>385</v>
      </c>
      <c r="C266" s="225">
        <v>0</v>
      </c>
      <c r="D266" s="543"/>
      <c r="E266" s="524"/>
      <c r="F266" s="524"/>
      <c r="G266" s="524"/>
    </row>
    <row r="267" spans="1:7" customFormat="1" ht="12.75" hidden="1" outlineLevel="1" x14ac:dyDescent="0.2">
      <c r="A267" s="176"/>
      <c r="B267" s="212" t="s">
        <v>223</v>
      </c>
      <c r="C267" s="225"/>
      <c r="D267" s="543"/>
      <c r="E267" s="524"/>
      <c r="F267" s="524"/>
      <c r="G267" s="524"/>
    </row>
    <row r="268" spans="1:7" customFormat="1" ht="12.75" hidden="1" outlineLevel="1" x14ac:dyDescent="0.2">
      <c r="A268" s="176">
        <v>4230050000</v>
      </c>
      <c r="B268" s="207" t="s">
        <v>386</v>
      </c>
      <c r="C268" s="316">
        <v>0</v>
      </c>
      <c r="D268" s="543"/>
      <c r="E268" s="524"/>
      <c r="F268" s="524"/>
      <c r="G268" s="524"/>
    </row>
    <row r="269" spans="1:7" customFormat="1" ht="12.75" hidden="1" outlineLevel="1" x14ac:dyDescent="0.2">
      <c r="A269" s="176">
        <v>4230100000</v>
      </c>
      <c r="B269" s="207" t="s">
        <v>317</v>
      </c>
      <c r="C269" s="607">
        <v>0</v>
      </c>
      <c r="D269" s="543"/>
      <c r="E269" s="524"/>
      <c r="F269" s="524"/>
      <c r="G269" s="524"/>
    </row>
    <row r="270" spans="1:7" customFormat="1" ht="12.75" hidden="1" outlineLevel="1" x14ac:dyDescent="0.2">
      <c r="A270" s="176"/>
      <c r="B270" s="212" t="s">
        <v>511</v>
      </c>
      <c r="C270" s="225"/>
      <c r="D270" s="543"/>
      <c r="E270" s="524"/>
      <c r="F270" s="524"/>
      <c r="G270" s="524"/>
    </row>
    <row r="271" spans="1:7" customFormat="1" ht="12.75" hidden="1" outlineLevel="1" x14ac:dyDescent="0.2">
      <c r="A271" s="610">
        <v>4235100000</v>
      </c>
      <c r="B271" s="207" t="s">
        <v>756</v>
      </c>
      <c r="C271" s="225">
        <v>0</v>
      </c>
      <c r="D271" s="543"/>
      <c r="E271" s="524"/>
      <c r="F271" s="524"/>
      <c r="G271" s="524"/>
    </row>
    <row r="272" spans="1:7" customFormat="1" ht="12.75" hidden="1" outlineLevel="1" x14ac:dyDescent="0.2">
      <c r="A272" s="176">
        <v>4235200000</v>
      </c>
      <c r="B272" s="207" t="s">
        <v>387</v>
      </c>
      <c r="C272" s="225">
        <v>0</v>
      </c>
      <c r="D272" s="543"/>
      <c r="E272" s="524"/>
      <c r="F272" s="524"/>
      <c r="G272" s="524"/>
    </row>
    <row r="273" spans="1:7" customFormat="1" ht="12.75" hidden="1" outlineLevel="1" x14ac:dyDescent="0.2">
      <c r="A273" s="176">
        <v>4235550000</v>
      </c>
      <c r="B273" s="207" t="s">
        <v>388</v>
      </c>
      <c r="C273" s="226">
        <v>0</v>
      </c>
      <c r="D273" s="543"/>
      <c r="E273" s="524"/>
      <c r="F273" s="524"/>
      <c r="G273" s="524"/>
    </row>
    <row r="274" spans="1:7" customFormat="1" ht="12.75" hidden="1" outlineLevel="1" x14ac:dyDescent="0.2">
      <c r="A274" s="176">
        <v>4235653500</v>
      </c>
      <c r="B274" s="207" t="s">
        <v>389</v>
      </c>
      <c r="C274" s="225">
        <v>0</v>
      </c>
      <c r="D274" s="543"/>
      <c r="E274" s="524"/>
      <c r="F274" s="524"/>
      <c r="G274" s="524"/>
    </row>
    <row r="275" spans="1:7" customFormat="1" ht="12.75" hidden="1" outlineLevel="1" x14ac:dyDescent="0.2">
      <c r="A275" s="610">
        <v>4235950900</v>
      </c>
      <c r="B275" s="207" t="s">
        <v>757</v>
      </c>
      <c r="C275" s="225">
        <v>0</v>
      </c>
      <c r="D275" s="543"/>
      <c r="E275" s="524"/>
      <c r="F275" s="524"/>
      <c r="G275" s="524"/>
    </row>
    <row r="276" spans="1:7" customFormat="1" ht="12.75" hidden="1" outlineLevel="1" x14ac:dyDescent="0.2">
      <c r="A276" s="176">
        <v>4235950100</v>
      </c>
      <c r="B276" s="207" t="s">
        <v>390</v>
      </c>
      <c r="C276" s="225">
        <v>0</v>
      </c>
      <c r="D276" s="543"/>
      <c r="E276" s="524"/>
      <c r="F276" s="524"/>
      <c r="G276" s="524"/>
    </row>
    <row r="277" spans="1:7" customFormat="1" ht="12.75" hidden="1" outlineLevel="1" x14ac:dyDescent="0.2">
      <c r="A277" s="176">
        <v>4235950200</v>
      </c>
      <c r="B277" s="207" t="s">
        <v>391</v>
      </c>
      <c r="C277" s="225">
        <v>0</v>
      </c>
      <c r="D277" s="543"/>
      <c r="E277" s="524"/>
      <c r="F277" s="524"/>
      <c r="G277" s="524"/>
    </row>
    <row r="278" spans="1:7" customFormat="1" ht="12.75" hidden="1" outlineLevel="1" x14ac:dyDescent="0.2">
      <c r="A278" s="176">
        <v>4235950500</v>
      </c>
      <c r="B278" s="207" t="s">
        <v>392</v>
      </c>
      <c r="C278" s="225">
        <v>0</v>
      </c>
      <c r="D278" s="543"/>
      <c r="E278" s="524"/>
      <c r="F278" s="524"/>
      <c r="G278" s="524"/>
    </row>
    <row r="279" spans="1:7" customFormat="1" ht="12.75" hidden="1" outlineLevel="1" x14ac:dyDescent="0.2">
      <c r="A279" s="3">
        <v>4235950600</v>
      </c>
      <c r="B279" s="207" t="s">
        <v>393</v>
      </c>
      <c r="C279" s="225">
        <v>0</v>
      </c>
      <c r="D279" s="543"/>
      <c r="E279" s="524"/>
      <c r="F279" s="524"/>
      <c r="G279" s="524"/>
    </row>
    <row r="280" spans="1:7" customFormat="1" ht="12.75" hidden="1" outlineLevel="1" x14ac:dyDescent="0.2">
      <c r="A280" s="608">
        <v>4235950800</v>
      </c>
      <c r="B280" s="207" t="s">
        <v>758</v>
      </c>
      <c r="C280" s="225">
        <v>0</v>
      </c>
      <c r="D280" s="543"/>
      <c r="E280" s="524"/>
      <c r="F280" s="524"/>
      <c r="G280" s="524"/>
    </row>
    <row r="281" spans="1:7" customFormat="1" ht="12.75" hidden="1" outlineLevel="1" x14ac:dyDescent="0.2">
      <c r="A281" s="3"/>
      <c r="B281" s="212" t="s">
        <v>519</v>
      </c>
      <c r="C281" s="225"/>
      <c r="D281" s="543"/>
      <c r="E281" s="524"/>
      <c r="F281" s="524"/>
      <c r="G281" s="524"/>
    </row>
    <row r="282" spans="1:7" customFormat="1" ht="12.75" hidden="1" outlineLevel="1" x14ac:dyDescent="0.2">
      <c r="A282" s="608">
        <v>4250150000</v>
      </c>
      <c r="B282" s="317" t="s">
        <v>759</v>
      </c>
      <c r="C282" s="225">
        <v>0</v>
      </c>
      <c r="D282" s="543"/>
      <c r="E282" s="524"/>
      <c r="F282" s="524"/>
      <c r="G282" s="524"/>
    </row>
    <row r="283" spans="1:7" customFormat="1" ht="12.75" hidden="1" outlineLevel="1" x14ac:dyDescent="0.2">
      <c r="A283" s="608">
        <v>4250350200</v>
      </c>
      <c r="B283" s="317" t="s">
        <v>760</v>
      </c>
      <c r="C283" s="225">
        <v>100000</v>
      </c>
      <c r="D283" s="543"/>
      <c r="E283" s="524"/>
      <c r="F283" s="524"/>
      <c r="G283" s="524"/>
    </row>
    <row r="284" spans="1:7" customFormat="1" ht="12.75" hidden="1" outlineLevel="1" x14ac:dyDescent="0.2">
      <c r="A284" s="176">
        <v>4250500000</v>
      </c>
      <c r="B284" s="207" t="s">
        <v>18</v>
      </c>
      <c r="C284" s="225">
        <v>0</v>
      </c>
      <c r="D284" s="543"/>
      <c r="E284" s="524"/>
      <c r="F284" s="524"/>
      <c r="G284" s="524"/>
    </row>
    <row r="285" spans="1:7" customFormat="1" ht="12.75" hidden="1" outlineLevel="1" x14ac:dyDescent="0.2">
      <c r="A285" s="176">
        <v>4255050000</v>
      </c>
      <c r="B285" s="207" t="s">
        <v>394</v>
      </c>
      <c r="C285" s="225">
        <v>0</v>
      </c>
      <c r="D285" s="543"/>
      <c r="E285" s="524"/>
      <c r="F285" s="524"/>
      <c r="G285" s="524"/>
    </row>
    <row r="286" spans="1:7" customFormat="1" ht="12.75" hidden="1" outlineLevel="1" x14ac:dyDescent="0.2">
      <c r="A286" s="176"/>
      <c r="B286" s="212" t="s">
        <v>520</v>
      </c>
      <c r="C286" s="225"/>
      <c r="D286" s="543"/>
      <c r="E286" s="524"/>
      <c r="F286" s="524"/>
      <c r="G286" s="524"/>
    </row>
    <row r="287" spans="1:7" customFormat="1" ht="12.75" hidden="1" outlineLevel="1" x14ac:dyDescent="0.2">
      <c r="A287" s="176">
        <v>4265010000</v>
      </c>
      <c r="B287" s="207" t="s">
        <v>19</v>
      </c>
      <c r="C287" s="225">
        <v>0</v>
      </c>
      <c r="D287" s="543"/>
      <c r="E287" s="524"/>
      <c r="F287" s="524"/>
      <c r="G287" s="524"/>
    </row>
    <row r="288" spans="1:7" customFormat="1" ht="12.75" hidden="1" outlineLevel="1" x14ac:dyDescent="0.2">
      <c r="A288" s="176"/>
      <c r="B288" s="212" t="s">
        <v>443</v>
      </c>
      <c r="C288" s="225"/>
      <c r="D288" s="543"/>
      <c r="E288" s="524"/>
      <c r="F288" s="524"/>
      <c r="G288" s="524"/>
    </row>
    <row r="289" spans="1:7" customFormat="1" ht="12.75" hidden="1" outlineLevel="1" x14ac:dyDescent="0.2">
      <c r="A289" s="176">
        <v>4295050000</v>
      </c>
      <c r="B289" s="317" t="s">
        <v>395</v>
      </c>
      <c r="C289" s="225">
        <v>0</v>
      </c>
      <c r="D289" s="543"/>
      <c r="E289" s="524"/>
      <c r="F289" s="524"/>
      <c r="G289" s="524"/>
    </row>
    <row r="290" spans="1:7" customFormat="1" ht="12.75" hidden="1" outlineLevel="1" x14ac:dyDescent="0.2">
      <c r="A290" s="176">
        <v>4295070000</v>
      </c>
      <c r="B290" s="317" t="s">
        <v>28</v>
      </c>
      <c r="C290" s="225">
        <v>0</v>
      </c>
      <c r="D290" s="543"/>
      <c r="E290" s="524"/>
      <c r="F290" s="524"/>
      <c r="G290" s="524"/>
    </row>
    <row r="291" spans="1:7" customFormat="1" ht="12.75" hidden="1" outlineLevel="1" x14ac:dyDescent="0.2">
      <c r="A291" s="176">
        <v>4295090600</v>
      </c>
      <c r="B291" s="317" t="s">
        <v>396</v>
      </c>
      <c r="C291" s="225">
        <v>0</v>
      </c>
      <c r="D291" s="543"/>
      <c r="E291" s="524"/>
      <c r="F291" s="524"/>
      <c r="G291" s="524"/>
    </row>
    <row r="292" spans="1:7" customFormat="1" ht="12.75" hidden="1" outlineLevel="1" x14ac:dyDescent="0.2">
      <c r="A292" s="176">
        <v>4295110000</v>
      </c>
      <c r="B292" s="317" t="s">
        <v>653</v>
      </c>
      <c r="C292" s="225">
        <v>0</v>
      </c>
      <c r="D292" s="543"/>
      <c r="E292" s="524"/>
      <c r="F292" s="524"/>
      <c r="G292" s="524"/>
    </row>
    <row r="293" spans="1:7" customFormat="1" ht="12.75" hidden="1" outlineLevel="1" x14ac:dyDescent="0.2">
      <c r="A293" s="176">
        <v>4295510000</v>
      </c>
      <c r="B293" s="317" t="s">
        <v>397</v>
      </c>
      <c r="C293" s="225">
        <v>0</v>
      </c>
      <c r="D293" s="543"/>
      <c r="E293" s="524"/>
      <c r="F293" s="524"/>
      <c r="G293" s="524"/>
    </row>
    <row r="294" spans="1:7" customFormat="1" ht="12.75" hidden="1" outlineLevel="1" x14ac:dyDescent="0.2">
      <c r="A294" s="176">
        <v>4295530000</v>
      </c>
      <c r="B294" s="317" t="s">
        <v>398</v>
      </c>
      <c r="C294" s="225">
        <v>0</v>
      </c>
      <c r="D294" s="543"/>
      <c r="E294" s="524"/>
      <c r="F294" s="524"/>
      <c r="G294" s="524"/>
    </row>
    <row r="295" spans="1:7" customFormat="1" ht="12.75" collapsed="1" x14ac:dyDescent="0.2">
      <c r="A295" s="3"/>
      <c r="B295" s="213" t="s">
        <v>399</v>
      </c>
      <c r="C295" s="214">
        <f>SUM(C245:C294)</f>
        <v>100000</v>
      </c>
      <c r="D295" s="543"/>
      <c r="E295" s="524"/>
      <c r="F295" s="524"/>
      <c r="G295" s="524"/>
    </row>
    <row r="296" spans="1:7" customFormat="1" ht="12.75" hidden="1" x14ac:dyDescent="0.2">
      <c r="A296" s="176"/>
      <c r="B296" s="212" t="s">
        <v>400</v>
      </c>
      <c r="C296" s="208" t="s">
        <v>169</v>
      </c>
      <c r="D296" s="543"/>
      <c r="E296" s="524"/>
      <c r="F296" s="524"/>
      <c r="G296" s="524"/>
    </row>
    <row r="297" spans="1:7" customFormat="1" ht="12.75" hidden="1" outlineLevel="1" x14ac:dyDescent="0.2">
      <c r="A297" s="176"/>
      <c r="B297" s="212" t="s">
        <v>80</v>
      </c>
      <c r="C297" s="208" t="s">
        <v>169</v>
      </c>
      <c r="D297" s="543"/>
      <c r="E297" s="524"/>
      <c r="F297" s="524"/>
      <c r="G297" s="524"/>
    </row>
    <row r="298" spans="1:7" customFormat="1" ht="12.75" hidden="1" outlineLevel="1" x14ac:dyDescent="0.2">
      <c r="A298" s="176">
        <v>5305050100</v>
      </c>
      <c r="B298" s="319" t="s">
        <v>401</v>
      </c>
      <c r="C298" s="225">
        <v>0</v>
      </c>
      <c r="D298" s="543"/>
      <c r="E298" s="524"/>
      <c r="F298" s="524"/>
      <c r="G298" s="524"/>
    </row>
    <row r="299" spans="1:7" customFormat="1" ht="12.75" hidden="1" outlineLevel="1" x14ac:dyDescent="0.2">
      <c r="A299" s="610">
        <v>5305050000</v>
      </c>
      <c r="B299" s="319" t="s">
        <v>761</v>
      </c>
      <c r="C299" s="225">
        <v>0</v>
      </c>
      <c r="D299" s="543"/>
      <c r="E299" s="524"/>
      <c r="F299" s="524"/>
      <c r="G299" s="524"/>
    </row>
    <row r="300" spans="1:7" customFormat="1" ht="12.75" hidden="1" outlineLevel="1" x14ac:dyDescent="0.2">
      <c r="A300" s="176">
        <v>5305050200</v>
      </c>
      <c r="B300" s="319" t="s">
        <v>402</v>
      </c>
      <c r="C300" s="225">
        <v>0</v>
      </c>
      <c r="D300" s="543"/>
      <c r="E300" s="524"/>
      <c r="F300" s="524"/>
      <c r="G300" s="524"/>
    </row>
    <row r="301" spans="1:7" customFormat="1" ht="12.75" hidden="1" outlineLevel="1" x14ac:dyDescent="0.2">
      <c r="A301" s="610">
        <v>5305050400</v>
      </c>
      <c r="B301" s="319" t="s">
        <v>762</v>
      </c>
      <c r="C301" s="225">
        <v>0</v>
      </c>
      <c r="D301" s="543"/>
      <c r="E301" s="524"/>
      <c r="F301" s="524"/>
      <c r="G301" s="524"/>
    </row>
    <row r="302" spans="1:7" customFormat="1" ht="12.75" hidden="1" outlineLevel="1" x14ac:dyDescent="0.2">
      <c r="A302" s="176">
        <v>5305150000</v>
      </c>
      <c r="B302" s="317" t="s">
        <v>81</v>
      </c>
      <c r="C302" s="225">
        <v>0</v>
      </c>
      <c r="D302" s="543"/>
      <c r="E302" s="524"/>
      <c r="F302" s="524"/>
      <c r="G302" s="524"/>
    </row>
    <row r="303" spans="1:7" customFormat="1" ht="12.75" hidden="1" outlineLevel="1" x14ac:dyDescent="0.2">
      <c r="A303" s="176">
        <v>5305200200</v>
      </c>
      <c r="B303" s="319" t="s">
        <v>403</v>
      </c>
      <c r="C303" s="225">
        <v>0</v>
      </c>
      <c r="D303" s="543"/>
      <c r="E303" s="524"/>
      <c r="F303" s="524"/>
      <c r="G303" s="524"/>
    </row>
    <row r="304" spans="1:7" customFormat="1" ht="12.75" hidden="1" outlineLevel="1" x14ac:dyDescent="0.2">
      <c r="A304" s="176">
        <v>5305200300</v>
      </c>
      <c r="B304" s="317" t="s">
        <v>82</v>
      </c>
      <c r="C304" s="225">
        <v>0</v>
      </c>
      <c r="D304" s="543"/>
      <c r="E304" s="524"/>
      <c r="F304" s="524"/>
      <c r="G304" s="524"/>
    </row>
    <row r="305" spans="1:7" customFormat="1" ht="12.75" hidden="1" outlineLevel="1" x14ac:dyDescent="0.2">
      <c r="A305" s="176">
        <v>5305250000</v>
      </c>
      <c r="B305" s="317" t="s">
        <v>15</v>
      </c>
      <c r="C305" s="225">
        <v>0</v>
      </c>
      <c r="D305" s="543"/>
      <c r="E305" s="524"/>
      <c r="F305" s="524"/>
      <c r="G305" s="524"/>
    </row>
    <row r="306" spans="1:7" customFormat="1" ht="12.75" hidden="1" outlineLevel="1" x14ac:dyDescent="0.2">
      <c r="A306" s="610">
        <v>5305450100</v>
      </c>
      <c r="B306" s="317" t="s">
        <v>763</v>
      </c>
      <c r="C306" s="225">
        <v>0</v>
      </c>
      <c r="D306" s="543"/>
      <c r="E306" s="524"/>
      <c r="F306" s="524"/>
      <c r="G306" s="524"/>
    </row>
    <row r="307" spans="1:7" customFormat="1" ht="12.75" hidden="1" outlineLevel="1" x14ac:dyDescent="0.2">
      <c r="A307" s="610">
        <v>5305953501</v>
      </c>
      <c r="B307" s="317" t="s">
        <v>764</v>
      </c>
      <c r="C307" s="225">
        <v>0</v>
      </c>
      <c r="D307" s="543"/>
      <c r="E307" s="524"/>
      <c r="F307" s="524"/>
      <c r="G307" s="524"/>
    </row>
    <row r="308" spans="1:7" customFormat="1" ht="12.75" hidden="1" outlineLevel="1" x14ac:dyDescent="0.2">
      <c r="A308" s="176">
        <v>5315100000</v>
      </c>
      <c r="B308" s="319" t="s">
        <v>404</v>
      </c>
      <c r="C308" s="225">
        <v>0</v>
      </c>
      <c r="D308" s="543"/>
      <c r="E308" s="524"/>
      <c r="F308" s="524"/>
      <c r="G308" s="524"/>
    </row>
    <row r="309" spans="1:7" customFormat="1" ht="12.75" hidden="1" outlineLevel="1" x14ac:dyDescent="0.2">
      <c r="A309" s="176">
        <v>5315150500</v>
      </c>
      <c r="B309" s="317" t="s">
        <v>406</v>
      </c>
      <c r="C309" s="225">
        <v>0</v>
      </c>
      <c r="D309" s="543"/>
      <c r="E309" s="524"/>
      <c r="F309" s="524"/>
      <c r="G309" s="524"/>
    </row>
    <row r="310" spans="1:7" customFormat="1" ht="12.75" hidden="1" outlineLevel="1" x14ac:dyDescent="0.2">
      <c r="A310" s="176">
        <v>5315200000</v>
      </c>
      <c r="B310" s="317" t="s">
        <v>407</v>
      </c>
      <c r="C310" s="225">
        <v>0</v>
      </c>
      <c r="D310" s="543"/>
      <c r="E310" s="524"/>
      <c r="F310" s="524"/>
      <c r="G310" s="524"/>
    </row>
    <row r="311" spans="1:7" customFormat="1" ht="12.75" hidden="1" outlineLevel="1" x14ac:dyDescent="0.2">
      <c r="A311" s="176">
        <v>5315950100</v>
      </c>
      <c r="B311" s="317" t="s">
        <v>280</v>
      </c>
      <c r="C311" s="225">
        <v>29425</v>
      </c>
      <c r="D311" s="543"/>
      <c r="E311" s="524"/>
      <c r="F311" s="524"/>
      <c r="G311" s="524"/>
    </row>
    <row r="312" spans="1:7" customFormat="1" ht="12.75" hidden="1" outlineLevel="1" x14ac:dyDescent="0.2">
      <c r="A312" s="610">
        <v>5395080000</v>
      </c>
      <c r="B312" s="317" t="s">
        <v>765</v>
      </c>
      <c r="C312" s="225">
        <v>0</v>
      </c>
      <c r="D312" s="543"/>
      <c r="E312" s="524"/>
      <c r="F312" s="524"/>
      <c r="G312" s="524"/>
    </row>
    <row r="313" spans="1:7" customFormat="1" ht="12.75" hidden="1" outlineLevel="1" x14ac:dyDescent="0.2">
      <c r="A313" s="176">
        <v>5395070000</v>
      </c>
      <c r="B313" s="317" t="s">
        <v>654</v>
      </c>
      <c r="C313" s="225">
        <v>60085.850000000006</v>
      </c>
      <c r="D313" s="543"/>
      <c r="E313" s="524"/>
      <c r="F313" s="524"/>
      <c r="G313" s="524"/>
    </row>
    <row r="314" spans="1:7" customFormat="1" ht="12.75" hidden="1" outlineLevel="1" x14ac:dyDescent="0.2">
      <c r="A314" s="176">
        <v>5395200000</v>
      </c>
      <c r="B314" s="319" t="s">
        <v>405</v>
      </c>
      <c r="C314" s="225">
        <v>0</v>
      </c>
      <c r="D314" s="543"/>
      <c r="E314" s="524"/>
      <c r="F314" s="524"/>
      <c r="G314" s="524"/>
    </row>
    <row r="315" spans="1:7" customFormat="1" ht="12.75" hidden="1" outlineLevel="1" x14ac:dyDescent="0.2">
      <c r="A315" s="610">
        <v>5395250000</v>
      </c>
      <c r="B315" s="319" t="s">
        <v>766</v>
      </c>
      <c r="C315" s="225">
        <v>0</v>
      </c>
      <c r="D315" s="543"/>
      <c r="E315" s="524"/>
      <c r="F315" s="524"/>
      <c r="G315" s="524"/>
    </row>
    <row r="316" spans="1:7" customFormat="1" ht="12.75" hidden="1" outlineLevel="1" x14ac:dyDescent="0.2">
      <c r="A316" s="610">
        <v>5395950200</v>
      </c>
      <c r="B316" s="319" t="s">
        <v>767</v>
      </c>
      <c r="C316" s="225">
        <v>0</v>
      </c>
      <c r="D316" s="543"/>
      <c r="E316" s="524"/>
      <c r="F316" s="524"/>
      <c r="G316" s="524"/>
    </row>
    <row r="317" spans="1:7" customFormat="1" ht="12.75" hidden="1" outlineLevel="1" x14ac:dyDescent="0.2">
      <c r="A317" s="176">
        <v>5395950000</v>
      </c>
      <c r="B317" s="317" t="s">
        <v>84</v>
      </c>
      <c r="C317" s="316">
        <v>3400</v>
      </c>
      <c r="D317" s="543"/>
      <c r="E317" s="524"/>
      <c r="F317" s="524"/>
      <c r="G317" s="524"/>
    </row>
    <row r="318" spans="1:7" customFormat="1" ht="12.75" hidden="1" outlineLevel="1" x14ac:dyDescent="0.2">
      <c r="A318" s="610">
        <v>6160050200</v>
      </c>
      <c r="B318" s="317" t="s">
        <v>768</v>
      </c>
      <c r="C318" s="607">
        <v>0</v>
      </c>
      <c r="D318" s="543"/>
      <c r="E318" s="524"/>
      <c r="F318" s="524"/>
      <c r="G318" s="524"/>
    </row>
    <row r="319" spans="1:7" customFormat="1" ht="12.75" collapsed="1" x14ac:dyDescent="0.2">
      <c r="A319" s="176"/>
      <c r="B319" s="213" t="s">
        <v>408</v>
      </c>
      <c r="C319" s="214">
        <f>SUM(C298:C318)</f>
        <v>92910.85</v>
      </c>
      <c r="D319" s="543"/>
      <c r="E319" s="524"/>
      <c r="F319" s="524"/>
      <c r="G319" s="524"/>
    </row>
    <row r="320" spans="1:7" customFormat="1" ht="12.75" x14ac:dyDescent="0.2">
      <c r="A320" s="1"/>
      <c r="B320" s="209" t="s">
        <v>409</v>
      </c>
      <c r="C320" s="210">
        <f>+C295-C319</f>
        <v>7089.1499999999942</v>
      </c>
      <c r="D320" s="543"/>
      <c r="E320" s="524"/>
      <c r="F320" s="524"/>
      <c r="G320" s="524"/>
    </row>
    <row r="321" spans="1:7" customFormat="1" ht="12.75" x14ac:dyDescent="0.2">
      <c r="A321" s="3"/>
      <c r="B321" s="216" t="s">
        <v>152</v>
      </c>
      <c r="C321" s="210">
        <f>+C242+C320</f>
        <v>6126470.5203312319</v>
      </c>
      <c r="D321" s="543"/>
      <c r="E321" s="524"/>
      <c r="F321" s="524"/>
      <c r="G321" s="524"/>
    </row>
    <row r="322" spans="1:7" customFormat="1" ht="12.75" hidden="1" x14ac:dyDescent="0.2">
      <c r="A322" s="1"/>
      <c r="B322" s="206" t="s">
        <v>238</v>
      </c>
      <c r="C322" s="208"/>
      <c r="D322" s="543"/>
      <c r="E322" s="524"/>
      <c r="F322" s="524"/>
      <c r="G322" s="524"/>
    </row>
    <row r="323" spans="1:7" customFormat="1" ht="12.75" hidden="1" outlineLevel="1" x14ac:dyDescent="0.2">
      <c r="A323" s="1"/>
      <c r="B323" s="206" t="s">
        <v>410</v>
      </c>
      <c r="C323" s="208"/>
      <c r="D323" s="543"/>
      <c r="E323" s="524"/>
      <c r="F323" s="524"/>
      <c r="G323" s="524"/>
    </row>
    <row r="324" spans="1:7" customFormat="1" ht="12.75" hidden="1" outlineLevel="1" x14ac:dyDescent="0.2">
      <c r="A324" s="1">
        <v>1524050000</v>
      </c>
      <c r="B324" s="320" t="s">
        <v>411</v>
      </c>
      <c r="C324" s="226">
        <v>1600</v>
      </c>
      <c r="D324" s="543"/>
      <c r="E324" s="524"/>
      <c r="F324" s="524"/>
      <c r="G324" s="524"/>
    </row>
    <row r="325" spans="1:7" customFormat="1" ht="12.75" hidden="1" outlineLevel="1" x14ac:dyDescent="0.2">
      <c r="A325" s="1">
        <v>1528050000</v>
      </c>
      <c r="B325" s="320" t="s">
        <v>655</v>
      </c>
      <c r="C325" s="226">
        <v>11800</v>
      </c>
      <c r="D325" s="543"/>
      <c r="E325" s="524"/>
      <c r="F325" s="524"/>
      <c r="G325" s="524"/>
    </row>
    <row r="326" spans="1:7" customFormat="1" ht="12.75" hidden="1" outlineLevel="1" x14ac:dyDescent="0.2">
      <c r="A326" s="1">
        <v>1532050000</v>
      </c>
      <c r="B326" s="320" t="s">
        <v>656</v>
      </c>
      <c r="C326" s="226">
        <v>502500</v>
      </c>
      <c r="D326" s="543"/>
      <c r="E326" s="524"/>
      <c r="F326" s="524"/>
      <c r="G326" s="524"/>
    </row>
    <row r="327" spans="1:7" customFormat="1" ht="12.75" collapsed="1" x14ac:dyDescent="0.2">
      <c r="A327" s="1"/>
      <c r="B327" s="217" t="s">
        <v>239</v>
      </c>
      <c r="C327" s="214">
        <f>SUM(C324:C326)</f>
        <v>515900</v>
      </c>
      <c r="D327" s="543"/>
      <c r="E327" s="524"/>
      <c r="F327" s="524"/>
      <c r="G327" s="524"/>
    </row>
    <row r="328" spans="1:7" customFormat="1" ht="13.5" thickBot="1" x14ac:dyDescent="0.25">
      <c r="A328" s="1"/>
      <c r="B328" s="218" t="s">
        <v>240</v>
      </c>
      <c r="C328" s="219">
        <f>+C321-C327</f>
        <v>5610570.5203312319</v>
      </c>
      <c r="D328" s="543"/>
      <c r="E328" s="524"/>
      <c r="F328" s="524"/>
      <c r="G328" s="524"/>
    </row>
    <row r="329" spans="1:7" ht="16.5" customHeight="1" x14ac:dyDescent="0.2">
      <c r="B329" s="220" t="s">
        <v>842</v>
      </c>
      <c r="C329" s="680">
        <f>IFERROR(C328/(+C29+C295),"Sin datos")</f>
        <v>0.15742897802091863</v>
      </c>
      <c r="D329" s="544"/>
      <c r="E329" s="523"/>
      <c r="F329" s="523"/>
      <c r="G329" s="523"/>
    </row>
    <row r="330" spans="1:7" ht="16.5" customHeight="1" x14ac:dyDescent="0.2">
      <c r="B330" s="220" t="s">
        <v>843</v>
      </c>
      <c r="C330" s="680">
        <f>+C242/C29</f>
        <v>0.17218903248640291</v>
      </c>
      <c r="D330" s="544"/>
      <c r="E330" s="523"/>
      <c r="F330" s="523"/>
      <c r="G330" s="523"/>
    </row>
    <row r="331" spans="1:7" ht="21.75" x14ac:dyDescent="0.2">
      <c r="B331" s="785" t="s">
        <v>841</v>
      </c>
      <c r="C331" s="786">
        <f t="shared" ref="C331" si="0">IFERROR((SUM(C9:C28)+C295)/(C295+C29),"Sin datos")</f>
        <v>7.3126739374306492E-3</v>
      </c>
      <c r="D331" s="544"/>
      <c r="E331" s="523"/>
      <c r="F331" s="523"/>
      <c r="G331" s="523"/>
    </row>
    <row r="332" spans="1:7" ht="16.5" customHeight="1" thickBot="1" x14ac:dyDescent="0.25">
      <c r="C332" s="681"/>
    </row>
    <row r="333" spans="1:7" ht="16.5" customHeight="1" x14ac:dyDescent="0.2">
      <c r="B333" s="617" t="s">
        <v>775</v>
      </c>
      <c r="C333" s="683">
        <f t="shared" ref="C333" si="1">IFERROR((C61+C72)/(C29+C295), "Sin datos")</f>
        <v>0.44346405405708089</v>
      </c>
    </row>
    <row r="334" spans="1:7" ht="16.5" customHeight="1" x14ac:dyDescent="0.2">
      <c r="B334" s="616" t="s">
        <v>776</v>
      </c>
      <c r="C334" s="685">
        <f t="shared" ref="C334" si="2">IFERROR(C61/C29,"Sin datos")</f>
        <v>0.43365390935013665</v>
      </c>
    </row>
    <row r="335" spans="1:7" ht="16.5" customHeight="1" x14ac:dyDescent="0.2">
      <c r="B335" s="618" t="s">
        <v>777</v>
      </c>
      <c r="C335" s="687">
        <f t="shared" ref="C335" si="3">IFERROR((C61/(C29+C295)),"Sin datos")</f>
        <v>0.43243710454363121</v>
      </c>
    </row>
    <row r="336" spans="1:7" ht="16.5" customHeight="1" x14ac:dyDescent="0.2">
      <c r="B336" s="616" t="s">
        <v>778</v>
      </c>
      <c r="C336" s="685">
        <f t="shared" ref="C336" si="4">IFERROR(C72/C29,"Sin datos")</f>
        <v>1.1057977482668983E-2</v>
      </c>
      <c r="D336" s="196"/>
    </row>
    <row r="337" spans="2:4" ht="16.5" customHeight="1" x14ac:dyDescent="0.2">
      <c r="B337" s="618" t="s">
        <v>839</v>
      </c>
      <c r="C337" s="687">
        <f t="shared" ref="C337" si="5">IFERROR(C240/(C29+C295),"Sin datos")</f>
        <v>0.29449014149544755</v>
      </c>
      <c r="D337" s="196"/>
    </row>
    <row r="338" spans="2:4" ht="16.5" customHeight="1" x14ac:dyDescent="0.2">
      <c r="B338" s="616" t="s">
        <v>780</v>
      </c>
      <c r="C338" s="685">
        <f t="shared" ref="C338" si="6">IFERROR((C321/(C29+C295)),"Sin datos")</f>
        <v>0.17190479816553328</v>
      </c>
      <c r="D338" s="196"/>
    </row>
    <row r="339" spans="2:4" ht="16.5" customHeight="1" x14ac:dyDescent="0.2">
      <c r="B339" s="618" t="s">
        <v>781</v>
      </c>
      <c r="C339" s="687">
        <f t="shared" ref="C339" si="7">IFERROR((C327/C29),"Sin datos")</f>
        <v>1.4516552651943463E-2</v>
      </c>
    </row>
    <row r="340" spans="2:4" ht="16.5" customHeight="1" x14ac:dyDescent="0.2">
      <c r="B340" s="616" t="s">
        <v>782</v>
      </c>
      <c r="C340" s="685">
        <f t="shared" ref="C340" si="8">IFERROR((C327/(C29+C295)),"Sin datos")</f>
        <v>1.4475820144614647E-2</v>
      </c>
      <c r="D340" s="196"/>
    </row>
    <row r="341" spans="2:4" ht="16.5" customHeight="1" thickBot="1" x14ac:dyDescent="0.25">
      <c r="B341" s="619" t="s">
        <v>783</v>
      </c>
      <c r="C341" s="689">
        <f t="shared" ref="C341" si="9">IFERROR((C241+C319)/(C29+C295),"Sin datos")</f>
        <v>0.82809520183446672</v>
      </c>
      <c r="D341" s="196"/>
    </row>
    <row r="342" spans="2:4" ht="16.5" customHeight="1" thickBot="1" x14ac:dyDescent="0.25">
      <c r="B342" s="196"/>
      <c r="C342" s="681"/>
      <c r="D342" s="196"/>
    </row>
    <row r="343" spans="2:4" ht="16.5" customHeight="1" x14ac:dyDescent="0.2">
      <c r="B343" s="615" t="s">
        <v>882</v>
      </c>
      <c r="C343" s="691" t="str">
        <f>IFERROR((C8/#REF!)-1,"Sin datos")</f>
        <v>Sin datos</v>
      </c>
    </row>
    <row r="344" spans="2:4" ht="16.5" customHeight="1" x14ac:dyDescent="0.2">
      <c r="B344" s="618" t="s">
        <v>883</v>
      </c>
      <c r="C344" s="687" t="str">
        <f>IFERROR((C61/#REF!)-1,"Sin datos")</f>
        <v>Sin datos</v>
      </c>
    </row>
    <row r="345" spans="2:4" ht="16.5" customHeight="1" x14ac:dyDescent="0.2">
      <c r="B345" s="616" t="s">
        <v>884</v>
      </c>
      <c r="C345" s="685" t="str">
        <f>IFERROR((C72/#REF!)-1,"Sin datos")</f>
        <v>Sin datos</v>
      </c>
    </row>
    <row r="346" spans="2:4" ht="16.5" customHeight="1" thickBot="1" x14ac:dyDescent="0.25">
      <c r="B346" s="619" t="s">
        <v>885</v>
      </c>
      <c r="C346" s="689" t="str">
        <f>IFERROR((C175/#REF!)-1,"Sin datos")</f>
        <v>Sin datos</v>
      </c>
    </row>
  </sheetData>
  <protectedRanges>
    <protectedRange sqref="D4:G331" name="Rango1"/>
  </protectedRanges>
  <mergeCells count="4">
    <mergeCell ref="B2:C2"/>
    <mergeCell ref="B4:B5"/>
    <mergeCell ref="C4:C5"/>
    <mergeCell ref="D4:G5"/>
  </mergeCells>
  <conditionalFormatting sqref="C344">
    <cfRule type="cellIs" dxfId="3" priority="3" operator="greaterThan">
      <formula>$C$343</formula>
    </cfRule>
    <cfRule type="cellIs" dxfId="2" priority="4" operator="greaterThan">
      <formula>$C$344&gt;$C$343</formula>
    </cfRule>
  </conditionalFormatting>
  <conditionalFormatting sqref="C345">
    <cfRule type="cellIs" dxfId="1" priority="2" operator="greaterThan">
      <formula>$C$343</formula>
    </cfRule>
  </conditionalFormatting>
  <conditionalFormatting sqref="C346">
    <cfRule type="cellIs" dxfId="0" priority="1" operator="greaterThan">
      <formula>$C$343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I112"/>
  <sheetViews>
    <sheetView showGridLines="0" topLeftCell="B61" zoomScaleNormal="100" workbookViewId="0">
      <selection activeCell="F31" sqref="F31"/>
    </sheetView>
  </sheetViews>
  <sheetFormatPr baseColWidth="10" defaultRowHeight="14.25" x14ac:dyDescent="0.2"/>
  <cols>
    <col min="1" max="1" width="1.28515625" style="789" customWidth="1"/>
    <col min="2" max="2" width="6" style="789" customWidth="1"/>
    <col min="3" max="3" width="28.28515625" style="791" customWidth="1"/>
    <col min="4" max="4" width="42.42578125" style="791" customWidth="1"/>
    <col min="5" max="5" width="60.28515625" style="791" customWidth="1"/>
    <col min="6" max="6" width="15.7109375" style="812" customWidth="1"/>
    <col min="7" max="7" width="14.5703125" style="789" bestFit="1" customWidth="1"/>
    <col min="8" max="16384" width="11.42578125" style="789"/>
  </cols>
  <sheetData>
    <row r="1" spans="2:8" ht="19.5" customHeight="1" x14ac:dyDescent="0.2">
      <c r="B1" s="1090" t="s">
        <v>854</v>
      </c>
      <c r="C1" s="1090"/>
      <c r="D1" s="1090"/>
      <c r="E1" s="1090"/>
      <c r="F1" s="1090"/>
    </row>
    <row r="2" spans="2:8" ht="15" customHeight="1" x14ac:dyDescent="0.2">
      <c r="B2" s="1090"/>
      <c r="C2" s="1090"/>
      <c r="D2" s="1090"/>
      <c r="E2" s="1090"/>
      <c r="F2" s="1090"/>
    </row>
    <row r="3" spans="2:8" ht="18" x14ac:dyDescent="0.25">
      <c r="B3" s="1091" t="str">
        <f>+PRESUPUESTO!B2</f>
        <v>MEDICINA PREGRADO</v>
      </c>
      <c r="C3" s="1091"/>
      <c r="D3" s="1091"/>
      <c r="E3" s="1091"/>
      <c r="F3" s="1091"/>
    </row>
    <row r="4" spans="2:8" x14ac:dyDescent="0.2">
      <c r="C4" s="790" t="s">
        <v>432</v>
      </c>
      <c r="F4" s="811"/>
    </row>
    <row r="5" spans="2:8" ht="15" thickBot="1" x14ac:dyDescent="0.25">
      <c r="F5" s="811"/>
    </row>
    <row r="6" spans="2:8" s="792" customFormat="1" ht="40.5" x14ac:dyDescent="0.3">
      <c r="B6" s="817"/>
      <c r="C6" s="818" t="s">
        <v>698</v>
      </c>
      <c r="D6" s="818" t="s">
        <v>699</v>
      </c>
      <c r="E6" s="819" t="s">
        <v>463</v>
      </c>
      <c r="F6" s="1088" t="s">
        <v>475</v>
      </c>
    </row>
    <row r="7" spans="2:8" s="792" customFormat="1" ht="20.25" x14ac:dyDescent="0.3">
      <c r="B7" s="820"/>
      <c r="C7" s="1092" t="s">
        <v>0</v>
      </c>
      <c r="D7" s="1093"/>
      <c r="E7" s="1093"/>
      <c r="F7" s="1089"/>
    </row>
    <row r="8" spans="2:8" s="792" customFormat="1" ht="20.25" x14ac:dyDescent="0.3">
      <c r="B8" s="821"/>
      <c r="C8" s="1100" t="s">
        <v>785</v>
      </c>
      <c r="D8" s="1101"/>
      <c r="E8" s="1101"/>
      <c r="F8" s="822">
        <f>+PRESUPUESTO!G29</f>
        <v>38297733.159999996</v>
      </c>
    </row>
    <row r="9" spans="2:8" s="792" customFormat="1" ht="20.25" x14ac:dyDescent="0.3">
      <c r="B9" s="821"/>
      <c r="C9" s="1100" t="s">
        <v>786</v>
      </c>
      <c r="D9" s="1101"/>
      <c r="E9" s="1101"/>
      <c r="F9" s="822">
        <f>+PRESUPUESTO!G275+PRESUPUESTO!G280+PRESUPUESTO!G293+PRESUPUESTO!G294+PRESUPUESTO!G291</f>
        <v>0</v>
      </c>
    </row>
    <row r="10" spans="2:8" s="792" customFormat="1" ht="21" thickBot="1" x14ac:dyDescent="0.35">
      <c r="B10" s="821"/>
      <c r="C10" s="1102" t="s">
        <v>787</v>
      </c>
      <c r="D10" s="1103"/>
      <c r="E10" s="1103"/>
      <c r="F10" s="823">
        <f>'PTO + EC'!D29+'PTO + EC'!D275+PRESUPUESTO!G279+PRESUPUESTO!G271+PRESUPUESTO!G270+PRESUPUESTO!G274+PRESUPUESTO!G285+PRESUPUESTO!G286</f>
        <v>1562886.7279999999</v>
      </c>
    </row>
    <row r="11" spans="2:8" s="792" customFormat="1" ht="21.75" thickTop="1" thickBot="1" x14ac:dyDescent="0.35">
      <c r="B11" s="824"/>
      <c r="C11" s="1104" t="s">
        <v>788</v>
      </c>
      <c r="D11" s="1105"/>
      <c r="E11" s="1105"/>
      <c r="F11" s="825">
        <f>SUM(F8:F10)</f>
        <v>39860619.887999997</v>
      </c>
      <c r="G11" s="793"/>
      <c r="H11" s="794"/>
    </row>
    <row r="12" spans="2:8" s="792" customFormat="1" ht="21" thickBot="1" x14ac:dyDescent="0.35">
      <c r="B12" s="826"/>
      <c r="C12" s="827"/>
      <c r="D12" s="827"/>
      <c r="E12" s="827"/>
      <c r="F12" s="828"/>
      <c r="G12" s="795"/>
    </row>
    <row r="13" spans="2:8" s="792" customFormat="1" ht="30.75" customHeight="1" x14ac:dyDescent="0.3">
      <c r="B13" s="817"/>
      <c r="C13" s="1106" t="s">
        <v>789</v>
      </c>
      <c r="D13" s="1107"/>
      <c r="E13" s="1107"/>
      <c r="F13" s="831"/>
    </row>
    <row r="14" spans="2:8" s="792" customFormat="1" x14ac:dyDescent="0.2">
      <c r="B14" s="1117" t="s">
        <v>700</v>
      </c>
      <c r="C14" s="1108" t="s">
        <v>701</v>
      </c>
      <c r="D14" s="1120" t="s">
        <v>702</v>
      </c>
      <c r="E14" s="638" t="s">
        <v>790</v>
      </c>
      <c r="F14" s="822"/>
    </row>
    <row r="15" spans="2:8" ht="30" customHeight="1" x14ac:dyDescent="0.2">
      <c r="B15" s="1118"/>
      <c r="C15" s="1109"/>
      <c r="D15" s="1121"/>
      <c r="E15" s="796" t="s">
        <v>703</v>
      </c>
      <c r="F15" s="832">
        <f>+F14</f>
        <v>0</v>
      </c>
    </row>
    <row r="16" spans="2:8" x14ac:dyDescent="0.2">
      <c r="B16" s="1118"/>
      <c r="C16" s="1109"/>
      <c r="D16" s="1121"/>
      <c r="E16" s="638" t="s">
        <v>790</v>
      </c>
      <c r="F16" s="822"/>
    </row>
    <row r="17" spans="2:6" x14ac:dyDescent="0.2">
      <c r="B17" s="1118"/>
      <c r="C17" s="1109"/>
      <c r="D17" s="1121"/>
      <c r="E17" s="638" t="s">
        <v>791</v>
      </c>
      <c r="F17" s="822"/>
    </row>
    <row r="18" spans="2:6" ht="57" x14ac:dyDescent="0.2">
      <c r="B18" s="1118"/>
      <c r="C18" s="1109"/>
      <c r="D18" s="1122"/>
      <c r="E18" s="796" t="s">
        <v>704</v>
      </c>
      <c r="F18" s="832">
        <f>+SUM(F16:F17)</f>
        <v>0</v>
      </c>
    </row>
    <row r="19" spans="2:6" ht="30" customHeight="1" x14ac:dyDescent="0.2">
      <c r="B19" s="1118"/>
      <c r="C19" s="1109"/>
      <c r="D19" s="1123"/>
      <c r="E19" s="797" t="s">
        <v>705</v>
      </c>
      <c r="F19" s="832"/>
    </row>
    <row r="20" spans="2:6" ht="30" customHeight="1" x14ac:dyDescent="0.2">
      <c r="B20" s="1118"/>
      <c r="C20" s="1109"/>
      <c r="D20" s="1123"/>
      <c r="E20" s="798" t="s">
        <v>706</v>
      </c>
      <c r="F20" s="832"/>
    </row>
    <row r="21" spans="2:6" ht="28.5" x14ac:dyDescent="0.2">
      <c r="B21" s="1118"/>
      <c r="C21" s="1109"/>
      <c r="D21" s="1123"/>
      <c r="E21" s="796" t="s">
        <v>707</v>
      </c>
      <c r="F21" s="832"/>
    </row>
    <row r="22" spans="2:6" ht="30.75" customHeight="1" x14ac:dyDescent="0.2">
      <c r="B22" s="1118"/>
      <c r="C22" s="1109"/>
      <c r="D22" s="1123"/>
      <c r="E22" s="799" t="s">
        <v>708</v>
      </c>
      <c r="F22" s="832"/>
    </row>
    <row r="23" spans="2:6" x14ac:dyDescent="0.2">
      <c r="B23" s="1118"/>
      <c r="C23" s="1108" t="s">
        <v>709</v>
      </c>
      <c r="D23" s="1108" t="s">
        <v>710</v>
      </c>
      <c r="E23" s="639" t="s">
        <v>792</v>
      </c>
      <c r="F23" s="822">
        <f>(NOMINA!AO278+NOMINA!AO312+NOMINA!AO333)/1000</f>
        <v>15993773.362387834</v>
      </c>
    </row>
    <row r="24" spans="2:6" x14ac:dyDescent="0.2">
      <c r="B24" s="1118"/>
      <c r="C24" s="1109"/>
      <c r="D24" s="1109"/>
      <c r="E24" s="639" t="s">
        <v>793</v>
      </c>
      <c r="F24" s="822">
        <f>+NOMINA!AO350/1000</f>
        <v>685026.06355896278</v>
      </c>
    </row>
    <row r="25" spans="2:6" x14ac:dyDescent="0.2">
      <c r="B25" s="1118"/>
      <c r="C25" s="1109"/>
      <c r="D25" s="1109"/>
      <c r="E25" s="639" t="s">
        <v>794</v>
      </c>
      <c r="F25" s="822">
        <f>+PRESUPUESTO!G48+PRESUPUESTO!G49+PRESUPUESTO!G44-((GEST.REC.HUM.!N32+'OTRAS ACTIV.'!N32)/1000)</f>
        <v>24625</v>
      </c>
    </row>
    <row r="26" spans="2:6" x14ac:dyDescent="0.2">
      <c r="B26" s="1118"/>
      <c r="C26" s="1109"/>
      <c r="D26" s="1109"/>
      <c r="E26" s="639" t="s">
        <v>83</v>
      </c>
      <c r="F26" s="1020">
        <f>+PRESUPUESTO!G73-((GEST.REC.HUM.!N33+'OTRAS ACTIV.'!N33)/1000)+'PTO + EC'!D72</f>
        <v>858219.45</v>
      </c>
    </row>
    <row r="27" spans="2:6" x14ac:dyDescent="0.2">
      <c r="B27" s="1118"/>
      <c r="C27" s="1109"/>
      <c r="D27" s="1109"/>
      <c r="E27" s="639" t="s">
        <v>795</v>
      </c>
      <c r="F27" s="1028">
        <f>+PRESUPUESTO!G76</f>
        <v>2975430</v>
      </c>
    </row>
    <row r="28" spans="2:6" x14ac:dyDescent="0.2">
      <c r="B28" s="1118"/>
      <c r="C28" s="1109"/>
      <c r="D28" s="1109"/>
      <c r="E28" s="639" t="s">
        <v>796</v>
      </c>
      <c r="F28" s="822">
        <f>+PRESUPUESTO!G45</f>
        <v>0</v>
      </c>
    </row>
    <row r="29" spans="2:6" x14ac:dyDescent="0.2">
      <c r="B29" s="1118"/>
      <c r="C29" s="1109"/>
      <c r="D29" s="1109"/>
      <c r="E29" s="639" t="s">
        <v>797</v>
      </c>
      <c r="F29" s="1028">
        <f>SUM(PRESUPUESTO!G140:G144)-((GEST.REC.HUM.!N34+GEST.REC.HUM.!N35+'OTRAS ACTIV.'!N34+'OTRAS ACTIV.'!N35)/1000)</f>
        <v>-4000</v>
      </c>
    </row>
    <row r="30" spans="2:6" x14ac:dyDescent="0.2">
      <c r="B30" s="1118"/>
      <c r="C30" s="1109"/>
      <c r="D30" s="1109"/>
      <c r="E30" s="639" t="s">
        <v>824</v>
      </c>
      <c r="F30" s="822">
        <f>+SUM(PRESUPUESTO!G35:G37)+PRESUPUESTO!G43+PRESUPUESTO!G46+PRESUPUESTO!G47+SUM(PRESUPUESTO!G58:G60)</f>
        <v>12069.75</v>
      </c>
    </row>
    <row r="31" spans="2:6" ht="48" customHeight="1" x14ac:dyDescent="0.2">
      <c r="B31" s="1119"/>
      <c r="C31" s="1110"/>
      <c r="D31" s="1110"/>
      <c r="E31" s="797" t="s">
        <v>711</v>
      </c>
      <c r="F31" s="832">
        <f>SUM(F23:F30)</f>
        <v>20545143.625946797</v>
      </c>
    </row>
    <row r="32" spans="2:6" x14ac:dyDescent="0.2">
      <c r="B32" s="1111" t="s">
        <v>712</v>
      </c>
      <c r="C32" s="1114" t="s">
        <v>713</v>
      </c>
      <c r="D32" s="1114" t="s">
        <v>798</v>
      </c>
      <c r="E32" s="639" t="s">
        <v>799</v>
      </c>
      <c r="F32" s="822">
        <f>+PRESUPUESTO!G326+PRESUPUESTO!G327+SUM(PRESUPUESTO!G165:G168)+PRESUPUESTO!G173</f>
        <v>64034</v>
      </c>
    </row>
    <row r="33" spans="2:6" x14ac:dyDescent="0.2">
      <c r="B33" s="1112"/>
      <c r="C33" s="1115"/>
      <c r="D33" s="1115"/>
      <c r="E33" s="639" t="s">
        <v>800</v>
      </c>
      <c r="F33" s="822">
        <f>+PRESUPUESTO!G113+PRESUPUESTO!G146+PRESUPUESTO!G169</f>
        <v>768229.65</v>
      </c>
    </row>
    <row r="34" spans="2:6" x14ac:dyDescent="0.2">
      <c r="B34" s="1112"/>
      <c r="C34" s="1115"/>
      <c r="D34" s="1115"/>
      <c r="E34" s="639" t="s">
        <v>801</v>
      </c>
      <c r="F34" s="822">
        <f>+PRESUPUESTO!G157</f>
        <v>67410</v>
      </c>
    </row>
    <row r="35" spans="2:6" x14ac:dyDescent="0.2">
      <c r="B35" s="1112"/>
      <c r="C35" s="1115"/>
      <c r="D35" s="1115"/>
      <c r="E35" s="639" t="s">
        <v>234</v>
      </c>
      <c r="F35" s="822">
        <f>+PRESUPUESTO!G110+PRESUPUESTO!G156</f>
        <v>80000</v>
      </c>
    </row>
    <row r="36" spans="2:6" x14ac:dyDescent="0.2">
      <c r="B36" s="1112"/>
      <c r="C36" s="1115"/>
      <c r="D36" s="1115"/>
      <c r="E36" s="639" t="s">
        <v>802</v>
      </c>
      <c r="F36" s="822">
        <f>+PRESUPUESTO!G108+PRESUPUESTO!G158</f>
        <v>0</v>
      </c>
    </row>
    <row r="37" spans="2:6" x14ac:dyDescent="0.2">
      <c r="B37" s="1112"/>
      <c r="C37" s="1115"/>
      <c r="D37" s="1115"/>
      <c r="E37" s="639" t="s">
        <v>803</v>
      </c>
      <c r="F37" s="822">
        <f>+PRESUPUESTO!G170</f>
        <v>0</v>
      </c>
    </row>
    <row r="38" spans="2:6" x14ac:dyDescent="0.2">
      <c r="B38" s="1112"/>
      <c r="C38" s="1115"/>
      <c r="D38" s="1115"/>
      <c r="E38" s="639" t="s">
        <v>804</v>
      </c>
      <c r="F38" s="1020">
        <f>+SUM(PRESUPUESTO!G85:G88)+PRESUPUESTO!G92+PRESUPUESTO!G104+PRESUPUESTO!G105+PRESUPUESTO!G106+PRESUPUESTO!G107+PRESUPUESTO!G109+PRESUPUESTO!G111+PRESUPUESTO!G112+PRESUPUESTO!G115+PRESUPUESTO!G116+PRESUPUESTO!G120+PRESUPUESTO!G122+SUM(PRESUPUESTO!G148:G155)+PRESUPUESTO!G159+PRESUPUESTO!G162+PRESUPUESTO!G163+PRESUPUESTO!G171+PRESUPUESTO!G172+PRESUPUESTO!G319+PRESUPUESTO!G93+PRESUPUESTO!G313-((GEST.REC.HUM.!N36+GEST.REC.HUM.!N37+GEST.REC.HUM.!N38+'OTRAS ACTIV.'!N36+'OTRAS ACTIV.'!N37+'OTRAS ACTIV.'!N38)/1000)</f>
        <v>234223.4</v>
      </c>
    </row>
    <row r="39" spans="2:6" ht="28.5" x14ac:dyDescent="0.2">
      <c r="B39" s="1112"/>
      <c r="C39" s="1116"/>
      <c r="D39" s="1116"/>
      <c r="E39" s="800" t="s">
        <v>805</v>
      </c>
      <c r="F39" s="833">
        <f>SUM(F32:F38)</f>
        <v>1213897.05</v>
      </c>
    </row>
    <row r="40" spans="2:6" ht="15" customHeight="1" x14ac:dyDescent="0.2">
      <c r="B40" s="1112"/>
      <c r="C40" s="1114" t="s">
        <v>714</v>
      </c>
      <c r="D40" s="1114" t="s">
        <v>715</v>
      </c>
      <c r="E40" s="640" t="s">
        <v>806</v>
      </c>
      <c r="F40" s="822">
        <f>SUM(PRESUPUESTO!G132:G138)</f>
        <v>2254.35</v>
      </c>
    </row>
    <row r="41" spans="2:6" x14ac:dyDescent="0.2">
      <c r="B41" s="1112"/>
      <c r="C41" s="1115"/>
      <c r="D41" s="1115"/>
      <c r="E41" s="640" t="s">
        <v>807</v>
      </c>
      <c r="F41" s="822">
        <f>+PRESUPUESTO!G328</f>
        <v>700000</v>
      </c>
    </row>
    <row r="42" spans="2:6" ht="28.5" x14ac:dyDescent="0.2">
      <c r="B42" s="1112"/>
      <c r="C42" s="1116"/>
      <c r="D42" s="1116"/>
      <c r="E42" s="801" t="s">
        <v>716</v>
      </c>
      <c r="F42" s="833">
        <f>SUM(F40:F41)</f>
        <v>702254.35</v>
      </c>
    </row>
    <row r="43" spans="2:6" ht="18.75" customHeight="1" x14ac:dyDescent="0.2">
      <c r="B43" s="1112"/>
      <c r="C43" s="1114" t="s">
        <v>717</v>
      </c>
      <c r="D43" s="1114" t="s">
        <v>718</v>
      </c>
      <c r="E43" s="801" t="s">
        <v>719</v>
      </c>
      <c r="F43" s="833"/>
    </row>
    <row r="44" spans="2:6" ht="30.75" customHeight="1" x14ac:dyDescent="0.2">
      <c r="B44" s="1112"/>
      <c r="C44" s="1115"/>
      <c r="D44" s="1115"/>
      <c r="E44" s="800" t="s">
        <v>720</v>
      </c>
      <c r="F44" s="833"/>
    </row>
    <row r="45" spans="2:6" x14ac:dyDescent="0.2">
      <c r="B45" s="1112"/>
      <c r="C45" s="1115"/>
      <c r="D45" s="1115"/>
      <c r="E45" s="640" t="s">
        <v>808</v>
      </c>
      <c r="F45" s="822"/>
    </row>
    <row r="46" spans="2:6" x14ac:dyDescent="0.2">
      <c r="B46" s="1112"/>
      <c r="C46" s="1115"/>
      <c r="D46" s="1115"/>
      <c r="E46" s="640" t="s">
        <v>809</v>
      </c>
      <c r="F46" s="822">
        <f>+AFILIACIONES!E16/1000</f>
        <v>10000</v>
      </c>
    </row>
    <row r="47" spans="2:6" ht="18" customHeight="1" x14ac:dyDescent="0.2">
      <c r="B47" s="1113"/>
      <c r="C47" s="1116"/>
      <c r="D47" s="1116"/>
      <c r="E47" s="800" t="s">
        <v>721</v>
      </c>
      <c r="F47" s="833">
        <f>SUM(F45:F46)</f>
        <v>10000</v>
      </c>
    </row>
    <row r="48" spans="2:6" ht="18" customHeight="1" x14ac:dyDescent="0.2">
      <c r="B48" s="1094" t="s">
        <v>722</v>
      </c>
      <c r="C48" s="1097" t="s">
        <v>723</v>
      </c>
      <c r="D48" s="1097" t="s">
        <v>724</v>
      </c>
      <c r="E48" s="641" t="s">
        <v>810</v>
      </c>
      <c r="F48" s="822"/>
    </row>
    <row r="49" spans="2:8" ht="15" customHeight="1" x14ac:dyDescent="0.2">
      <c r="B49" s="1095"/>
      <c r="C49" s="1098"/>
      <c r="D49" s="1098"/>
      <c r="E49" s="802" t="s">
        <v>725</v>
      </c>
      <c r="F49" s="834">
        <f>SUM(F48:F48)</f>
        <v>0</v>
      </c>
    </row>
    <row r="50" spans="2:8" ht="15" customHeight="1" x14ac:dyDescent="0.2">
      <c r="B50" s="1095"/>
      <c r="C50" s="1097" t="s">
        <v>726</v>
      </c>
      <c r="D50" s="1097" t="s">
        <v>727</v>
      </c>
      <c r="E50" s="641" t="s">
        <v>811</v>
      </c>
      <c r="F50" s="822">
        <f>+PRESUPUESTO!G161+PRESUPUESTO!G117+PRESUPUESTO!G160+PRESUPUESTO!G95+PRESUPUESTO!G315</f>
        <v>87371.3</v>
      </c>
    </row>
    <row r="51" spans="2:8" ht="28.5" x14ac:dyDescent="0.2">
      <c r="B51" s="1095"/>
      <c r="C51" s="1098"/>
      <c r="D51" s="1098"/>
      <c r="E51" s="802" t="s">
        <v>728</v>
      </c>
      <c r="F51" s="834">
        <f>+F50</f>
        <v>87371.3</v>
      </c>
    </row>
    <row r="52" spans="2:8" ht="15" customHeight="1" x14ac:dyDescent="0.2">
      <c r="B52" s="1095"/>
      <c r="C52" s="1097" t="s">
        <v>729</v>
      </c>
      <c r="D52" s="1097" t="s">
        <v>730</v>
      </c>
      <c r="E52" s="640" t="s">
        <v>812</v>
      </c>
      <c r="F52" s="822">
        <f>+AFILIACIONES!E24/1000</f>
        <v>2000</v>
      </c>
    </row>
    <row r="53" spans="2:8" ht="28.5" customHeight="1" x14ac:dyDescent="0.2">
      <c r="B53" s="1095"/>
      <c r="C53" s="1099"/>
      <c r="D53" s="1099"/>
      <c r="E53" s="802" t="s">
        <v>731</v>
      </c>
      <c r="F53" s="834">
        <f>+F52</f>
        <v>2000</v>
      </c>
    </row>
    <row r="54" spans="2:8" ht="17.25" customHeight="1" x14ac:dyDescent="0.2">
      <c r="B54" s="1095"/>
      <c r="C54" s="1099"/>
      <c r="D54" s="1099"/>
      <c r="E54" s="640" t="s">
        <v>827</v>
      </c>
      <c r="F54" s="822"/>
    </row>
    <row r="55" spans="2:8" ht="16.5" customHeight="1" x14ac:dyDescent="0.2">
      <c r="B55" s="1095"/>
      <c r="C55" s="1099"/>
      <c r="D55" s="1099"/>
      <c r="E55" s="802" t="s">
        <v>732</v>
      </c>
      <c r="F55" s="834">
        <f>+F54</f>
        <v>0</v>
      </c>
    </row>
    <row r="56" spans="2:8" ht="16.5" customHeight="1" x14ac:dyDescent="0.2">
      <c r="B56" s="1095"/>
      <c r="C56" s="1099"/>
      <c r="D56" s="1099"/>
      <c r="E56" s="640" t="s">
        <v>813</v>
      </c>
      <c r="F56" s="822">
        <f>+PRESUPUESTO!G314</f>
        <v>0</v>
      </c>
    </row>
    <row r="57" spans="2:8" ht="16.5" customHeight="1" x14ac:dyDescent="0.2">
      <c r="B57" s="1095"/>
      <c r="C57" s="1099"/>
      <c r="D57" s="1099"/>
      <c r="E57" s="802" t="s">
        <v>733</v>
      </c>
      <c r="F57" s="834">
        <f>+F56</f>
        <v>0</v>
      </c>
    </row>
    <row r="58" spans="2:8" ht="27.75" customHeight="1" x14ac:dyDescent="0.2">
      <c r="B58" s="1095"/>
      <c r="C58" s="1099"/>
      <c r="D58" s="1099"/>
      <c r="E58" s="640" t="s">
        <v>814</v>
      </c>
      <c r="F58" s="822">
        <f>(+GEST.REC.HUM.!N39+'OTRAS ACTIV.'!N39)/1000</f>
        <v>86000</v>
      </c>
    </row>
    <row r="59" spans="2:8" ht="16.5" customHeight="1" x14ac:dyDescent="0.2">
      <c r="B59" s="1096"/>
      <c r="C59" s="1098"/>
      <c r="D59" s="1098"/>
      <c r="E59" s="802" t="s">
        <v>734</v>
      </c>
      <c r="F59" s="834">
        <f>+F58</f>
        <v>86000</v>
      </c>
    </row>
    <row r="60" spans="2:8" ht="20.25" x14ac:dyDescent="0.3">
      <c r="B60" s="820"/>
      <c r="C60" s="1126" t="s">
        <v>815</v>
      </c>
      <c r="D60" s="1126"/>
      <c r="E60" s="1092"/>
      <c r="F60" s="835">
        <f>+F15+F18+F19+F20+F21+F22+F31+F39+F42+F43+F44+F47+F49+F51+F53+F55+F57+F59</f>
        <v>22646666.3259468</v>
      </c>
    </row>
    <row r="61" spans="2:8" ht="20.25" x14ac:dyDescent="0.3">
      <c r="B61" s="820"/>
      <c r="C61" s="1126" t="s">
        <v>816</v>
      </c>
      <c r="D61" s="1126"/>
      <c r="E61" s="1092"/>
      <c r="F61" s="835">
        <f>+PRESUPUESTO!G242</f>
        <v>11505792.82375</v>
      </c>
    </row>
    <row r="62" spans="2:8" ht="21" thickBot="1" x14ac:dyDescent="0.35">
      <c r="B62" s="820"/>
      <c r="C62" s="1127" t="s">
        <v>817</v>
      </c>
      <c r="D62" s="1127"/>
      <c r="E62" s="1128"/>
      <c r="F62" s="1021">
        <f>+'PTO + EC'!D174+'PTO + EC'!D318</f>
        <v>227393.90700000001</v>
      </c>
      <c r="G62" s="1022"/>
    </row>
    <row r="63" spans="2:8" ht="21.75" thickTop="1" thickBot="1" x14ac:dyDescent="0.35">
      <c r="B63" s="824"/>
      <c r="C63" s="1129" t="s">
        <v>818</v>
      </c>
      <c r="D63" s="1129"/>
      <c r="E63" s="1130"/>
      <c r="F63" s="836">
        <f>SUM(F60:F62)</f>
        <v>34379853.056696795</v>
      </c>
      <c r="G63" s="803"/>
      <c r="H63" s="804"/>
    </row>
    <row r="64" spans="2:8" ht="15" thickBot="1" x14ac:dyDescent="0.25">
      <c r="B64" s="829"/>
      <c r="C64" s="830"/>
      <c r="D64" s="830"/>
      <c r="E64" s="830"/>
      <c r="F64" s="828"/>
    </row>
    <row r="65" spans="2:9" ht="21" thickBot="1" x14ac:dyDescent="0.35">
      <c r="B65" s="815"/>
      <c r="C65" s="1131" t="s">
        <v>819</v>
      </c>
      <c r="D65" s="1131"/>
      <c r="E65" s="1132"/>
      <c r="F65" s="816">
        <f>+F11-F63</f>
        <v>5480766.8313032016</v>
      </c>
      <c r="G65" s="805"/>
      <c r="H65" s="805"/>
      <c r="I65" s="806"/>
    </row>
    <row r="66" spans="2:9" ht="15" thickBot="1" x14ac:dyDescent="0.25"/>
    <row r="67" spans="2:9" ht="18.75" thickBot="1" x14ac:dyDescent="0.3">
      <c r="B67" s="1124" t="s">
        <v>823</v>
      </c>
      <c r="C67" s="1125"/>
      <c r="D67" s="1125"/>
      <c r="E67" s="1125"/>
      <c r="F67" s="814">
        <f>IFERROR(F65/F11,"Sin datos")</f>
        <v>0.13749828393795707</v>
      </c>
    </row>
    <row r="68" spans="2:9" x14ac:dyDescent="0.2">
      <c r="F68" s="813"/>
    </row>
    <row r="69" spans="2:9" x14ac:dyDescent="0.2">
      <c r="F69" s="813"/>
    </row>
    <row r="111" spans="2:6" s="791" customFormat="1" ht="15" x14ac:dyDescent="0.2">
      <c r="B111" s="789"/>
      <c r="C111" s="807" t="s">
        <v>735</v>
      </c>
      <c r="D111" s="807">
        <v>20</v>
      </c>
      <c r="F111" s="812"/>
    </row>
    <row r="112" spans="2:6" s="791" customFormat="1" ht="15" x14ac:dyDescent="0.2">
      <c r="B112" s="789"/>
      <c r="C112" s="807" t="s">
        <v>736</v>
      </c>
      <c r="D112" s="807">
        <v>49</v>
      </c>
      <c r="F112" s="812"/>
    </row>
  </sheetData>
  <mergeCells count="35">
    <mergeCell ref="B67:E67"/>
    <mergeCell ref="C60:E60"/>
    <mergeCell ref="C61:E61"/>
    <mergeCell ref="C62:E62"/>
    <mergeCell ref="C63:E63"/>
    <mergeCell ref="C65:E65"/>
    <mergeCell ref="C23:C31"/>
    <mergeCell ref="D23:D31"/>
    <mergeCell ref="B32:B47"/>
    <mergeCell ref="C32:C39"/>
    <mergeCell ref="D32:D39"/>
    <mergeCell ref="C40:C42"/>
    <mergeCell ref="D40:D42"/>
    <mergeCell ref="C43:C47"/>
    <mergeCell ref="D43:D47"/>
    <mergeCell ref="B14:B31"/>
    <mergeCell ref="C14:C22"/>
    <mergeCell ref="D14:D18"/>
    <mergeCell ref="D19:D22"/>
    <mergeCell ref="F6:F7"/>
    <mergeCell ref="B1:F2"/>
    <mergeCell ref="B3:F3"/>
    <mergeCell ref="C7:E7"/>
    <mergeCell ref="B48:B59"/>
    <mergeCell ref="C48:C49"/>
    <mergeCell ref="D48:D49"/>
    <mergeCell ref="C50:C51"/>
    <mergeCell ref="D50:D51"/>
    <mergeCell ref="C52:C59"/>
    <mergeCell ref="D52:D59"/>
    <mergeCell ref="C8:E8"/>
    <mergeCell ref="C9:E9"/>
    <mergeCell ref="C10:E10"/>
    <mergeCell ref="C11:E11"/>
    <mergeCell ref="C13:E13"/>
  </mergeCells>
  <conditionalFormatting sqref="G65">
    <cfRule type="iconSet" priority="1">
      <iconSet iconSet="3Symbols2" showValue="0">
        <cfvo type="percent" val="0"/>
        <cfvo type="num" val="2"/>
        <cfvo type="num" val="3"/>
      </iconSet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65" orientation="landscape" r:id="rId1"/>
  <ignoredErrors>
    <ignoredError sqref="F58 F56 F52" formula="1"/>
  </ignoredError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G133" sqref="G133"/>
    </sheetView>
  </sheetViews>
  <sheetFormatPr baseColWidth="10" defaultRowHeight="11.25" x14ac:dyDescent="0.2"/>
  <cols>
    <col min="1" max="1" width="18" style="932" customWidth="1"/>
    <col min="2" max="2" width="44.5703125" style="932" bestFit="1" customWidth="1"/>
    <col min="3" max="4" width="16.42578125" style="971" bestFit="1" customWidth="1"/>
    <col min="5" max="5" width="13.5703125" style="971" bestFit="1" customWidth="1"/>
    <col min="6" max="16384" width="11.42578125" style="932"/>
  </cols>
  <sheetData>
    <row r="1" spans="1:5" ht="21" x14ac:dyDescent="0.2">
      <c r="A1" s="930" t="s">
        <v>886</v>
      </c>
      <c r="B1" s="930"/>
      <c r="C1" s="931"/>
      <c r="D1" s="931"/>
      <c r="E1" s="931"/>
    </row>
    <row r="2" spans="1:5" x14ac:dyDescent="0.2">
      <c r="A2" s="930" t="s">
        <v>887</v>
      </c>
      <c r="B2" s="933" t="s">
        <v>888</v>
      </c>
      <c r="C2" s="934"/>
      <c r="D2" s="934"/>
      <c r="E2" s="935"/>
    </row>
    <row r="3" spans="1:5" x14ac:dyDescent="0.2">
      <c r="A3" s="930"/>
      <c r="B3" s="933" t="s">
        <v>889</v>
      </c>
      <c r="C3" s="934"/>
      <c r="D3" s="934"/>
      <c r="E3" s="935"/>
    </row>
    <row r="4" spans="1:5" x14ac:dyDescent="0.2">
      <c r="A4" s="930" t="s">
        <v>890</v>
      </c>
      <c r="B4" s="933" t="s">
        <v>891</v>
      </c>
      <c r="C4" s="935"/>
      <c r="D4" s="935"/>
      <c r="E4" s="935"/>
    </row>
    <row r="5" spans="1:5" x14ac:dyDescent="0.2">
      <c r="A5" s="930" t="s">
        <v>892</v>
      </c>
      <c r="B5" s="936">
        <v>43041</v>
      </c>
      <c r="C5" s="934"/>
      <c r="D5" s="935"/>
      <c r="E5" s="935"/>
    </row>
    <row r="6" spans="1:5" ht="12" thickBot="1" x14ac:dyDescent="0.25">
      <c r="A6" s="930" t="s">
        <v>893</v>
      </c>
      <c r="B6" s="937" t="s">
        <v>894</v>
      </c>
      <c r="C6" s="934"/>
      <c r="D6" s="935"/>
      <c r="E6" s="935"/>
    </row>
    <row r="7" spans="1:5" s="942" customFormat="1" ht="12" thickBot="1" x14ac:dyDescent="0.25">
      <c r="A7" s="938" t="s">
        <v>895</v>
      </c>
      <c r="B7" s="939" t="s">
        <v>896</v>
      </c>
      <c r="C7" s="940" t="s">
        <v>897</v>
      </c>
      <c r="D7" s="941" t="s">
        <v>898</v>
      </c>
      <c r="E7" s="941" t="s">
        <v>899</v>
      </c>
    </row>
    <row r="8" spans="1:5" ht="12" thickBot="1" x14ac:dyDescent="0.25">
      <c r="A8" s="943">
        <v>4160050100</v>
      </c>
      <c r="B8" s="944" t="s">
        <v>900</v>
      </c>
      <c r="C8" s="945">
        <v>35378126172</v>
      </c>
      <c r="D8" s="946">
        <v>24138029029</v>
      </c>
      <c r="E8" s="946">
        <f>D8/1000</f>
        <v>24138029.028999999</v>
      </c>
    </row>
    <row r="9" spans="1:5" ht="12" thickBot="1" x14ac:dyDescent="0.25">
      <c r="A9" s="943">
        <v>4160050200</v>
      </c>
      <c r="B9" s="944" t="s">
        <v>769</v>
      </c>
      <c r="C9" s="945">
        <v>0</v>
      </c>
      <c r="D9" s="946">
        <v>-22000</v>
      </c>
      <c r="E9" s="946">
        <f t="shared" ref="E9:E68" si="0">D9/1000</f>
        <v>-22</v>
      </c>
    </row>
    <row r="10" spans="1:5" ht="12" thickBot="1" x14ac:dyDescent="0.25">
      <c r="A10" s="943">
        <v>4160050300</v>
      </c>
      <c r="B10" s="944" t="s">
        <v>901</v>
      </c>
      <c r="C10" s="945">
        <v>143405680</v>
      </c>
      <c r="D10" s="946">
        <v>56910000</v>
      </c>
      <c r="E10" s="946">
        <f t="shared" si="0"/>
        <v>56910</v>
      </c>
    </row>
    <row r="11" spans="1:5" ht="12" thickBot="1" x14ac:dyDescent="0.25">
      <c r="A11" s="943">
        <v>4160050600</v>
      </c>
      <c r="B11" s="944" t="s">
        <v>902</v>
      </c>
      <c r="C11" s="945">
        <v>46770770</v>
      </c>
      <c r="D11" s="946">
        <v>24631800</v>
      </c>
      <c r="E11" s="946">
        <f t="shared" si="0"/>
        <v>24631.8</v>
      </c>
    </row>
    <row r="12" spans="1:5" ht="12" thickBot="1" x14ac:dyDescent="0.25">
      <c r="A12" s="943">
        <v>4160050700</v>
      </c>
      <c r="B12" s="944" t="s">
        <v>903</v>
      </c>
      <c r="C12" s="945">
        <v>37343000</v>
      </c>
      <c r="D12" s="946">
        <v>22538000</v>
      </c>
      <c r="E12" s="946">
        <f t="shared" si="0"/>
        <v>22538</v>
      </c>
    </row>
    <row r="13" spans="1:5" ht="12" thickBot="1" x14ac:dyDescent="0.25">
      <c r="A13" s="943">
        <v>4160050900</v>
      </c>
      <c r="B13" s="944" t="s">
        <v>904</v>
      </c>
      <c r="C13" s="945">
        <v>6123610</v>
      </c>
      <c r="D13" s="946">
        <v>3008000</v>
      </c>
      <c r="E13" s="946">
        <f t="shared" si="0"/>
        <v>3008</v>
      </c>
    </row>
    <row r="14" spans="1:5" ht="12" thickBot="1" x14ac:dyDescent="0.25">
      <c r="A14" s="943">
        <v>4160051100</v>
      </c>
      <c r="B14" s="944" t="s">
        <v>905</v>
      </c>
      <c r="C14" s="945">
        <v>3659400</v>
      </c>
      <c r="D14" s="946">
        <v>1430000</v>
      </c>
      <c r="E14" s="946">
        <f t="shared" si="0"/>
        <v>1430</v>
      </c>
    </row>
    <row r="15" spans="1:5" ht="12" thickBot="1" x14ac:dyDescent="0.25">
      <c r="A15" s="947">
        <v>4160051200</v>
      </c>
      <c r="B15" s="948" t="s">
        <v>906</v>
      </c>
      <c r="C15" s="949">
        <v>2985300</v>
      </c>
      <c r="D15" s="950">
        <v>13892693</v>
      </c>
      <c r="E15" s="946">
        <f t="shared" si="0"/>
        <v>13892.692999999999</v>
      </c>
    </row>
    <row r="16" spans="1:5" ht="12" thickBot="1" x14ac:dyDescent="0.25">
      <c r="A16" s="947">
        <v>4160053000</v>
      </c>
      <c r="B16" s="948" t="s">
        <v>907</v>
      </c>
      <c r="C16" s="949">
        <v>-83323040</v>
      </c>
      <c r="D16" s="950">
        <v>-160039619</v>
      </c>
      <c r="E16" s="946">
        <f t="shared" si="0"/>
        <v>-160039.61900000001</v>
      </c>
    </row>
    <row r="17" spans="1:6" ht="12" thickBot="1" x14ac:dyDescent="0.25">
      <c r="A17" s="947">
        <v>4160950100</v>
      </c>
      <c r="B17" s="948" t="s">
        <v>908</v>
      </c>
      <c r="C17" s="949">
        <v>1441290</v>
      </c>
      <c r="D17" s="950">
        <v>0</v>
      </c>
      <c r="E17" s="946">
        <f t="shared" si="0"/>
        <v>0</v>
      </c>
    </row>
    <row r="18" spans="1:6" ht="12" thickBot="1" x14ac:dyDescent="0.25">
      <c r="A18" s="947">
        <v>4160950500</v>
      </c>
      <c r="B18" s="948" t="s">
        <v>909</v>
      </c>
      <c r="C18" s="949">
        <v>2208480</v>
      </c>
      <c r="D18" s="950">
        <v>900000</v>
      </c>
      <c r="E18" s="946">
        <f t="shared" si="0"/>
        <v>900</v>
      </c>
    </row>
    <row r="19" spans="1:6" ht="12" thickBot="1" x14ac:dyDescent="0.25">
      <c r="A19" s="947">
        <v>4210950200</v>
      </c>
      <c r="B19" s="948" t="s">
        <v>910</v>
      </c>
      <c r="C19" s="949">
        <v>0</v>
      </c>
      <c r="D19" s="951">
        <v>57006</v>
      </c>
      <c r="E19" s="946">
        <f t="shared" si="0"/>
        <v>57.006</v>
      </c>
    </row>
    <row r="20" spans="1:6" ht="12" thickBot="1" x14ac:dyDescent="0.25">
      <c r="A20" s="958">
        <v>4250350100</v>
      </c>
      <c r="B20" s="959" t="s">
        <v>911</v>
      </c>
      <c r="C20" s="960">
        <v>0</v>
      </c>
      <c r="D20" s="961">
        <v>5909086</v>
      </c>
      <c r="F20" s="962">
        <f>D20/1000</f>
        <v>5909.0860000000002</v>
      </c>
    </row>
    <row r="21" spans="1:6" ht="12" thickBot="1" x14ac:dyDescent="0.25">
      <c r="A21" s="947">
        <v>4250350200</v>
      </c>
      <c r="B21" s="948" t="s">
        <v>760</v>
      </c>
      <c r="C21" s="949">
        <v>100000000</v>
      </c>
      <c r="D21" s="951">
        <v>25923081</v>
      </c>
      <c r="E21" s="946">
        <f t="shared" si="0"/>
        <v>25923.080999999998</v>
      </c>
    </row>
    <row r="22" spans="1:6" ht="12" thickBot="1" x14ac:dyDescent="0.25">
      <c r="A22" s="947">
        <v>4250500000</v>
      </c>
      <c r="B22" s="948" t="s">
        <v>912</v>
      </c>
      <c r="C22" s="949">
        <v>0</v>
      </c>
      <c r="D22" s="951">
        <v>13215357</v>
      </c>
      <c r="E22" s="946">
        <f t="shared" si="0"/>
        <v>13215.357</v>
      </c>
    </row>
    <row r="23" spans="1:6" ht="12" thickBot="1" x14ac:dyDescent="0.25">
      <c r="A23" s="947">
        <v>4295050000</v>
      </c>
      <c r="B23" s="948" t="s">
        <v>395</v>
      </c>
      <c r="C23" s="949">
        <v>0</v>
      </c>
      <c r="D23" s="951">
        <v>106606</v>
      </c>
      <c r="E23" s="946">
        <f t="shared" si="0"/>
        <v>106.60599999999999</v>
      </c>
    </row>
    <row r="24" spans="1:6" ht="12" thickBot="1" x14ac:dyDescent="0.25">
      <c r="A24" s="958">
        <v>4295091100</v>
      </c>
      <c r="B24" s="959" t="s">
        <v>913</v>
      </c>
      <c r="C24" s="960">
        <v>0</v>
      </c>
      <c r="D24" s="961">
        <v>1070000</v>
      </c>
      <c r="F24" s="962">
        <f>D24/1000</f>
        <v>1070</v>
      </c>
    </row>
    <row r="25" spans="1:6" s="957" customFormat="1" ht="12" thickBot="1" x14ac:dyDescent="0.25">
      <c r="A25" s="952"/>
      <c r="B25" s="953"/>
      <c r="C25" s="954"/>
      <c r="D25" s="955"/>
      <c r="E25" s="956">
        <f>SUM(E8:E24)</f>
        <v>24140579.953000002</v>
      </c>
    </row>
    <row r="26" spans="1:6" ht="12" thickBot="1" x14ac:dyDescent="0.25">
      <c r="A26" s="947">
        <v>5105060000</v>
      </c>
      <c r="B26" s="948" t="s">
        <v>20</v>
      </c>
      <c r="C26" s="949">
        <v>9209447332</v>
      </c>
      <c r="D26" s="951">
        <v>6096959731</v>
      </c>
      <c r="E26" s="946">
        <f t="shared" si="0"/>
        <v>6096959.7309999997</v>
      </c>
    </row>
    <row r="27" spans="1:6" ht="12" thickBot="1" x14ac:dyDescent="0.25">
      <c r="A27" s="947">
        <v>5105240000</v>
      </c>
      <c r="B27" s="948" t="s">
        <v>22</v>
      </c>
      <c r="C27" s="949">
        <v>1291490</v>
      </c>
      <c r="D27" s="951">
        <v>719711</v>
      </c>
      <c r="E27" s="946">
        <f t="shared" si="0"/>
        <v>719.71100000000001</v>
      </c>
    </row>
    <row r="28" spans="1:6" ht="12" thickBot="1" x14ac:dyDescent="0.25">
      <c r="A28" s="947">
        <v>5105250000</v>
      </c>
      <c r="B28" s="948" t="s">
        <v>739</v>
      </c>
      <c r="C28" s="949">
        <v>33170</v>
      </c>
      <c r="D28" s="951">
        <v>395002</v>
      </c>
      <c r="E28" s="946">
        <f t="shared" si="0"/>
        <v>395.00200000000001</v>
      </c>
    </row>
    <row r="29" spans="1:6" ht="12" thickBot="1" x14ac:dyDescent="0.25">
      <c r="A29" s="947">
        <v>5105270000</v>
      </c>
      <c r="B29" s="948" t="s">
        <v>914</v>
      </c>
      <c r="C29" s="949">
        <v>47549965</v>
      </c>
      <c r="D29" s="951">
        <v>40650058</v>
      </c>
      <c r="E29" s="946">
        <f t="shared" si="0"/>
        <v>40650.057999999997</v>
      </c>
    </row>
    <row r="30" spans="1:6" ht="12" thickBot="1" x14ac:dyDescent="0.25">
      <c r="A30" s="947">
        <v>5105300000</v>
      </c>
      <c r="B30" s="948" t="s">
        <v>24</v>
      </c>
      <c r="C30" s="949">
        <v>1261781840</v>
      </c>
      <c r="D30" s="951">
        <v>1120478928</v>
      </c>
      <c r="E30" s="946">
        <f t="shared" si="0"/>
        <v>1120478.9280000001</v>
      </c>
    </row>
    <row r="31" spans="1:6" ht="12" thickBot="1" x14ac:dyDescent="0.25">
      <c r="A31" s="947">
        <v>5105330000</v>
      </c>
      <c r="B31" s="948" t="s">
        <v>915</v>
      </c>
      <c r="C31" s="949">
        <v>411698532</v>
      </c>
      <c r="D31" s="951">
        <v>218500912</v>
      </c>
      <c r="E31" s="946">
        <f t="shared" si="0"/>
        <v>218500.91200000001</v>
      </c>
    </row>
    <row r="32" spans="1:6" ht="12" thickBot="1" x14ac:dyDescent="0.25">
      <c r="A32" s="947">
        <v>5105360000</v>
      </c>
      <c r="B32" s="948" t="s">
        <v>26</v>
      </c>
      <c r="C32" s="949">
        <v>814052812</v>
      </c>
      <c r="D32" s="951">
        <v>603079531</v>
      </c>
      <c r="E32" s="946">
        <f t="shared" si="0"/>
        <v>603079.53099999996</v>
      </c>
    </row>
    <row r="33" spans="1:5" ht="12" thickBot="1" x14ac:dyDescent="0.25">
      <c r="A33" s="947">
        <v>5105390000</v>
      </c>
      <c r="B33" s="948" t="s">
        <v>27</v>
      </c>
      <c r="C33" s="949">
        <v>767453971</v>
      </c>
      <c r="D33" s="951">
        <v>442963387</v>
      </c>
      <c r="E33" s="946">
        <f t="shared" si="0"/>
        <v>442963.38699999999</v>
      </c>
    </row>
    <row r="34" spans="1:5" ht="12" thickBot="1" x14ac:dyDescent="0.25">
      <c r="A34" s="947">
        <v>5105450000</v>
      </c>
      <c r="B34" s="948" t="s">
        <v>28</v>
      </c>
      <c r="C34" s="949">
        <v>51065750</v>
      </c>
      <c r="D34" s="951">
        <v>38780199</v>
      </c>
      <c r="E34" s="946">
        <f t="shared" si="0"/>
        <v>38780.199000000001</v>
      </c>
    </row>
    <row r="35" spans="1:5" ht="12" thickBot="1" x14ac:dyDescent="0.25">
      <c r="A35" s="947">
        <v>5105480000</v>
      </c>
      <c r="B35" s="948" t="s">
        <v>425</v>
      </c>
      <c r="C35" s="949">
        <v>0</v>
      </c>
      <c r="D35" s="951">
        <v>1542000</v>
      </c>
      <c r="E35" s="946">
        <f t="shared" si="0"/>
        <v>1542</v>
      </c>
    </row>
    <row r="36" spans="1:5" ht="12" thickBot="1" x14ac:dyDescent="0.25">
      <c r="A36" s="947">
        <v>5105510000</v>
      </c>
      <c r="B36" s="948" t="s">
        <v>916</v>
      </c>
      <c r="C36" s="949">
        <v>7753220</v>
      </c>
      <c r="D36" s="951">
        <v>11494598</v>
      </c>
      <c r="E36" s="946">
        <f t="shared" si="0"/>
        <v>11494.598</v>
      </c>
    </row>
    <row r="37" spans="1:5" ht="12" thickBot="1" x14ac:dyDescent="0.25">
      <c r="A37" s="947">
        <v>5105630000</v>
      </c>
      <c r="B37" s="948" t="s">
        <v>917</v>
      </c>
      <c r="C37" s="949">
        <v>36900000</v>
      </c>
      <c r="D37" s="951">
        <v>24635956</v>
      </c>
      <c r="E37" s="946">
        <f t="shared" si="0"/>
        <v>24635.955999999998</v>
      </c>
    </row>
    <row r="38" spans="1:5" ht="12" thickBot="1" x14ac:dyDescent="0.25">
      <c r="A38" s="947">
        <v>5105640000</v>
      </c>
      <c r="B38" s="948" t="s">
        <v>740</v>
      </c>
      <c r="C38" s="949">
        <v>11350560</v>
      </c>
      <c r="D38" s="951">
        <v>9613154</v>
      </c>
      <c r="E38" s="946">
        <f t="shared" si="0"/>
        <v>9613.1540000000005</v>
      </c>
    </row>
    <row r="39" spans="1:5" ht="12" thickBot="1" x14ac:dyDescent="0.25">
      <c r="A39" s="947">
        <v>5105680000</v>
      </c>
      <c r="B39" s="948" t="s">
        <v>918</v>
      </c>
      <c r="C39" s="949">
        <v>51393138</v>
      </c>
      <c r="D39" s="951">
        <v>33341437</v>
      </c>
      <c r="E39" s="946">
        <f t="shared" si="0"/>
        <v>33341.436999999998</v>
      </c>
    </row>
    <row r="40" spans="1:5" ht="12" thickBot="1" x14ac:dyDescent="0.25">
      <c r="A40" s="947">
        <v>5105690000</v>
      </c>
      <c r="B40" s="948" t="s">
        <v>919</v>
      </c>
      <c r="C40" s="949">
        <v>939251758</v>
      </c>
      <c r="D40" s="951">
        <v>626153331</v>
      </c>
      <c r="E40" s="946">
        <f t="shared" si="0"/>
        <v>626153.33100000001</v>
      </c>
    </row>
    <row r="41" spans="1:5" ht="12" thickBot="1" x14ac:dyDescent="0.25">
      <c r="A41" s="947">
        <v>5105700000</v>
      </c>
      <c r="B41" s="948" t="s">
        <v>920</v>
      </c>
      <c r="C41" s="949">
        <v>925593309</v>
      </c>
      <c r="D41" s="951">
        <v>575650953</v>
      </c>
      <c r="E41" s="946">
        <f t="shared" si="0"/>
        <v>575650.95299999998</v>
      </c>
    </row>
    <row r="42" spans="1:5" ht="12" thickBot="1" x14ac:dyDescent="0.25">
      <c r="A42" s="947">
        <v>5105720000</v>
      </c>
      <c r="B42" s="948" t="s">
        <v>921</v>
      </c>
      <c r="C42" s="949">
        <v>388842957</v>
      </c>
      <c r="D42" s="951">
        <v>269506386</v>
      </c>
      <c r="E42" s="946">
        <f t="shared" si="0"/>
        <v>269506.386</v>
      </c>
    </row>
    <row r="43" spans="1:5" ht="12" thickBot="1" x14ac:dyDescent="0.25">
      <c r="A43" s="947">
        <v>5105750000</v>
      </c>
      <c r="B43" s="948" t="s">
        <v>34</v>
      </c>
      <c r="C43" s="949">
        <v>291632217</v>
      </c>
      <c r="D43" s="951">
        <v>202155164</v>
      </c>
      <c r="E43" s="946">
        <f t="shared" si="0"/>
        <v>202155.16399999999</v>
      </c>
    </row>
    <row r="44" spans="1:5" ht="12" thickBot="1" x14ac:dyDescent="0.25">
      <c r="A44" s="947">
        <v>5105780000</v>
      </c>
      <c r="B44" s="948" t="s">
        <v>35</v>
      </c>
      <c r="C44" s="949">
        <v>194421478</v>
      </c>
      <c r="D44" s="951">
        <v>134794032</v>
      </c>
      <c r="E44" s="946">
        <f t="shared" si="0"/>
        <v>134794.03200000001</v>
      </c>
    </row>
    <row r="45" spans="1:5" ht="12" thickBot="1" x14ac:dyDescent="0.25">
      <c r="A45" s="947">
        <v>5110350100</v>
      </c>
      <c r="B45" s="948" t="s">
        <v>922</v>
      </c>
      <c r="C45" s="949">
        <v>333826094</v>
      </c>
      <c r="D45" s="951">
        <v>87658754</v>
      </c>
      <c r="E45" s="946">
        <f t="shared" si="0"/>
        <v>87658.754000000001</v>
      </c>
    </row>
    <row r="46" spans="1:5" ht="12" thickBot="1" x14ac:dyDescent="0.25">
      <c r="A46" s="947">
        <v>5110350200</v>
      </c>
      <c r="B46" s="948" t="s">
        <v>923</v>
      </c>
      <c r="C46" s="949">
        <v>2431721066</v>
      </c>
      <c r="D46" s="951">
        <v>1488228951</v>
      </c>
      <c r="E46" s="946">
        <f t="shared" si="0"/>
        <v>1488228.9509999999</v>
      </c>
    </row>
    <row r="47" spans="1:5" ht="12" thickBot="1" x14ac:dyDescent="0.25">
      <c r="A47" s="947">
        <v>5110350600</v>
      </c>
      <c r="B47" s="948" t="s">
        <v>924</v>
      </c>
      <c r="C47" s="949">
        <v>53660500</v>
      </c>
      <c r="D47" s="951">
        <v>1200000</v>
      </c>
      <c r="E47" s="946">
        <f t="shared" si="0"/>
        <v>1200</v>
      </c>
    </row>
    <row r="48" spans="1:5" ht="12" thickBot="1" x14ac:dyDescent="0.25">
      <c r="A48" s="947">
        <v>5110500000</v>
      </c>
      <c r="B48" s="948" t="s">
        <v>925</v>
      </c>
      <c r="C48" s="949">
        <v>0</v>
      </c>
      <c r="D48" s="951">
        <v>166217075</v>
      </c>
      <c r="E48" s="946">
        <f t="shared" si="0"/>
        <v>166217.07500000001</v>
      </c>
    </row>
    <row r="49" spans="1:5" ht="12" thickBot="1" x14ac:dyDescent="0.25">
      <c r="A49" s="947">
        <v>5110950000</v>
      </c>
      <c r="B49" s="948" t="s">
        <v>42</v>
      </c>
      <c r="C49" s="949">
        <v>5500000</v>
      </c>
      <c r="D49" s="951">
        <v>10501672</v>
      </c>
      <c r="E49" s="946">
        <f t="shared" si="0"/>
        <v>10501.672</v>
      </c>
    </row>
    <row r="50" spans="1:5" ht="12" thickBot="1" x14ac:dyDescent="0.25">
      <c r="A50" s="947">
        <v>5120250000</v>
      </c>
      <c r="B50" s="948" t="s">
        <v>926</v>
      </c>
      <c r="C50" s="949">
        <v>918060</v>
      </c>
      <c r="D50" s="951">
        <v>0</v>
      </c>
      <c r="E50" s="946">
        <f t="shared" si="0"/>
        <v>0</v>
      </c>
    </row>
    <row r="51" spans="1:5" ht="12" thickBot="1" x14ac:dyDescent="0.25">
      <c r="A51" s="947">
        <v>5125100000</v>
      </c>
      <c r="B51" s="948" t="s">
        <v>927</v>
      </c>
      <c r="C51" s="949">
        <v>30000000</v>
      </c>
      <c r="D51" s="951">
        <v>11065755</v>
      </c>
      <c r="E51" s="946">
        <f t="shared" si="0"/>
        <v>11065.754999999999</v>
      </c>
    </row>
    <row r="52" spans="1:5" ht="12" thickBot="1" x14ac:dyDescent="0.25">
      <c r="A52" s="947">
        <v>5130600000</v>
      </c>
      <c r="B52" s="948" t="s">
        <v>928</v>
      </c>
      <c r="C52" s="949">
        <v>2075800</v>
      </c>
      <c r="D52" s="951">
        <v>5170032</v>
      </c>
      <c r="E52" s="946">
        <f t="shared" si="0"/>
        <v>5170.0320000000002</v>
      </c>
    </row>
    <row r="53" spans="1:5" ht="12" thickBot="1" x14ac:dyDescent="0.25">
      <c r="A53" s="947">
        <v>5130950300</v>
      </c>
      <c r="B53" s="948" t="s">
        <v>929</v>
      </c>
      <c r="C53" s="949">
        <v>8985130</v>
      </c>
      <c r="D53" s="951">
        <v>6688325</v>
      </c>
      <c r="E53" s="946">
        <f t="shared" si="0"/>
        <v>6688.3249999999998</v>
      </c>
    </row>
    <row r="54" spans="1:5" ht="12" thickBot="1" x14ac:dyDescent="0.25">
      <c r="A54" s="947">
        <v>5135400000</v>
      </c>
      <c r="B54" s="948" t="s">
        <v>930</v>
      </c>
      <c r="C54" s="949">
        <v>2710310</v>
      </c>
      <c r="D54" s="951">
        <v>1380813</v>
      </c>
      <c r="E54" s="946">
        <f t="shared" si="0"/>
        <v>1380.8130000000001</v>
      </c>
    </row>
    <row r="55" spans="1:5" ht="12" thickBot="1" x14ac:dyDescent="0.25">
      <c r="A55" s="947">
        <v>5135500000</v>
      </c>
      <c r="B55" s="948" t="s">
        <v>931</v>
      </c>
      <c r="C55" s="949">
        <v>10700</v>
      </c>
      <c r="D55" s="951">
        <v>210000</v>
      </c>
      <c r="E55" s="946">
        <f t="shared" si="0"/>
        <v>210</v>
      </c>
    </row>
    <row r="56" spans="1:5" ht="12" thickBot="1" x14ac:dyDescent="0.25">
      <c r="A56" s="947">
        <v>5135950300</v>
      </c>
      <c r="B56" s="948" t="s">
        <v>321</v>
      </c>
      <c r="C56" s="949">
        <v>408740</v>
      </c>
      <c r="D56" s="951">
        <v>0</v>
      </c>
      <c r="E56" s="946">
        <f t="shared" si="0"/>
        <v>0</v>
      </c>
    </row>
    <row r="57" spans="1:5" ht="12" thickBot="1" x14ac:dyDescent="0.25">
      <c r="A57" s="947">
        <v>5135950700</v>
      </c>
      <c r="B57" s="948" t="s">
        <v>932</v>
      </c>
      <c r="C57" s="949">
        <v>400561080</v>
      </c>
      <c r="D57" s="951">
        <v>601821069</v>
      </c>
      <c r="E57" s="946">
        <f t="shared" si="0"/>
        <v>601821.06900000002</v>
      </c>
    </row>
    <row r="58" spans="1:5" ht="12" thickBot="1" x14ac:dyDescent="0.25">
      <c r="A58" s="947">
        <v>5135951000</v>
      </c>
      <c r="B58" s="948" t="s">
        <v>57</v>
      </c>
      <c r="C58" s="949">
        <v>0</v>
      </c>
      <c r="D58" s="951">
        <v>48598</v>
      </c>
      <c r="E58" s="946">
        <f t="shared" si="0"/>
        <v>48.597999999999999</v>
      </c>
    </row>
    <row r="59" spans="1:5" ht="12" thickBot="1" x14ac:dyDescent="0.25">
      <c r="A59" s="947">
        <v>5135951100</v>
      </c>
      <c r="B59" s="948" t="s">
        <v>58</v>
      </c>
      <c r="C59" s="949">
        <v>11330000</v>
      </c>
      <c r="D59" s="951">
        <v>2798200</v>
      </c>
      <c r="E59" s="946">
        <f t="shared" si="0"/>
        <v>2798.2</v>
      </c>
    </row>
    <row r="60" spans="1:5" ht="12" thickBot="1" x14ac:dyDescent="0.25">
      <c r="A60" s="947">
        <v>5135951300</v>
      </c>
      <c r="B60" s="948" t="s">
        <v>933</v>
      </c>
      <c r="C60" s="949">
        <v>19636640</v>
      </c>
      <c r="D60" s="951">
        <v>128866</v>
      </c>
      <c r="E60" s="946">
        <f t="shared" si="0"/>
        <v>128.86600000000001</v>
      </c>
    </row>
    <row r="61" spans="1:5" ht="12" thickBot="1" x14ac:dyDescent="0.25">
      <c r="A61" s="947">
        <v>5135951600</v>
      </c>
      <c r="B61" s="948" t="s">
        <v>934</v>
      </c>
      <c r="C61" s="949">
        <v>0</v>
      </c>
      <c r="D61" s="951">
        <v>0</v>
      </c>
      <c r="E61" s="946">
        <f t="shared" si="0"/>
        <v>0</v>
      </c>
    </row>
    <row r="62" spans="1:5" ht="12" thickBot="1" x14ac:dyDescent="0.25">
      <c r="A62" s="947">
        <v>5135951900</v>
      </c>
      <c r="B62" s="948" t="s">
        <v>935</v>
      </c>
      <c r="C62" s="949">
        <v>96300</v>
      </c>
      <c r="D62" s="951">
        <v>0</v>
      </c>
      <c r="E62" s="946">
        <f t="shared" si="0"/>
        <v>0</v>
      </c>
    </row>
    <row r="63" spans="1:5" ht="12" thickBot="1" x14ac:dyDescent="0.25">
      <c r="A63" s="947">
        <v>5135955000</v>
      </c>
      <c r="B63" s="948" t="s">
        <v>60</v>
      </c>
      <c r="C63" s="949">
        <v>2112180</v>
      </c>
      <c r="D63" s="951">
        <v>504259</v>
      </c>
      <c r="E63" s="946">
        <f t="shared" si="0"/>
        <v>504.25900000000001</v>
      </c>
    </row>
    <row r="64" spans="1:5" ht="12" thickBot="1" x14ac:dyDescent="0.25">
      <c r="A64" s="947">
        <v>5140150000</v>
      </c>
      <c r="B64" s="948" t="s">
        <v>328</v>
      </c>
      <c r="C64" s="949">
        <v>3210</v>
      </c>
      <c r="D64" s="951">
        <v>0</v>
      </c>
      <c r="E64" s="946">
        <f t="shared" si="0"/>
        <v>0</v>
      </c>
    </row>
    <row r="65" spans="1:6" ht="12" thickBot="1" x14ac:dyDescent="0.25">
      <c r="A65" s="947">
        <v>5150950000</v>
      </c>
      <c r="B65" s="948" t="s">
        <v>936</v>
      </c>
      <c r="C65" s="949">
        <v>2660020</v>
      </c>
      <c r="D65" s="951">
        <v>2146760</v>
      </c>
      <c r="E65" s="946">
        <f t="shared" si="0"/>
        <v>2146.7600000000002</v>
      </c>
    </row>
    <row r="66" spans="1:6" ht="12" thickBot="1" x14ac:dyDescent="0.25">
      <c r="A66" s="947">
        <v>5155050000</v>
      </c>
      <c r="B66" s="948" t="s">
        <v>937</v>
      </c>
      <c r="C66" s="949">
        <v>1599360</v>
      </c>
      <c r="D66" s="951">
        <v>0</v>
      </c>
      <c r="E66" s="946">
        <f t="shared" si="0"/>
        <v>0</v>
      </c>
    </row>
    <row r="67" spans="1:6" ht="12" thickBot="1" x14ac:dyDescent="0.25">
      <c r="A67" s="947">
        <v>5155150000</v>
      </c>
      <c r="B67" s="948" t="s">
        <v>62</v>
      </c>
      <c r="C67" s="949">
        <v>284250</v>
      </c>
      <c r="D67" s="951">
        <v>1608429</v>
      </c>
      <c r="E67" s="946">
        <f t="shared" si="0"/>
        <v>1608.4290000000001</v>
      </c>
    </row>
    <row r="68" spans="1:6" ht="12" thickBot="1" x14ac:dyDescent="0.25">
      <c r="A68" s="947">
        <v>5155950100</v>
      </c>
      <c r="B68" s="948" t="s">
        <v>938</v>
      </c>
      <c r="C68" s="949">
        <v>400000</v>
      </c>
      <c r="D68" s="951">
        <v>550000</v>
      </c>
      <c r="E68" s="946">
        <f t="shared" si="0"/>
        <v>550</v>
      </c>
    </row>
    <row r="69" spans="1:6" ht="12" thickBot="1" x14ac:dyDescent="0.25">
      <c r="A69" s="958">
        <v>5160150500</v>
      </c>
      <c r="B69" s="959" t="s">
        <v>939</v>
      </c>
      <c r="C69" s="960">
        <v>0</v>
      </c>
      <c r="D69" s="961">
        <v>3438572</v>
      </c>
      <c r="E69" s="932"/>
      <c r="F69" s="962">
        <f t="shared" ref="F69:F74" si="1">D69/1000</f>
        <v>3438.5720000000001</v>
      </c>
    </row>
    <row r="70" spans="1:6" ht="12" thickBot="1" x14ac:dyDescent="0.25">
      <c r="A70" s="958">
        <v>5160200500</v>
      </c>
      <c r="B70" s="959" t="s">
        <v>940</v>
      </c>
      <c r="C70" s="960">
        <v>0</v>
      </c>
      <c r="D70" s="961">
        <v>549747</v>
      </c>
      <c r="E70" s="932"/>
      <c r="F70" s="962">
        <f t="shared" si="1"/>
        <v>549.74699999999996</v>
      </c>
    </row>
    <row r="71" spans="1:6" ht="12" thickBot="1" x14ac:dyDescent="0.25">
      <c r="A71" s="958">
        <v>5160201000</v>
      </c>
      <c r="B71" s="959" t="s">
        <v>941</v>
      </c>
      <c r="C71" s="960">
        <v>0</v>
      </c>
      <c r="D71" s="961">
        <v>7423600</v>
      </c>
      <c r="E71" s="932"/>
      <c r="F71" s="962">
        <f t="shared" si="1"/>
        <v>7423.6</v>
      </c>
    </row>
    <row r="72" spans="1:6" ht="12" thickBot="1" x14ac:dyDescent="0.25">
      <c r="A72" s="958">
        <v>5160251500</v>
      </c>
      <c r="B72" s="959" t="s">
        <v>942</v>
      </c>
      <c r="C72" s="960">
        <v>0</v>
      </c>
      <c r="D72" s="961">
        <v>67125336</v>
      </c>
      <c r="E72" s="932"/>
      <c r="F72" s="962">
        <f t="shared" si="1"/>
        <v>67125.335999999996</v>
      </c>
    </row>
    <row r="73" spans="1:6" ht="12" thickBot="1" x14ac:dyDescent="0.25">
      <c r="A73" s="958">
        <v>5160252000</v>
      </c>
      <c r="B73" s="959" t="s">
        <v>943</v>
      </c>
      <c r="C73" s="960">
        <v>0</v>
      </c>
      <c r="D73" s="961">
        <v>2076656</v>
      </c>
      <c r="E73" s="932"/>
      <c r="F73" s="962">
        <f t="shared" si="1"/>
        <v>2076.6559999999999</v>
      </c>
    </row>
    <row r="74" spans="1:6" ht="12" thickBot="1" x14ac:dyDescent="0.25">
      <c r="A74" s="958">
        <v>5165151600</v>
      </c>
      <c r="B74" s="959" t="s">
        <v>944</v>
      </c>
      <c r="C74" s="960">
        <v>0</v>
      </c>
      <c r="D74" s="961">
        <v>1704926</v>
      </c>
      <c r="E74" s="932"/>
      <c r="F74" s="962">
        <f t="shared" si="1"/>
        <v>1704.9259999999999</v>
      </c>
    </row>
    <row r="75" spans="1:6" ht="12" thickBot="1" x14ac:dyDescent="0.25">
      <c r="A75" s="947">
        <v>5165951000</v>
      </c>
      <c r="B75" s="948" t="s">
        <v>945</v>
      </c>
      <c r="C75" s="949">
        <v>10000000</v>
      </c>
      <c r="D75" s="951">
        <v>882000</v>
      </c>
      <c r="E75" s="946">
        <f t="shared" ref="E75:E136" si="2">D75/1000</f>
        <v>882</v>
      </c>
    </row>
    <row r="76" spans="1:6" ht="12" thickBot="1" x14ac:dyDescent="0.25">
      <c r="A76" s="947">
        <v>5195100000</v>
      </c>
      <c r="B76" s="948" t="s">
        <v>946</v>
      </c>
      <c r="C76" s="949">
        <v>23190110</v>
      </c>
      <c r="D76" s="951">
        <v>84415594</v>
      </c>
      <c r="E76" s="946">
        <f t="shared" si="2"/>
        <v>84415.593999999997</v>
      </c>
    </row>
    <row r="77" spans="1:6" ht="12" thickBot="1" x14ac:dyDescent="0.25">
      <c r="A77" s="947">
        <v>5195200000</v>
      </c>
      <c r="B77" s="948" t="s">
        <v>947</v>
      </c>
      <c r="C77" s="949">
        <v>6117000</v>
      </c>
      <c r="D77" s="951">
        <v>10350887</v>
      </c>
      <c r="E77" s="946">
        <f t="shared" si="2"/>
        <v>10350.887000000001</v>
      </c>
    </row>
    <row r="78" spans="1:6" ht="12" thickBot="1" x14ac:dyDescent="0.25">
      <c r="A78" s="947">
        <v>5195250000</v>
      </c>
      <c r="B78" s="948" t="s">
        <v>948</v>
      </c>
      <c r="C78" s="949">
        <v>5321110</v>
      </c>
      <c r="D78" s="951">
        <v>5162335</v>
      </c>
      <c r="E78" s="946">
        <f t="shared" si="2"/>
        <v>5162.335</v>
      </c>
    </row>
    <row r="79" spans="1:6" ht="12" thickBot="1" x14ac:dyDescent="0.25">
      <c r="A79" s="947">
        <v>5195300000</v>
      </c>
      <c r="B79" s="948" t="s">
        <v>949</v>
      </c>
      <c r="C79" s="949">
        <v>19379790</v>
      </c>
      <c r="D79" s="951">
        <v>9853148</v>
      </c>
      <c r="E79" s="946">
        <f t="shared" si="2"/>
        <v>9853.1479999999992</v>
      </c>
    </row>
    <row r="80" spans="1:6" ht="12" thickBot="1" x14ac:dyDescent="0.25">
      <c r="A80" s="947">
        <v>5195450000</v>
      </c>
      <c r="B80" s="948" t="s">
        <v>69</v>
      </c>
      <c r="C80" s="949">
        <v>35950000</v>
      </c>
      <c r="D80" s="951">
        <v>6170964</v>
      </c>
      <c r="E80" s="946">
        <f t="shared" si="2"/>
        <v>6170.9639999999999</v>
      </c>
    </row>
    <row r="81" spans="1:5" ht="12" thickBot="1" x14ac:dyDescent="0.25">
      <c r="A81" s="947">
        <v>5195950100</v>
      </c>
      <c r="B81" s="948" t="s">
        <v>234</v>
      </c>
      <c r="C81" s="949">
        <v>69000000</v>
      </c>
      <c r="D81" s="951">
        <v>16192448</v>
      </c>
      <c r="E81" s="946">
        <f t="shared" si="2"/>
        <v>16192.448</v>
      </c>
    </row>
    <row r="82" spans="1:5" ht="12" thickBot="1" x14ac:dyDescent="0.25">
      <c r="A82" s="947">
        <v>5195950200</v>
      </c>
      <c r="B82" s="948" t="s">
        <v>950</v>
      </c>
      <c r="C82" s="949">
        <v>33461040</v>
      </c>
      <c r="D82" s="951">
        <v>54066402</v>
      </c>
      <c r="E82" s="946">
        <f t="shared" si="2"/>
        <v>54066.402000000002</v>
      </c>
    </row>
    <row r="83" spans="1:5" ht="12" thickBot="1" x14ac:dyDescent="0.25">
      <c r="A83" s="947">
        <v>5195950300</v>
      </c>
      <c r="B83" s="948" t="s">
        <v>951</v>
      </c>
      <c r="C83" s="949">
        <v>83460</v>
      </c>
      <c r="D83" s="951">
        <v>0</v>
      </c>
      <c r="E83" s="946">
        <f t="shared" si="2"/>
        <v>0</v>
      </c>
    </row>
    <row r="84" spans="1:5" ht="12" thickBot="1" x14ac:dyDescent="0.25">
      <c r="A84" s="947">
        <v>5195950400</v>
      </c>
      <c r="B84" s="948" t="s">
        <v>952</v>
      </c>
      <c r="C84" s="949">
        <v>630230</v>
      </c>
      <c r="D84" s="951">
        <v>180000</v>
      </c>
      <c r="E84" s="946">
        <f t="shared" si="2"/>
        <v>180</v>
      </c>
    </row>
    <row r="85" spans="1:5" ht="12" thickBot="1" x14ac:dyDescent="0.25">
      <c r="A85" s="947">
        <v>5195950800</v>
      </c>
      <c r="B85" s="948" t="s">
        <v>953</v>
      </c>
      <c r="C85" s="949">
        <v>0</v>
      </c>
      <c r="D85" s="951">
        <v>417690</v>
      </c>
      <c r="E85" s="946">
        <f t="shared" si="2"/>
        <v>417.69</v>
      </c>
    </row>
    <row r="86" spans="1:5" ht="12" thickBot="1" x14ac:dyDescent="0.25">
      <c r="A86" s="947">
        <v>5195951200</v>
      </c>
      <c r="B86" s="948" t="s">
        <v>954</v>
      </c>
      <c r="C86" s="949">
        <v>0</v>
      </c>
      <c r="D86" s="951">
        <v>4479600</v>
      </c>
      <c r="E86" s="946">
        <f t="shared" si="2"/>
        <v>4479.6000000000004</v>
      </c>
    </row>
    <row r="87" spans="1:5" ht="12" thickBot="1" x14ac:dyDescent="0.25">
      <c r="A87" s="947">
        <v>5195951300</v>
      </c>
      <c r="B87" s="948" t="s">
        <v>955</v>
      </c>
      <c r="C87" s="949">
        <v>0</v>
      </c>
      <c r="D87" s="951">
        <v>645873</v>
      </c>
      <c r="E87" s="946">
        <f t="shared" si="2"/>
        <v>645.87300000000005</v>
      </c>
    </row>
    <row r="88" spans="1:5" ht="12" thickBot="1" x14ac:dyDescent="0.25">
      <c r="A88" s="947">
        <v>5195951400</v>
      </c>
      <c r="B88" s="948" t="s">
        <v>956</v>
      </c>
      <c r="C88" s="949">
        <v>0</v>
      </c>
      <c r="D88" s="951">
        <v>418880</v>
      </c>
      <c r="E88" s="946">
        <f t="shared" si="2"/>
        <v>418.88</v>
      </c>
    </row>
    <row r="89" spans="1:5" ht="12" thickBot="1" x14ac:dyDescent="0.25">
      <c r="A89" s="947">
        <v>5195951500</v>
      </c>
      <c r="B89" s="948" t="s">
        <v>957</v>
      </c>
      <c r="C89" s="949">
        <v>955510</v>
      </c>
      <c r="D89" s="951">
        <v>733057</v>
      </c>
      <c r="E89" s="946">
        <f t="shared" si="2"/>
        <v>733.05700000000002</v>
      </c>
    </row>
    <row r="90" spans="1:5" ht="12" thickBot="1" x14ac:dyDescent="0.25">
      <c r="A90" s="947">
        <v>5195951900</v>
      </c>
      <c r="B90" s="948" t="s">
        <v>958</v>
      </c>
      <c r="C90" s="949">
        <v>0</v>
      </c>
      <c r="D90" s="951">
        <v>583933</v>
      </c>
      <c r="E90" s="946">
        <f t="shared" si="2"/>
        <v>583.93299999999999</v>
      </c>
    </row>
    <row r="91" spans="1:5" ht="12" thickBot="1" x14ac:dyDescent="0.25">
      <c r="A91" s="947">
        <v>5195953000</v>
      </c>
      <c r="B91" s="948" t="s">
        <v>959</v>
      </c>
      <c r="C91" s="949">
        <v>0</v>
      </c>
      <c r="D91" s="951">
        <v>1</v>
      </c>
      <c r="E91" s="946">
        <f t="shared" si="2"/>
        <v>1E-3</v>
      </c>
    </row>
    <row r="92" spans="1:5" ht="12" thickBot="1" x14ac:dyDescent="0.25">
      <c r="A92" s="947">
        <v>5199051000</v>
      </c>
      <c r="B92" s="948" t="s">
        <v>834</v>
      </c>
      <c r="C92" s="949">
        <v>0</v>
      </c>
      <c r="D92" s="951">
        <v>27977772</v>
      </c>
      <c r="E92" s="946">
        <f t="shared" si="2"/>
        <v>27977.772000000001</v>
      </c>
    </row>
    <row r="93" spans="1:5" ht="12" thickBot="1" x14ac:dyDescent="0.25">
      <c r="A93" s="947">
        <v>5315200000</v>
      </c>
      <c r="B93" s="948" t="s">
        <v>407</v>
      </c>
      <c r="C93" s="949">
        <v>0</v>
      </c>
      <c r="D93" s="951">
        <v>21729</v>
      </c>
      <c r="E93" s="946">
        <f t="shared" si="2"/>
        <v>21.728999999999999</v>
      </c>
    </row>
    <row r="94" spans="1:5" ht="12" thickBot="1" x14ac:dyDescent="0.25">
      <c r="A94" s="947">
        <v>5315950100</v>
      </c>
      <c r="B94" s="948" t="s">
        <v>280</v>
      </c>
      <c r="C94" s="949">
        <v>29425000</v>
      </c>
      <c r="D94" s="951">
        <v>27500000</v>
      </c>
      <c r="E94" s="946">
        <f t="shared" si="2"/>
        <v>27500</v>
      </c>
    </row>
    <row r="95" spans="1:5" ht="12" thickBot="1" x14ac:dyDescent="0.25">
      <c r="A95" s="947">
        <v>5395070000</v>
      </c>
      <c r="B95" s="948" t="s">
        <v>960</v>
      </c>
      <c r="C95" s="949">
        <v>60085850</v>
      </c>
      <c r="D95" s="951">
        <v>52965999</v>
      </c>
      <c r="E95" s="946">
        <f t="shared" si="2"/>
        <v>52965.999000000003</v>
      </c>
    </row>
    <row r="96" spans="1:5" ht="12" thickBot="1" x14ac:dyDescent="0.25">
      <c r="A96" s="947">
        <v>5395950000</v>
      </c>
      <c r="B96" s="948" t="s">
        <v>84</v>
      </c>
      <c r="C96" s="949">
        <v>3400000</v>
      </c>
      <c r="D96" s="951">
        <v>0</v>
      </c>
      <c r="E96" s="946">
        <f t="shared" si="2"/>
        <v>0</v>
      </c>
    </row>
    <row r="97" spans="1:5" ht="12" thickBot="1" x14ac:dyDescent="0.25">
      <c r="A97" s="947" t="s">
        <v>86</v>
      </c>
      <c r="B97" s="948" t="s">
        <v>961</v>
      </c>
      <c r="C97" s="949">
        <v>24541951</v>
      </c>
      <c r="D97" s="951">
        <v>15334884</v>
      </c>
      <c r="E97" s="946">
        <f t="shared" si="2"/>
        <v>15334.884</v>
      </c>
    </row>
    <row r="98" spans="1:5" ht="12" thickBot="1" x14ac:dyDescent="0.25">
      <c r="A98" s="947" t="s">
        <v>115</v>
      </c>
      <c r="B98" s="948" t="s">
        <v>962</v>
      </c>
      <c r="C98" s="949">
        <v>40819964</v>
      </c>
      <c r="D98" s="951">
        <v>23707215</v>
      </c>
      <c r="E98" s="946">
        <f t="shared" si="2"/>
        <v>23707.215</v>
      </c>
    </row>
    <row r="99" spans="1:5" ht="12" thickBot="1" x14ac:dyDescent="0.25">
      <c r="A99" s="947" t="s">
        <v>88</v>
      </c>
      <c r="B99" s="948" t="s">
        <v>963</v>
      </c>
      <c r="C99" s="949">
        <v>64677693</v>
      </c>
      <c r="D99" s="951">
        <v>39701396</v>
      </c>
      <c r="E99" s="946">
        <f t="shared" si="2"/>
        <v>39701.396000000001</v>
      </c>
    </row>
    <row r="100" spans="1:5" ht="12" thickBot="1" x14ac:dyDescent="0.25">
      <c r="A100" s="947" t="s">
        <v>90</v>
      </c>
      <c r="B100" s="948" t="s">
        <v>964</v>
      </c>
      <c r="C100" s="949">
        <v>27355859</v>
      </c>
      <c r="D100" s="951">
        <v>20836007</v>
      </c>
      <c r="E100" s="946">
        <f t="shared" si="2"/>
        <v>20836.007000000001</v>
      </c>
    </row>
    <row r="101" spans="1:5" ht="12" thickBot="1" x14ac:dyDescent="0.25">
      <c r="A101" s="947" t="s">
        <v>92</v>
      </c>
      <c r="B101" s="948" t="s">
        <v>93</v>
      </c>
      <c r="C101" s="949">
        <v>139626408</v>
      </c>
      <c r="D101" s="951">
        <v>81780012</v>
      </c>
      <c r="E101" s="946">
        <f t="shared" si="2"/>
        <v>81780.012000000002</v>
      </c>
    </row>
    <row r="102" spans="1:5" ht="12" thickBot="1" x14ac:dyDescent="0.25">
      <c r="A102" s="947" t="s">
        <v>94</v>
      </c>
      <c r="B102" s="948" t="s">
        <v>95</v>
      </c>
      <c r="C102" s="949">
        <v>451339302</v>
      </c>
      <c r="D102" s="951">
        <v>246554495</v>
      </c>
      <c r="E102" s="946">
        <f t="shared" si="2"/>
        <v>246554.495</v>
      </c>
    </row>
    <row r="103" spans="1:5" ht="12" thickBot="1" x14ac:dyDescent="0.25">
      <c r="A103" s="947" t="s">
        <v>117</v>
      </c>
      <c r="B103" s="948" t="s">
        <v>118</v>
      </c>
      <c r="C103" s="949">
        <v>10561752</v>
      </c>
      <c r="D103" s="951">
        <v>2890105</v>
      </c>
      <c r="E103" s="946">
        <f t="shared" si="2"/>
        <v>2890.105</v>
      </c>
    </row>
    <row r="104" spans="1:5" ht="12" thickBot="1" x14ac:dyDescent="0.25">
      <c r="A104" s="947" t="s">
        <v>119</v>
      </c>
      <c r="B104" s="948" t="s">
        <v>120</v>
      </c>
      <c r="C104" s="949">
        <v>56108443</v>
      </c>
      <c r="D104" s="951">
        <v>35269306</v>
      </c>
      <c r="E104" s="946">
        <f t="shared" si="2"/>
        <v>35269.305999999997</v>
      </c>
    </row>
    <row r="105" spans="1:5" ht="12" thickBot="1" x14ac:dyDescent="0.25">
      <c r="A105" s="947" t="s">
        <v>121</v>
      </c>
      <c r="B105" s="948" t="s">
        <v>122</v>
      </c>
      <c r="C105" s="949">
        <v>31311697</v>
      </c>
      <c r="D105" s="951">
        <v>15331422</v>
      </c>
      <c r="E105" s="946">
        <f t="shared" si="2"/>
        <v>15331.422</v>
      </c>
    </row>
    <row r="106" spans="1:5" ht="12" thickBot="1" x14ac:dyDescent="0.25">
      <c r="A106" s="947" t="s">
        <v>123</v>
      </c>
      <c r="B106" s="948" t="s">
        <v>124</v>
      </c>
      <c r="C106" s="949">
        <v>62930787</v>
      </c>
      <c r="D106" s="951">
        <v>38204236</v>
      </c>
      <c r="E106" s="946">
        <f t="shared" si="2"/>
        <v>38204.235999999997</v>
      </c>
    </row>
    <row r="107" spans="1:5" ht="12" thickBot="1" x14ac:dyDescent="0.25">
      <c r="A107" s="947" t="s">
        <v>125</v>
      </c>
      <c r="B107" s="948" t="s">
        <v>126</v>
      </c>
      <c r="C107" s="949">
        <v>8458572</v>
      </c>
      <c r="D107" s="951">
        <v>7078720</v>
      </c>
      <c r="E107" s="946">
        <f t="shared" si="2"/>
        <v>7078.72</v>
      </c>
    </row>
    <row r="108" spans="1:5" ht="12" thickBot="1" x14ac:dyDescent="0.25">
      <c r="A108" s="947" t="s">
        <v>127</v>
      </c>
      <c r="B108" s="948" t="s">
        <v>128</v>
      </c>
      <c r="C108" s="949">
        <v>33446296</v>
      </c>
      <c r="D108" s="951">
        <v>20276120</v>
      </c>
      <c r="E108" s="946">
        <f t="shared" si="2"/>
        <v>20276.12</v>
      </c>
    </row>
    <row r="109" spans="1:5" ht="12" thickBot="1" x14ac:dyDescent="0.25">
      <c r="A109" s="947" t="s">
        <v>96</v>
      </c>
      <c r="B109" s="948" t="s">
        <v>965</v>
      </c>
      <c r="C109" s="949">
        <v>264677007</v>
      </c>
      <c r="D109" s="951">
        <v>154059711</v>
      </c>
      <c r="E109" s="946">
        <f t="shared" si="2"/>
        <v>154059.71100000001</v>
      </c>
    </row>
    <row r="110" spans="1:5" ht="12" thickBot="1" x14ac:dyDescent="0.25">
      <c r="A110" s="947" t="s">
        <v>129</v>
      </c>
      <c r="B110" s="948" t="s">
        <v>130</v>
      </c>
      <c r="C110" s="949">
        <v>36517676</v>
      </c>
      <c r="D110" s="951">
        <v>26271719</v>
      </c>
      <c r="E110" s="946">
        <f t="shared" si="2"/>
        <v>26271.719000000001</v>
      </c>
    </row>
    <row r="111" spans="1:5" ht="12" thickBot="1" x14ac:dyDescent="0.25">
      <c r="A111" s="947" t="s">
        <v>363</v>
      </c>
      <c r="B111" s="948" t="s">
        <v>364</v>
      </c>
      <c r="C111" s="949">
        <v>229861912</v>
      </c>
      <c r="D111" s="951">
        <v>99005644</v>
      </c>
      <c r="E111" s="946">
        <f t="shared" si="2"/>
        <v>99005.644</v>
      </c>
    </row>
    <row r="112" spans="1:5" ht="12" thickBot="1" x14ac:dyDescent="0.25">
      <c r="A112" s="947" t="s">
        <v>365</v>
      </c>
      <c r="B112" s="948" t="s">
        <v>366</v>
      </c>
      <c r="C112" s="949">
        <v>1785390</v>
      </c>
      <c r="D112" s="951">
        <v>4020857</v>
      </c>
      <c r="E112" s="946">
        <f t="shared" si="2"/>
        <v>4020.857</v>
      </c>
    </row>
    <row r="113" spans="1:5" ht="12" thickBot="1" x14ac:dyDescent="0.25">
      <c r="A113" s="947" t="s">
        <v>367</v>
      </c>
      <c r="B113" s="948" t="s">
        <v>368</v>
      </c>
      <c r="C113" s="949">
        <v>42775092</v>
      </c>
      <c r="D113" s="951">
        <v>13614394</v>
      </c>
      <c r="E113" s="946">
        <f t="shared" si="2"/>
        <v>13614.394</v>
      </c>
    </row>
    <row r="114" spans="1:5" ht="12" thickBot="1" x14ac:dyDescent="0.25">
      <c r="A114" s="947" t="s">
        <v>131</v>
      </c>
      <c r="B114" s="948" t="s">
        <v>966</v>
      </c>
      <c r="C114" s="949">
        <v>114947168</v>
      </c>
      <c r="D114" s="951">
        <v>83051017</v>
      </c>
      <c r="E114" s="946">
        <f t="shared" si="2"/>
        <v>83051.017000000007</v>
      </c>
    </row>
    <row r="115" spans="1:5" ht="12" thickBot="1" x14ac:dyDescent="0.25">
      <c r="A115" s="947" t="s">
        <v>133</v>
      </c>
      <c r="B115" s="948" t="s">
        <v>134</v>
      </c>
      <c r="C115" s="949">
        <v>13575592</v>
      </c>
      <c r="D115" s="951">
        <v>6447431</v>
      </c>
      <c r="E115" s="946">
        <f t="shared" si="2"/>
        <v>6447.4309999999996</v>
      </c>
    </row>
    <row r="116" spans="1:5" ht="12" thickBot="1" x14ac:dyDescent="0.25">
      <c r="A116" s="947" t="s">
        <v>135</v>
      </c>
      <c r="B116" s="948" t="s">
        <v>136</v>
      </c>
      <c r="C116" s="949">
        <v>2914240000</v>
      </c>
      <c r="D116" s="951">
        <v>1792475800</v>
      </c>
      <c r="E116" s="946">
        <f t="shared" si="2"/>
        <v>1792475.8</v>
      </c>
    </row>
    <row r="117" spans="1:5" ht="12" thickBot="1" x14ac:dyDescent="0.25">
      <c r="A117" s="947" t="s">
        <v>98</v>
      </c>
      <c r="B117" s="948" t="s">
        <v>99</v>
      </c>
      <c r="C117" s="949">
        <v>260045426</v>
      </c>
      <c r="D117" s="951">
        <v>83576846</v>
      </c>
      <c r="E117" s="946">
        <f t="shared" si="2"/>
        <v>83576.846000000005</v>
      </c>
    </row>
    <row r="118" spans="1:5" ht="12" thickBot="1" x14ac:dyDescent="0.25">
      <c r="A118" s="947" t="s">
        <v>137</v>
      </c>
      <c r="B118" s="948" t="s">
        <v>138</v>
      </c>
      <c r="C118" s="949">
        <v>62438508</v>
      </c>
      <c r="D118" s="951">
        <v>35970919</v>
      </c>
      <c r="E118" s="946">
        <f t="shared" si="2"/>
        <v>35970.919000000002</v>
      </c>
    </row>
    <row r="119" spans="1:5" ht="12" thickBot="1" x14ac:dyDescent="0.25">
      <c r="A119" s="947" t="s">
        <v>102</v>
      </c>
      <c r="B119" s="948" t="s">
        <v>103</v>
      </c>
      <c r="C119" s="949">
        <v>109322499</v>
      </c>
      <c r="D119" s="951">
        <v>70640803</v>
      </c>
      <c r="E119" s="946">
        <f t="shared" si="2"/>
        <v>70640.803</v>
      </c>
    </row>
    <row r="120" spans="1:5" ht="12" thickBot="1" x14ac:dyDescent="0.25">
      <c r="A120" s="947" t="s">
        <v>100</v>
      </c>
      <c r="B120" s="948" t="s">
        <v>967</v>
      </c>
      <c r="C120" s="949">
        <v>191941261</v>
      </c>
      <c r="D120" s="951">
        <v>144398407</v>
      </c>
      <c r="E120" s="946">
        <f t="shared" si="2"/>
        <v>144398.40700000001</v>
      </c>
    </row>
    <row r="121" spans="1:5" ht="12" thickBot="1" x14ac:dyDescent="0.25">
      <c r="A121" s="947" t="s">
        <v>139</v>
      </c>
      <c r="B121" s="948" t="s">
        <v>140</v>
      </c>
      <c r="C121" s="949">
        <v>133460584</v>
      </c>
      <c r="D121" s="951">
        <v>86833890</v>
      </c>
      <c r="E121" s="946">
        <f t="shared" si="2"/>
        <v>86833.89</v>
      </c>
    </row>
    <row r="122" spans="1:5" ht="12" thickBot="1" x14ac:dyDescent="0.25">
      <c r="A122" s="947" t="s">
        <v>141</v>
      </c>
      <c r="B122" s="948" t="s">
        <v>142</v>
      </c>
      <c r="C122" s="949">
        <v>87560998</v>
      </c>
      <c r="D122" s="951">
        <v>49027037</v>
      </c>
      <c r="E122" s="946">
        <f t="shared" si="2"/>
        <v>49027.036999999997</v>
      </c>
    </row>
    <row r="123" spans="1:5" ht="12" thickBot="1" x14ac:dyDescent="0.25">
      <c r="A123" s="947" t="s">
        <v>143</v>
      </c>
      <c r="B123" s="948" t="s">
        <v>144</v>
      </c>
      <c r="C123" s="949">
        <v>49213</v>
      </c>
      <c r="D123" s="951">
        <v>36404</v>
      </c>
      <c r="E123" s="946">
        <f t="shared" si="2"/>
        <v>36.404000000000003</v>
      </c>
    </row>
    <row r="124" spans="1:5" ht="12" thickBot="1" x14ac:dyDescent="0.25">
      <c r="A124" s="947" t="s">
        <v>145</v>
      </c>
      <c r="B124" s="948" t="s">
        <v>146</v>
      </c>
      <c r="C124" s="949">
        <v>26125129</v>
      </c>
      <c r="D124" s="951">
        <v>64471763</v>
      </c>
      <c r="E124" s="946">
        <f t="shared" si="2"/>
        <v>64471.762999999999</v>
      </c>
    </row>
    <row r="125" spans="1:5" ht="12" thickBot="1" x14ac:dyDescent="0.25">
      <c r="A125" s="947" t="s">
        <v>835</v>
      </c>
      <c r="B125" s="948" t="s">
        <v>836</v>
      </c>
      <c r="C125" s="949">
        <v>7140224</v>
      </c>
      <c r="D125" s="951">
        <v>4055850</v>
      </c>
      <c r="E125" s="946">
        <f t="shared" si="2"/>
        <v>4055.85</v>
      </c>
    </row>
    <row r="126" spans="1:5" ht="12" thickBot="1" x14ac:dyDescent="0.25">
      <c r="A126" s="947" t="s">
        <v>837</v>
      </c>
      <c r="B126" s="948" t="s">
        <v>838</v>
      </c>
      <c r="C126" s="949">
        <v>1187200</v>
      </c>
      <c r="D126" s="951">
        <v>495000</v>
      </c>
      <c r="E126" s="946">
        <f t="shared" si="2"/>
        <v>495</v>
      </c>
    </row>
    <row r="127" spans="1:5" ht="12" thickBot="1" x14ac:dyDescent="0.25">
      <c r="A127" s="947" t="s">
        <v>260</v>
      </c>
      <c r="B127" s="948" t="s">
        <v>362</v>
      </c>
      <c r="C127" s="949">
        <v>603951040</v>
      </c>
      <c r="D127" s="951">
        <v>309150000</v>
      </c>
      <c r="E127" s="946">
        <f t="shared" si="2"/>
        <v>309150</v>
      </c>
    </row>
    <row r="128" spans="1:5" ht="12" thickBot="1" x14ac:dyDescent="0.25">
      <c r="A128" s="947" t="s">
        <v>421</v>
      </c>
      <c r="B128" s="948" t="s">
        <v>422</v>
      </c>
      <c r="C128" s="949">
        <v>28454852</v>
      </c>
      <c r="D128" s="951">
        <v>18815859</v>
      </c>
      <c r="E128" s="946">
        <f t="shared" si="2"/>
        <v>18815.859</v>
      </c>
    </row>
    <row r="129" spans="1:5" ht="12" thickBot="1" x14ac:dyDescent="0.25">
      <c r="A129" s="947" t="s">
        <v>521</v>
      </c>
      <c r="B129" s="948" t="s">
        <v>968</v>
      </c>
      <c r="C129" s="949">
        <v>388937000</v>
      </c>
      <c r="D129" s="951">
        <v>15454800</v>
      </c>
      <c r="E129" s="946">
        <f t="shared" si="2"/>
        <v>15454.8</v>
      </c>
    </row>
    <row r="130" spans="1:5" ht="12" thickBot="1" x14ac:dyDescent="0.25">
      <c r="A130" s="947" t="s">
        <v>643</v>
      </c>
      <c r="B130" s="948" t="s">
        <v>969</v>
      </c>
      <c r="C130" s="949">
        <v>2487711846</v>
      </c>
      <c r="D130" s="951">
        <v>1263529227</v>
      </c>
      <c r="E130" s="946">
        <f t="shared" si="2"/>
        <v>1263529.227</v>
      </c>
    </row>
    <row r="131" spans="1:5" ht="12" thickBot="1" x14ac:dyDescent="0.25">
      <c r="A131" s="947" t="s">
        <v>423</v>
      </c>
      <c r="B131" s="948" t="s">
        <v>424</v>
      </c>
      <c r="C131" s="949">
        <v>486806000</v>
      </c>
      <c r="D131" s="951">
        <v>241096766</v>
      </c>
      <c r="E131" s="946">
        <f t="shared" si="2"/>
        <v>241096.766</v>
      </c>
    </row>
    <row r="132" spans="1:5" ht="12" thickBot="1" x14ac:dyDescent="0.25">
      <c r="A132" s="947" t="s">
        <v>648</v>
      </c>
      <c r="B132" s="948" t="s">
        <v>970</v>
      </c>
      <c r="C132" s="949">
        <v>710774813</v>
      </c>
      <c r="D132" s="951">
        <v>361008350</v>
      </c>
      <c r="E132" s="946">
        <f t="shared" si="2"/>
        <v>361008.35</v>
      </c>
    </row>
    <row r="133" spans="1:5" ht="12" thickBot="1" x14ac:dyDescent="0.25">
      <c r="A133" s="947" t="s">
        <v>369</v>
      </c>
      <c r="B133" s="948" t="s">
        <v>370</v>
      </c>
      <c r="C133" s="949">
        <v>1984062</v>
      </c>
      <c r="D133" s="951">
        <v>1280588</v>
      </c>
      <c r="E133" s="946">
        <f t="shared" si="2"/>
        <v>1280.588</v>
      </c>
    </row>
    <row r="134" spans="1:5" ht="12" thickBot="1" x14ac:dyDescent="0.25">
      <c r="A134" s="947" t="s">
        <v>147</v>
      </c>
      <c r="B134" s="948" t="s">
        <v>148</v>
      </c>
      <c r="C134" s="949">
        <v>80071022</v>
      </c>
      <c r="D134" s="951">
        <v>47061616</v>
      </c>
      <c r="E134" s="946">
        <f t="shared" si="2"/>
        <v>47061.616000000002</v>
      </c>
    </row>
    <row r="135" spans="1:5" ht="12" thickBot="1" x14ac:dyDescent="0.25">
      <c r="A135" s="947" t="s">
        <v>104</v>
      </c>
      <c r="B135" s="948" t="s">
        <v>105</v>
      </c>
      <c r="C135" s="949">
        <v>212558246</v>
      </c>
      <c r="D135" s="951">
        <v>193643473</v>
      </c>
      <c r="E135" s="946">
        <f t="shared" si="2"/>
        <v>193643.473</v>
      </c>
    </row>
    <row r="136" spans="1:5" ht="12" thickBot="1" x14ac:dyDescent="0.25">
      <c r="A136" s="947" t="s">
        <v>149</v>
      </c>
      <c r="B136" s="948" t="s">
        <v>971</v>
      </c>
      <c r="C136" s="949">
        <v>45178654</v>
      </c>
      <c r="D136" s="951">
        <v>27131948</v>
      </c>
      <c r="E136" s="946">
        <f t="shared" si="2"/>
        <v>27131.948</v>
      </c>
    </row>
    <row r="137" spans="1:5" s="957" customFormat="1" ht="12" thickBot="1" x14ac:dyDescent="0.25">
      <c r="A137" s="963"/>
      <c r="B137" s="964"/>
      <c r="C137" s="965"/>
      <c r="D137" s="966"/>
      <c r="E137" s="956">
        <f>SUM(E26:E136)</f>
        <v>18885950.376999997</v>
      </c>
    </row>
    <row r="138" spans="1:5" s="957" customFormat="1" ht="12" thickBot="1" x14ac:dyDescent="0.25">
      <c r="A138" s="963"/>
      <c r="B138" s="964"/>
      <c r="C138" s="965"/>
      <c r="D138" s="966"/>
      <c r="E138" s="956">
        <f>+E25-E137</f>
        <v>5254629.576000005</v>
      </c>
    </row>
    <row r="139" spans="1:5" ht="12" thickBot="1" x14ac:dyDescent="0.25">
      <c r="A139" s="967"/>
      <c r="B139" s="968"/>
      <c r="C139" s="969"/>
      <c r="D139" s="970"/>
      <c r="E139" s="970"/>
    </row>
  </sheetData>
  <pageMargins left="0.7" right="0.7" top="0.75" bottom="0.75" header="0.3" footer="0.3"/>
  <ignoredErrors>
    <ignoredError sqref="E2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40"/>
  <sheetViews>
    <sheetView showGridLines="0" workbookViewId="0">
      <selection activeCell="E327" sqref="E327"/>
    </sheetView>
  </sheetViews>
  <sheetFormatPr baseColWidth="10" defaultRowHeight="16.5" customHeight="1" outlineLevelRow="1" x14ac:dyDescent="0.2"/>
  <cols>
    <col min="1" max="1" width="16.140625" style="196" customWidth="1"/>
    <col min="2" max="2" width="41.5703125" style="223" bestFit="1" customWidth="1"/>
    <col min="3" max="3" width="16.140625" style="224" customWidth="1"/>
    <col min="4" max="5" width="19" style="224" customWidth="1"/>
    <col min="6" max="6" width="57.140625" style="542" customWidth="1"/>
    <col min="7" max="8" width="14" style="196" bestFit="1" customWidth="1"/>
    <col min="9" max="16384" width="11.42578125" style="196"/>
  </cols>
  <sheetData>
    <row r="1" spans="1:8" ht="60" customHeight="1" x14ac:dyDescent="0.25">
      <c r="B1" s="545"/>
      <c r="C1" s="611"/>
      <c r="D1" s="611"/>
      <c r="E1" s="714"/>
    </row>
    <row r="2" spans="1:8" ht="18" customHeight="1" x14ac:dyDescent="0.25">
      <c r="B2" s="1081" t="str">
        <f>+PRESUPUESTO!B2</f>
        <v>MEDICINA PREGRADO</v>
      </c>
      <c r="C2" s="1081"/>
      <c r="D2" s="1081"/>
      <c r="E2" s="1081"/>
      <c r="G2" s="621"/>
      <c r="H2" s="622"/>
    </row>
    <row r="3" spans="1:8" ht="12.75" customHeight="1" thickBot="1" x14ac:dyDescent="0.25">
      <c r="A3" s="197"/>
      <c r="B3" s="198" t="s">
        <v>432</v>
      </c>
      <c r="C3" s="199" t="s">
        <v>169</v>
      </c>
      <c r="D3" s="199"/>
      <c r="E3" s="199"/>
    </row>
    <row r="4" spans="1:8" s="201" customFormat="1" ht="18.75" customHeight="1" x14ac:dyDescent="0.2">
      <c r="B4" s="1082" t="s">
        <v>230</v>
      </c>
      <c r="C4" s="1079" t="s">
        <v>853</v>
      </c>
      <c r="D4" s="1079" t="s">
        <v>855</v>
      </c>
      <c r="E4" s="1134" t="s">
        <v>840</v>
      </c>
      <c r="F4" s="1077" t="s">
        <v>657</v>
      </c>
    </row>
    <row r="5" spans="1:8" ht="20.25" customHeight="1" thickBot="1" x14ac:dyDescent="0.25">
      <c r="B5" s="1083"/>
      <c r="C5" s="1080"/>
      <c r="D5" s="1133"/>
      <c r="E5" s="1134"/>
      <c r="F5" s="1077"/>
    </row>
    <row r="6" spans="1:8" customFormat="1" ht="12.75" x14ac:dyDescent="0.2">
      <c r="A6" s="2"/>
      <c r="B6" s="202" t="s">
        <v>0</v>
      </c>
      <c r="C6" s="203"/>
      <c r="D6" s="620"/>
      <c r="E6" s="773"/>
      <c r="F6" s="543"/>
    </row>
    <row r="7" spans="1:8" customFormat="1" ht="12.75" hidden="1" outlineLevel="1" x14ac:dyDescent="0.2">
      <c r="A7" s="2"/>
      <c r="B7" s="206" t="s">
        <v>291</v>
      </c>
      <c r="C7" s="203"/>
      <c r="D7" s="203"/>
      <c r="E7" s="774"/>
      <c r="F7" s="543"/>
    </row>
    <row r="8" spans="1:8" customFormat="1" ht="13.5" hidden="1" customHeight="1" outlineLevel="1" x14ac:dyDescent="0.2">
      <c r="A8" s="176">
        <v>4160050100</v>
      </c>
      <c r="B8" s="207" t="s">
        <v>1</v>
      </c>
      <c r="C8" s="226">
        <f>+PRESUPUESTO!G8</f>
        <v>38236196.409999996</v>
      </c>
      <c r="D8" s="226">
        <f>+EDUC.CONT.!V8/1000</f>
        <v>1489791.828</v>
      </c>
      <c r="E8" s="775">
        <f>+C8+D8</f>
        <v>39725988.237999998</v>
      </c>
      <c r="F8" s="543"/>
    </row>
    <row r="9" spans="1:8" customFormat="1" ht="13.5" hidden="1" customHeight="1" outlineLevel="1" x14ac:dyDescent="0.2">
      <c r="A9" s="610">
        <v>4160050200</v>
      </c>
      <c r="B9" s="207" t="s">
        <v>769</v>
      </c>
      <c r="C9" s="607">
        <f>+PRESUPUESTO!G9</f>
        <v>0</v>
      </c>
      <c r="D9" s="607"/>
      <c r="E9" s="776">
        <f t="shared" ref="E9:E72" si="0">+C9+D9</f>
        <v>0</v>
      </c>
      <c r="F9" s="543"/>
    </row>
    <row r="10" spans="1:8" customFormat="1" ht="12.75" hidden="1" outlineLevel="1" x14ac:dyDescent="0.2">
      <c r="A10" s="3">
        <v>4160050300</v>
      </c>
      <c r="B10" s="207" t="s">
        <v>3</v>
      </c>
      <c r="C10" s="225">
        <f>+PRESUPUESTO!G10</f>
        <v>137205</v>
      </c>
      <c r="D10" s="225"/>
      <c r="E10" s="777">
        <f t="shared" si="0"/>
        <v>137205</v>
      </c>
      <c r="F10" s="543"/>
    </row>
    <row r="11" spans="1:8" customFormat="1" ht="12.75" hidden="1" outlineLevel="1" x14ac:dyDescent="0.2">
      <c r="A11" s="608">
        <v>4160050500</v>
      </c>
      <c r="B11" s="207" t="s">
        <v>741</v>
      </c>
      <c r="C11" s="225">
        <f>+PRESUPUESTO!G11</f>
        <v>0</v>
      </c>
      <c r="D11" s="225"/>
      <c r="E11" s="777">
        <f t="shared" si="0"/>
        <v>0</v>
      </c>
      <c r="F11" s="543"/>
    </row>
    <row r="12" spans="1:8" customFormat="1" ht="12.75" hidden="1" outlineLevel="1" x14ac:dyDescent="0.2">
      <c r="A12" s="3">
        <v>4160050600</v>
      </c>
      <c r="B12" s="207" t="s">
        <v>4</v>
      </c>
      <c r="C12" s="225">
        <f>+PRESUPUESTO!G12</f>
        <v>25863.600000000002</v>
      </c>
      <c r="D12" s="225"/>
      <c r="E12" s="777">
        <f t="shared" si="0"/>
        <v>25863.600000000002</v>
      </c>
      <c r="F12" s="543"/>
    </row>
    <row r="13" spans="1:8" customFormat="1" ht="12.75" hidden="1" outlineLevel="1" x14ac:dyDescent="0.2">
      <c r="A13" s="3">
        <v>4160050700</v>
      </c>
      <c r="B13" s="207" t="s">
        <v>5</v>
      </c>
      <c r="C13" s="225">
        <f>+PRESUPUESTO!G13</f>
        <v>41475</v>
      </c>
      <c r="D13" s="225"/>
      <c r="E13" s="777">
        <f t="shared" si="0"/>
        <v>41475</v>
      </c>
      <c r="F13" s="543"/>
    </row>
    <row r="14" spans="1:8" customFormat="1" ht="12.75" hidden="1" outlineLevel="1" x14ac:dyDescent="0.2">
      <c r="A14" s="3">
        <v>4160050800</v>
      </c>
      <c r="B14" s="207" t="s">
        <v>744</v>
      </c>
      <c r="C14" s="225">
        <f>+PRESUPUESTO!G14</f>
        <v>0</v>
      </c>
      <c r="D14" s="225"/>
      <c r="E14" s="777">
        <f t="shared" si="0"/>
        <v>0</v>
      </c>
      <c r="F14" s="543"/>
    </row>
    <row r="15" spans="1:8" customFormat="1" ht="12.75" hidden="1" outlineLevel="1" x14ac:dyDescent="0.2">
      <c r="A15" s="3">
        <v>4160050900</v>
      </c>
      <c r="B15" s="207" t="s">
        <v>6</v>
      </c>
      <c r="C15" s="225">
        <f>+PRESUPUESTO!G15</f>
        <v>6352.5</v>
      </c>
      <c r="D15" s="225"/>
      <c r="E15" s="777">
        <f t="shared" si="0"/>
        <v>6352.5</v>
      </c>
      <c r="F15" s="543"/>
    </row>
    <row r="16" spans="1:8" customFormat="1" ht="12.75" hidden="1" outlineLevel="1" x14ac:dyDescent="0.2">
      <c r="A16" s="3">
        <v>4160051100</v>
      </c>
      <c r="B16" s="207" t="s">
        <v>7</v>
      </c>
      <c r="C16" s="225">
        <f>+PRESUPUESTO!G16</f>
        <v>3255</v>
      </c>
      <c r="D16" s="225"/>
      <c r="E16" s="777">
        <f t="shared" si="0"/>
        <v>3255</v>
      </c>
      <c r="F16" s="543"/>
    </row>
    <row r="17" spans="1:6" customFormat="1" ht="12.75" hidden="1" outlineLevel="1" x14ac:dyDescent="0.2">
      <c r="A17" s="3">
        <v>4160051200</v>
      </c>
      <c r="B17" s="207" t="s">
        <v>8</v>
      </c>
      <c r="C17" s="225">
        <f>+PRESUPUESTO!G17</f>
        <v>14587.650000000001</v>
      </c>
      <c r="D17" s="225"/>
      <c r="E17" s="777">
        <f t="shared" si="0"/>
        <v>14587.650000000001</v>
      </c>
      <c r="F17" s="543"/>
    </row>
    <row r="18" spans="1:6" customFormat="1" ht="12.75" hidden="1" outlineLevel="1" x14ac:dyDescent="0.2">
      <c r="A18" s="3">
        <v>4160051300</v>
      </c>
      <c r="B18" s="207" t="s">
        <v>284</v>
      </c>
      <c r="C18" s="225">
        <f>+PRESUPUESTO!G18</f>
        <v>0</v>
      </c>
      <c r="D18" s="225"/>
      <c r="E18" s="777">
        <f t="shared" si="0"/>
        <v>0</v>
      </c>
      <c r="F18" s="543"/>
    </row>
    <row r="19" spans="1:6" customFormat="1" ht="12.75" hidden="1" outlineLevel="1" x14ac:dyDescent="0.2">
      <c r="A19" s="3">
        <v>4160053000</v>
      </c>
      <c r="B19" s="207" t="s">
        <v>9</v>
      </c>
      <c r="C19" s="225">
        <f>+PRESUPUESTO!G19</f>
        <v>-168147</v>
      </c>
      <c r="D19" s="225"/>
      <c r="E19" s="777">
        <f t="shared" si="0"/>
        <v>-168147</v>
      </c>
      <c r="F19" s="543"/>
    </row>
    <row r="20" spans="1:6" customFormat="1" ht="12.75" hidden="1" outlineLevel="1" x14ac:dyDescent="0.2">
      <c r="A20" s="3">
        <v>4160950100</v>
      </c>
      <c r="B20" s="207" t="s">
        <v>10</v>
      </c>
      <c r="C20" s="225">
        <f>+PRESUPUESTO!G20</f>
        <v>0</v>
      </c>
      <c r="D20" s="225"/>
      <c r="E20" s="777">
        <f t="shared" si="0"/>
        <v>0</v>
      </c>
      <c r="F20" s="543"/>
    </row>
    <row r="21" spans="1:6" customFormat="1" ht="12.75" hidden="1" outlineLevel="1" x14ac:dyDescent="0.2">
      <c r="A21" s="3">
        <v>4160950200</v>
      </c>
      <c r="B21" s="207" t="s">
        <v>292</v>
      </c>
      <c r="C21" s="225">
        <f>+PRESUPUESTO!G21</f>
        <v>0</v>
      </c>
      <c r="D21" s="225"/>
      <c r="E21" s="777">
        <f t="shared" si="0"/>
        <v>0</v>
      </c>
      <c r="F21" s="543"/>
    </row>
    <row r="22" spans="1:6" customFormat="1" ht="12.75" hidden="1" outlineLevel="1" x14ac:dyDescent="0.2">
      <c r="A22" s="3">
        <v>4160950300</v>
      </c>
      <c r="B22" s="207" t="s">
        <v>293</v>
      </c>
      <c r="C22" s="225">
        <f>+PRESUPUESTO!G22</f>
        <v>0</v>
      </c>
      <c r="D22" s="225"/>
      <c r="E22" s="777">
        <f t="shared" si="0"/>
        <v>0</v>
      </c>
      <c r="F22" s="543"/>
    </row>
    <row r="23" spans="1:6" customFormat="1" ht="12.75" hidden="1" outlineLevel="1" x14ac:dyDescent="0.2">
      <c r="A23" s="3">
        <v>4160950400</v>
      </c>
      <c r="B23" s="207" t="s">
        <v>294</v>
      </c>
      <c r="C23" s="225">
        <f>+PRESUPUESTO!G23</f>
        <v>0</v>
      </c>
      <c r="D23" s="225"/>
      <c r="E23" s="777">
        <f t="shared" si="0"/>
        <v>0</v>
      </c>
      <c r="F23" s="543"/>
    </row>
    <row r="24" spans="1:6" customFormat="1" ht="12.75" hidden="1" outlineLevel="1" x14ac:dyDescent="0.2">
      <c r="A24" s="3">
        <v>4160950500</v>
      </c>
      <c r="B24" s="207" t="s">
        <v>11</v>
      </c>
      <c r="C24" s="225">
        <f>+PRESUPUESTO!G24</f>
        <v>945</v>
      </c>
      <c r="D24" s="225"/>
      <c r="E24" s="777">
        <f t="shared" si="0"/>
        <v>945</v>
      </c>
      <c r="F24" s="543"/>
    </row>
    <row r="25" spans="1:6" customFormat="1" ht="12.75" hidden="1" outlineLevel="1" x14ac:dyDescent="0.2">
      <c r="A25" s="3">
        <v>4160950600</v>
      </c>
      <c r="B25" s="207" t="s">
        <v>12</v>
      </c>
      <c r="C25" s="225">
        <f>+PRESUPUESTO!G25</f>
        <v>0</v>
      </c>
      <c r="D25" s="225"/>
      <c r="E25" s="777">
        <f t="shared" si="0"/>
        <v>0</v>
      </c>
      <c r="F25" s="543"/>
    </row>
    <row r="26" spans="1:6" customFormat="1" ht="12.75" hidden="1" outlineLevel="1" x14ac:dyDescent="0.2">
      <c r="A26" s="3">
        <v>4160950700</v>
      </c>
      <c r="B26" s="207" t="s">
        <v>295</v>
      </c>
      <c r="C26" s="225">
        <f>+PRESUPUESTO!G26</f>
        <v>0</v>
      </c>
      <c r="D26" s="225"/>
      <c r="E26" s="777">
        <f t="shared" si="0"/>
        <v>0</v>
      </c>
      <c r="F26" s="543"/>
    </row>
    <row r="27" spans="1:6" customFormat="1" ht="12.75" hidden="1" outlineLevel="1" x14ac:dyDescent="0.2">
      <c r="A27" s="608">
        <v>4160950800</v>
      </c>
      <c r="B27" s="207" t="s">
        <v>742</v>
      </c>
      <c r="C27" s="609">
        <f>+PRESUPUESTO!G27</f>
        <v>0</v>
      </c>
      <c r="D27" s="225"/>
      <c r="E27" s="777">
        <f t="shared" si="0"/>
        <v>0</v>
      </c>
      <c r="F27" s="543"/>
    </row>
    <row r="28" spans="1:6" customFormat="1" ht="12.75" hidden="1" outlineLevel="1" x14ac:dyDescent="0.2">
      <c r="A28" s="608">
        <v>4160951000</v>
      </c>
      <c r="B28" s="207" t="s">
        <v>743</v>
      </c>
      <c r="C28" s="609">
        <f>+PRESUPUESTO!G28</f>
        <v>0</v>
      </c>
      <c r="D28" s="225"/>
      <c r="E28" s="777">
        <f t="shared" si="0"/>
        <v>0</v>
      </c>
      <c r="F28" s="543"/>
    </row>
    <row r="29" spans="1:6" customFormat="1" ht="12.75" collapsed="1" x14ac:dyDescent="0.2">
      <c r="A29" s="176"/>
      <c r="B29" s="209" t="s">
        <v>13</v>
      </c>
      <c r="C29" s="540">
        <f>SUM(C8:C28)</f>
        <v>38297733.159999996</v>
      </c>
      <c r="D29" s="210">
        <f>SUM(D8:D28)</f>
        <v>1489791.828</v>
      </c>
      <c r="E29" s="778">
        <f t="shared" si="0"/>
        <v>39787524.987999998</v>
      </c>
      <c r="F29" s="543"/>
    </row>
    <row r="30" spans="1:6" customFormat="1" ht="12.75" x14ac:dyDescent="0.2">
      <c r="A30" s="176"/>
      <c r="B30" s="206" t="s">
        <v>296</v>
      </c>
      <c r="C30" s="208" t="s">
        <v>169</v>
      </c>
      <c r="D30" s="208"/>
      <c r="E30" s="779"/>
      <c r="F30" s="543"/>
    </row>
    <row r="31" spans="1:6" customFormat="1" ht="12.75" x14ac:dyDescent="0.2">
      <c r="A31" s="176"/>
      <c r="B31" s="212" t="s">
        <v>297</v>
      </c>
      <c r="C31" s="208" t="s">
        <v>169</v>
      </c>
      <c r="D31" s="208"/>
      <c r="E31" s="779"/>
      <c r="F31" s="543"/>
    </row>
    <row r="32" spans="1:6" customFormat="1" ht="12.75" hidden="1" outlineLevel="1" x14ac:dyDescent="0.2">
      <c r="A32" s="176"/>
      <c r="B32" s="212" t="s">
        <v>298</v>
      </c>
      <c r="C32" s="208"/>
      <c r="D32" s="208"/>
      <c r="E32" s="779">
        <f t="shared" si="0"/>
        <v>0</v>
      </c>
      <c r="F32" s="543"/>
    </row>
    <row r="33" spans="1:6" customFormat="1" ht="12.75" hidden="1" outlineLevel="1" x14ac:dyDescent="0.2">
      <c r="A33" s="610">
        <v>5105030000</v>
      </c>
      <c r="B33" s="207" t="s">
        <v>770</v>
      </c>
      <c r="C33" s="208">
        <f>+PRESUPUESTO!G33</f>
        <v>0</v>
      </c>
      <c r="D33" s="208"/>
      <c r="E33" s="779">
        <f t="shared" si="0"/>
        <v>0</v>
      </c>
      <c r="F33" s="543"/>
    </row>
    <row r="34" spans="1:6" customFormat="1" ht="12.75" hidden="1" outlineLevel="1" x14ac:dyDescent="0.2">
      <c r="A34" s="176">
        <v>5105060000</v>
      </c>
      <c r="B34" s="207" t="s">
        <v>20</v>
      </c>
      <c r="C34" s="226">
        <f>+PRESUPUESTO!G34</f>
        <v>9958297.7666666657</v>
      </c>
      <c r="D34" s="607"/>
      <c r="E34" s="776">
        <f t="shared" si="0"/>
        <v>9958297.7666666657</v>
      </c>
      <c r="F34" s="543"/>
    </row>
    <row r="35" spans="1:6" customFormat="1" ht="12.75" hidden="1" outlineLevel="1" x14ac:dyDescent="0.2">
      <c r="A35" s="176">
        <v>5105150000</v>
      </c>
      <c r="B35" s="207" t="s">
        <v>21</v>
      </c>
      <c r="C35" s="225">
        <f>+PRESUPUESTO!G35</f>
        <v>0</v>
      </c>
      <c r="D35" s="607"/>
      <c r="E35" s="776">
        <f t="shared" si="0"/>
        <v>0</v>
      </c>
      <c r="F35" s="543"/>
    </row>
    <row r="36" spans="1:6" customFormat="1" ht="12.75" hidden="1" outlineLevel="1" x14ac:dyDescent="0.2">
      <c r="A36" s="176">
        <v>5105240000</v>
      </c>
      <c r="B36" s="207" t="s">
        <v>22</v>
      </c>
      <c r="C36" s="225">
        <f>+PRESUPUESTO!G36</f>
        <v>0</v>
      </c>
      <c r="D36" s="607"/>
      <c r="E36" s="776">
        <f t="shared" si="0"/>
        <v>0</v>
      </c>
      <c r="F36" s="543"/>
    </row>
    <row r="37" spans="1:6" customFormat="1" ht="12.75" hidden="1" outlineLevel="1" x14ac:dyDescent="0.2">
      <c r="A37" s="176">
        <v>5105250000</v>
      </c>
      <c r="B37" s="207" t="s">
        <v>739</v>
      </c>
      <c r="C37" s="225">
        <f>+PRESUPUESTO!G37</f>
        <v>0</v>
      </c>
      <c r="D37" s="607"/>
      <c r="E37" s="776">
        <f t="shared" si="0"/>
        <v>0</v>
      </c>
      <c r="F37" s="543"/>
    </row>
    <row r="38" spans="1:6" customFormat="1" ht="12.75" hidden="1" outlineLevel="1" x14ac:dyDescent="0.2">
      <c r="A38" s="176">
        <v>5105270000</v>
      </c>
      <c r="B38" s="207" t="s">
        <v>23</v>
      </c>
      <c r="C38" s="226">
        <f>+PRESUPUESTO!G38</f>
        <v>44699.454066666658</v>
      </c>
      <c r="D38" s="607"/>
      <c r="E38" s="776">
        <f t="shared" si="0"/>
        <v>44699.454066666658</v>
      </c>
      <c r="F38" s="543"/>
    </row>
    <row r="39" spans="1:6" customFormat="1" ht="12.75" hidden="1" outlineLevel="1" x14ac:dyDescent="0.2">
      <c r="A39" s="176">
        <v>5105300000</v>
      </c>
      <c r="B39" s="207" t="s">
        <v>24</v>
      </c>
      <c r="C39" s="226">
        <f>+PRESUPUESTO!G39</f>
        <v>1779426.2457092593</v>
      </c>
      <c r="D39" s="607"/>
      <c r="E39" s="776">
        <f t="shared" si="0"/>
        <v>1779426.2457092593</v>
      </c>
      <c r="F39" s="543"/>
    </row>
    <row r="40" spans="1:6" customFormat="1" ht="12.75" hidden="1" outlineLevel="1" x14ac:dyDescent="0.2">
      <c r="A40" s="176">
        <v>5105330000</v>
      </c>
      <c r="B40" s="207" t="s">
        <v>25</v>
      </c>
      <c r="C40" s="226">
        <f>+PRESUPUESTO!G40</f>
        <v>342998.72506909561</v>
      </c>
      <c r="D40" s="607"/>
      <c r="E40" s="776">
        <f t="shared" si="0"/>
        <v>342998.72506909561</v>
      </c>
      <c r="F40" s="543"/>
    </row>
    <row r="41" spans="1:6" customFormat="1" ht="12.75" hidden="1" outlineLevel="1" x14ac:dyDescent="0.2">
      <c r="A41" s="176">
        <v>5105360000</v>
      </c>
      <c r="B41" s="207" t="s">
        <v>26</v>
      </c>
      <c r="C41" s="226">
        <f>+PRESUPUESTO!G41</f>
        <v>879426.24600000004</v>
      </c>
      <c r="D41" s="607"/>
      <c r="E41" s="776">
        <f t="shared" si="0"/>
        <v>879426.24600000004</v>
      </c>
      <c r="F41" s="543"/>
    </row>
    <row r="42" spans="1:6" customFormat="1" ht="12.75" hidden="1" outlineLevel="1" x14ac:dyDescent="0.2">
      <c r="A42" s="176">
        <v>5105390000</v>
      </c>
      <c r="B42" s="207" t="s">
        <v>27</v>
      </c>
      <c r="C42" s="226">
        <f>+PRESUPUESTO!G42</f>
        <v>710117.72777777771</v>
      </c>
      <c r="D42" s="607"/>
      <c r="E42" s="776">
        <f t="shared" si="0"/>
        <v>710117.72777777771</v>
      </c>
      <c r="F42" s="543"/>
    </row>
    <row r="43" spans="1:6" customFormat="1" ht="12.75" hidden="1" outlineLevel="1" x14ac:dyDescent="0.2">
      <c r="A43" s="176">
        <v>5105420000</v>
      </c>
      <c r="B43" s="207" t="s">
        <v>505</v>
      </c>
      <c r="C43" s="225">
        <f>+PRESUPUESTO!G43</f>
        <v>0</v>
      </c>
      <c r="D43" s="607"/>
      <c r="E43" s="776">
        <f t="shared" si="0"/>
        <v>0</v>
      </c>
      <c r="F43" s="543"/>
    </row>
    <row r="44" spans="1:6" customFormat="1" ht="12.75" hidden="1" outlineLevel="1" x14ac:dyDescent="0.2">
      <c r="A44" s="176">
        <v>5105450000</v>
      </c>
      <c r="B44" s="207" t="s">
        <v>28</v>
      </c>
      <c r="C44" s="225">
        <f>+PRESUPUESTO!G44</f>
        <v>0</v>
      </c>
      <c r="D44" s="607"/>
      <c r="E44" s="776">
        <f t="shared" si="0"/>
        <v>0</v>
      </c>
      <c r="F44" s="543"/>
    </row>
    <row r="45" spans="1:6" customFormat="1" ht="12.75" hidden="1" outlineLevel="1" x14ac:dyDescent="0.2">
      <c r="A45" s="176">
        <v>5105480000</v>
      </c>
      <c r="B45" s="207" t="s">
        <v>425</v>
      </c>
      <c r="C45" s="225">
        <f>+PRESUPUESTO!G45</f>
        <v>0</v>
      </c>
      <c r="D45" s="607"/>
      <c r="E45" s="776">
        <f t="shared" si="0"/>
        <v>0</v>
      </c>
      <c r="F45" s="543"/>
    </row>
    <row r="46" spans="1:6" customFormat="1" ht="12.75" hidden="1" outlineLevel="1" x14ac:dyDescent="0.2">
      <c r="A46" s="176">
        <v>5105510000</v>
      </c>
      <c r="B46" s="207" t="s">
        <v>29</v>
      </c>
      <c r="C46" s="225">
        <f>+PRESUPUESTO!G46</f>
        <v>12069.75</v>
      </c>
      <c r="D46" s="607"/>
      <c r="E46" s="776">
        <f t="shared" si="0"/>
        <v>12069.75</v>
      </c>
      <c r="F46" s="543"/>
    </row>
    <row r="47" spans="1:6" customFormat="1" ht="12.75" hidden="1" outlineLevel="1" x14ac:dyDescent="0.2">
      <c r="A47" s="176">
        <v>5105600000</v>
      </c>
      <c r="B47" s="207" t="s">
        <v>299</v>
      </c>
      <c r="C47" s="225">
        <f>+PRESUPUESTO!G47</f>
        <v>0</v>
      </c>
      <c r="D47" s="607"/>
      <c r="E47" s="776">
        <f t="shared" si="0"/>
        <v>0</v>
      </c>
      <c r="F47" s="543"/>
    </row>
    <row r="48" spans="1:6" customFormat="1" ht="12.75" hidden="1" outlineLevel="1" x14ac:dyDescent="0.2">
      <c r="A48" s="176">
        <v>5105630000</v>
      </c>
      <c r="B48" s="207" t="s">
        <v>300</v>
      </c>
      <c r="C48" s="226">
        <f>+PRESUPUESTO!G48</f>
        <v>37400</v>
      </c>
      <c r="D48" s="607"/>
      <c r="E48" s="776">
        <f t="shared" si="0"/>
        <v>37400</v>
      </c>
      <c r="F48" s="543"/>
    </row>
    <row r="49" spans="1:6" customFormat="1" ht="12.75" hidden="1" outlineLevel="1" x14ac:dyDescent="0.2">
      <c r="A49" s="176">
        <v>5105640000</v>
      </c>
      <c r="B49" s="207" t="s">
        <v>740</v>
      </c>
      <c r="C49" s="607">
        <f>+PRESUPUESTO!G49</f>
        <v>15225</v>
      </c>
      <c r="D49" s="607"/>
      <c r="E49" s="776">
        <f t="shared" si="0"/>
        <v>15225</v>
      </c>
      <c r="F49" s="543"/>
    </row>
    <row r="50" spans="1:6" customFormat="1" ht="12.75" hidden="1" outlineLevel="1" x14ac:dyDescent="0.2">
      <c r="A50" s="176">
        <v>5105660000</v>
      </c>
      <c r="B50" s="207" t="s">
        <v>301</v>
      </c>
      <c r="C50" s="225">
        <f>+PRESUPUESTO!G50</f>
        <v>0</v>
      </c>
      <c r="D50" s="607"/>
      <c r="E50" s="776">
        <f t="shared" si="0"/>
        <v>0</v>
      </c>
      <c r="F50" s="543"/>
    </row>
    <row r="51" spans="1:6" customFormat="1" ht="12.75" hidden="1" outlineLevel="1" x14ac:dyDescent="0.2">
      <c r="A51" s="176">
        <v>5105680000</v>
      </c>
      <c r="B51" s="207" t="s">
        <v>30</v>
      </c>
      <c r="C51" s="226">
        <f>+PRESUPUESTO!G51</f>
        <v>55402.139574000037</v>
      </c>
      <c r="D51" s="607"/>
      <c r="E51" s="776">
        <f t="shared" si="0"/>
        <v>55402.139574000037</v>
      </c>
      <c r="F51" s="543"/>
    </row>
    <row r="52" spans="1:6" customFormat="1" ht="12.75" hidden="1" outlineLevel="1" x14ac:dyDescent="0.2">
      <c r="A52" s="176">
        <v>5105690000</v>
      </c>
      <c r="B52" s="207" t="s">
        <v>31</v>
      </c>
      <c r="C52" s="226">
        <f>+PRESUPUESTO!G52</f>
        <v>994226.94613888883</v>
      </c>
      <c r="D52" s="607"/>
      <c r="E52" s="776">
        <f t="shared" si="0"/>
        <v>994226.94613888883</v>
      </c>
      <c r="F52" s="543"/>
    </row>
    <row r="53" spans="1:6" customFormat="1" ht="12.75" hidden="1" outlineLevel="1" x14ac:dyDescent="0.2">
      <c r="A53" s="176">
        <v>5105700000</v>
      </c>
      <c r="B53" s="207" t="s">
        <v>32</v>
      </c>
      <c r="C53" s="226">
        <f>+PRESUPUESTO!G53</f>
        <v>973502.86044444446</v>
      </c>
      <c r="D53" s="607"/>
      <c r="E53" s="776">
        <f t="shared" si="0"/>
        <v>973502.86044444446</v>
      </c>
      <c r="F53" s="543"/>
    </row>
    <row r="54" spans="1:6" customFormat="1" ht="12.75" hidden="1" outlineLevel="1" x14ac:dyDescent="0.2">
      <c r="A54" s="176">
        <v>5105720000</v>
      </c>
      <c r="B54" s="207" t="s">
        <v>33</v>
      </c>
      <c r="C54" s="226">
        <f>+PRESUPUESTO!G54</f>
        <v>418089.05502163811</v>
      </c>
      <c r="D54" s="607"/>
      <c r="E54" s="776">
        <f t="shared" si="0"/>
        <v>418089.05502163811</v>
      </c>
      <c r="F54" s="543"/>
    </row>
    <row r="55" spans="1:6" customFormat="1" ht="12.75" hidden="1" outlineLevel="1" x14ac:dyDescent="0.2">
      <c r="A55" s="176">
        <v>5105750000</v>
      </c>
      <c r="B55" s="207" t="s">
        <v>34</v>
      </c>
      <c r="C55" s="226">
        <f>+PRESUPUESTO!G55</f>
        <v>313566.79126622854</v>
      </c>
      <c r="D55" s="607"/>
      <c r="E55" s="776">
        <f t="shared" si="0"/>
        <v>313566.79126622854</v>
      </c>
      <c r="F55" s="543"/>
    </row>
    <row r="56" spans="1:6" customFormat="1" ht="12.75" hidden="1" outlineLevel="1" x14ac:dyDescent="0.2">
      <c r="A56" s="176">
        <v>5105780000</v>
      </c>
      <c r="B56" s="207" t="s">
        <v>35</v>
      </c>
      <c r="C56" s="226">
        <f>+PRESUPUESTO!G56</f>
        <v>209044.52751081905</v>
      </c>
      <c r="D56" s="607"/>
      <c r="E56" s="776">
        <f t="shared" si="0"/>
        <v>209044.52751081905</v>
      </c>
      <c r="F56" s="543"/>
    </row>
    <row r="57" spans="1:6" customFormat="1" ht="12.75" hidden="1" outlineLevel="1" x14ac:dyDescent="0.2">
      <c r="A57" s="176">
        <v>5105840000</v>
      </c>
      <c r="B57" s="207" t="s">
        <v>302</v>
      </c>
      <c r="C57" s="225">
        <f>+PRESUPUESTO!G57</f>
        <v>0</v>
      </c>
      <c r="D57" s="225"/>
      <c r="E57" s="777">
        <f t="shared" si="0"/>
        <v>0</v>
      </c>
      <c r="F57" s="543"/>
    </row>
    <row r="58" spans="1:6" customFormat="1" ht="12.75" hidden="1" outlineLevel="1" x14ac:dyDescent="0.2">
      <c r="A58" s="176">
        <v>5105950100</v>
      </c>
      <c r="B58" s="207" t="s">
        <v>36</v>
      </c>
      <c r="C58" s="225">
        <f>+PRESUPUESTO!G58</f>
        <v>0</v>
      </c>
      <c r="D58" s="225"/>
      <c r="E58" s="777">
        <f t="shared" si="0"/>
        <v>0</v>
      </c>
      <c r="F58" s="543"/>
    </row>
    <row r="59" spans="1:6" customFormat="1" ht="12.75" hidden="1" outlineLevel="1" x14ac:dyDescent="0.2">
      <c r="A59" s="176">
        <v>5105950200</v>
      </c>
      <c r="B59" s="207" t="s">
        <v>37</v>
      </c>
      <c r="C59" s="225">
        <f>+PRESUPUESTO!G59</f>
        <v>0</v>
      </c>
      <c r="D59" s="225"/>
      <c r="E59" s="777">
        <f t="shared" si="0"/>
        <v>0</v>
      </c>
      <c r="F59" s="543"/>
    </row>
    <row r="60" spans="1:6" customFormat="1" ht="12.75" hidden="1" outlineLevel="1" x14ac:dyDescent="0.2">
      <c r="A60" s="176">
        <v>5105950300</v>
      </c>
      <c r="B60" s="207" t="s">
        <v>38</v>
      </c>
      <c r="C60" s="225">
        <f>+PRESUPUESTO!G60</f>
        <v>0</v>
      </c>
      <c r="D60" s="225"/>
      <c r="E60" s="777">
        <f t="shared" si="0"/>
        <v>0</v>
      </c>
      <c r="F60" s="543"/>
    </row>
    <row r="61" spans="1:6" customFormat="1" ht="12.75" collapsed="1" x14ac:dyDescent="0.2">
      <c r="A61" s="176"/>
      <c r="B61" s="213" t="s">
        <v>303</v>
      </c>
      <c r="C61" s="214">
        <f>SUM(C33:C60)</f>
        <v>16743493.235245485</v>
      </c>
      <c r="D61" s="214">
        <f>SUM(D33:D60)</f>
        <v>0</v>
      </c>
      <c r="E61" s="780">
        <f t="shared" si="0"/>
        <v>16743493.235245485</v>
      </c>
      <c r="F61" s="543"/>
    </row>
    <row r="62" spans="1:6" customFormat="1" ht="12.75" hidden="1" outlineLevel="1" x14ac:dyDescent="0.2">
      <c r="A62" s="176"/>
      <c r="B62" s="212" t="s">
        <v>304</v>
      </c>
      <c r="C62" s="208" t="s">
        <v>169</v>
      </c>
      <c r="D62" s="208"/>
      <c r="E62" s="779"/>
      <c r="F62" s="543"/>
    </row>
    <row r="63" spans="1:6" customFormat="1" ht="12.75" hidden="1" outlineLevel="1" x14ac:dyDescent="0.2">
      <c r="A63" s="3">
        <v>5110100000</v>
      </c>
      <c r="B63" s="207" t="s">
        <v>307</v>
      </c>
      <c r="C63" s="225">
        <f>+PRESUPUESTO!G63</f>
        <v>0</v>
      </c>
      <c r="D63" s="225"/>
      <c r="E63" s="777">
        <f t="shared" si="0"/>
        <v>0</v>
      </c>
      <c r="F63" s="543"/>
    </row>
    <row r="64" spans="1:6" customFormat="1" ht="12.75" hidden="1" outlineLevel="1" x14ac:dyDescent="0.2">
      <c r="A64" s="3">
        <v>5110200000</v>
      </c>
      <c r="B64" s="207" t="s">
        <v>640</v>
      </c>
      <c r="C64" s="225">
        <f>+PRESUPUESTO!G64</f>
        <v>0</v>
      </c>
      <c r="D64" s="225"/>
      <c r="E64" s="777">
        <f t="shared" si="0"/>
        <v>0</v>
      </c>
      <c r="F64" s="543"/>
    </row>
    <row r="65" spans="1:6" customFormat="1" ht="12.75" hidden="1" outlineLevel="1" x14ac:dyDescent="0.2">
      <c r="A65" s="3">
        <v>5110250000</v>
      </c>
      <c r="B65" s="207" t="s">
        <v>308</v>
      </c>
      <c r="C65" s="225">
        <f>+PRESUPUESTO!G65</f>
        <v>0</v>
      </c>
      <c r="D65" s="225"/>
      <c r="E65" s="777">
        <f t="shared" si="0"/>
        <v>0</v>
      </c>
      <c r="F65" s="543"/>
    </row>
    <row r="66" spans="1:6" customFormat="1" ht="12.75" hidden="1" outlineLevel="1" x14ac:dyDescent="0.2">
      <c r="A66" s="608">
        <v>5110350000</v>
      </c>
      <c r="B66" s="207" t="s">
        <v>745</v>
      </c>
      <c r="C66" s="225">
        <f>+PRESUPUESTO!G66</f>
        <v>0</v>
      </c>
      <c r="D66" s="225"/>
      <c r="E66" s="777">
        <f t="shared" si="0"/>
        <v>0</v>
      </c>
      <c r="F66" s="543"/>
    </row>
    <row r="67" spans="1:6" customFormat="1" ht="12.75" hidden="1" outlineLevel="1" x14ac:dyDescent="0.2">
      <c r="A67" s="176">
        <v>5110350100</v>
      </c>
      <c r="B67" s="577" t="s">
        <v>686</v>
      </c>
      <c r="C67" s="226">
        <f>+PRESUPUESTO!G67</f>
        <v>303826.09399999998</v>
      </c>
      <c r="D67" s="607"/>
      <c r="E67" s="776">
        <f t="shared" si="0"/>
        <v>303826.09399999998</v>
      </c>
      <c r="F67" s="543"/>
    </row>
    <row r="68" spans="1:6" customFormat="1" ht="12.75" hidden="1" outlineLevel="1" x14ac:dyDescent="0.2">
      <c r="A68" s="176">
        <v>5110350300</v>
      </c>
      <c r="B68" s="207" t="s">
        <v>40</v>
      </c>
      <c r="C68" s="225">
        <f>+PRESUPUESTO!G68</f>
        <v>0</v>
      </c>
      <c r="D68" s="316">
        <f>(+EDUC.CONT.!V13)/1000</f>
        <v>546393.35600000003</v>
      </c>
      <c r="E68" s="781">
        <f t="shared" si="0"/>
        <v>546393.35600000003</v>
      </c>
      <c r="F68" s="543"/>
    </row>
    <row r="69" spans="1:6" customFormat="1" ht="12.75" hidden="1" outlineLevel="1" x14ac:dyDescent="0.2">
      <c r="A69" s="176">
        <v>5110350400</v>
      </c>
      <c r="B69" s="207" t="s">
        <v>41</v>
      </c>
      <c r="C69" s="225">
        <f>+PRESUPUESTO!G69</f>
        <v>0</v>
      </c>
      <c r="D69" s="225"/>
      <c r="E69" s="777">
        <f t="shared" si="0"/>
        <v>0</v>
      </c>
      <c r="F69" s="543"/>
    </row>
    <row r="70" spans="1:6" customFormat="1" ht="12.75" hidden="1" outlineLevel="1" x14ac:dyDescent="0.2">
      <c r="A70" s="176">
        <v>5110350600</v>
      </c>
      <c r="B70" s="207" t="s">
        <v>305</v>
      </c>
      <c r="C70" s="225">
        <f>+PRESUPUESTO!G70</f>
        <v>5000</v>
      </c>
      <c r="D70" s="225"/>
      <c r="E70" s="777">
        <f t="shared" si="0"/>
        <v>5000</v>
      </c>
      <c r="F70" s="543"/>
    </row>
    <row r="71" spans="1:6" customFormat="1" ht="12.75" hidden="1" outlineLevel="1" x14ac:dyDescent="0.2">
      <c r="A71" s="176">
        <v>5110950000</v>
      </c>
      <c r="B71" s="207" t="s">
        <v>42</v>
      </c>
      <c r="C71" s="226">
        <f>+PRESUPUESTO!G72</f>
        <v>3000</v>
      </c>
      <c r="D71" s="607"/>
      <c r="E71" s="776">
        <f t="shared" si="0"/>
        <v>3000</v>
      </c>
      <c r="F71" s="543"/>
    </row>
    <row r="72" spans="1:6" customFormat="1" ht="12.75" collapsed="1" x14ac:dyDescent="0.2">
      <c r="A72" s="176"/>
      <c r="B72" s="213" t="s">
        <v>306</v>
      </c>
      <c r="C72" s="214">
        <f>SUM(C63:C71)</f>
        <v>311826.09399999998</v>
      </c>
      <c r="D72" s="214">
        <f>SUM(D63:D71)</f>
        <v>546393.35600000003</v>
      </c>
      <c r="E72" s="780">
        <f t="shared" si="0"/>
        <v>858219.45</v>
      </c>
      <c r="F72" s="543"/>
    </row>
    <row r="73" spans="1:6" customFormat="1" ht="12.75" hidden="1" customHeight="1" outlineLevel="1" x14ac:dyDescent="0.2">
      <c r="A73" s="176"/>
      <c r="B73" s="212" t="s">
        <v>506</v>
      </c>
      <c r="C73" s="208"/>
      <c r="D73" s="208"/>
      <c r="E73" s="779">
        <f t="shared" ref="E73:E136" si="1">+C73+D73</f>
        <v>0</v>
      </c>
      <c r="F73" s="543"/>
    </row>
    <row r="74" spans="1:6" customFormat="1" ht="12.75" hidden="1" outlineLevel="1" x14ac:dyDescent="0.2">
      <c r="A74" s="176">
        <v>5110350200</v>
      </c>
      <c r="B74" s="207" t="s">
        <v>507</v>
      </c>
      <c r="C74" s="226">
        <f>CONVENIOS!D103/1000</f>
        <v>2429651.4029383999</v>
      </c>
      <c r="D74" s="607"/>
      <c r="E74" s="776">
        <f t="shared" si="1"/>
        <v>2429651.4029383999</v>
      </c>
      <c r="F74" s="543"/>
    </row>
    <row r="75" spans="1:6" customFormat="1" ht="12.75" customHeight="1" collapsed="1" x14ac:dyDescent="0.2">
      <c r="A75" s="176"/>
      <c r="B75" s="213" t="s">
        <v>523</v>
      </c>
      <c r="C75" s="214">
        <f>+C74</f>
        <v>2429651.4029383999</v>
      </c>
      <c r="D75" s="214">
        <f>+D74</f>
        <v>0</v>
      </c>
      <c r="E75" s="780">
        <f t="shared" si="1"/>
        <v>2429651.4029383999</v>
      </c>
      <c r="F75" s="543"/>
    </row>
    <row r="76" spans="1:6" customFormat="1" ht="12.75" hidden="1" outlineLevel="1" x14ac:dyDescent="0.2">
      <c r="A76" s="176"/>
      <c r="B76" s="212" t="s">
        <v>44</v>
      </c>
      <c r="C76" s="208" t="s">
        <v>169</v>
      </c>
      <c r="D76" s="208"/>
      <c r="E76" s="779"/>
      <c r="F76" s="543"/>
    </row>
    <row r="77" spans="1:6" customFormat="1" ht="12.75" hidden="1" outlineLevel="1" x14ac:dyDescent="0.2">
      <c r="A77" s="176"/>
      <c r="B77" s="212" t="s">
        <v>508</v>
      </c>
      <c r="C77" s="208"/>
      <c r="D77" s="208"/>
      <c r="E77" s="779">
        <f t="shared" si="1"/>
        <v>0</v>
      </c>
      <c r="F77" s="543"/>
    </row>
    <row r="78" spans="1:6" customFormat="1" ht="12.75" hidden="1" outlineLevel="1" x14ac:dyDescent="0.2">
      <c r="A78" s="3">
        <v>5115050000</v>
      </c>
      <c r="B78" s="207" t="s">
        <v>309</v>
      </c>
      <c r="C78" s="225">
        <f>+PRESUPUESTO!G79</f>
        <v>0</v>
      </c>
      <c r="D78" s="225"/>
      <c r="E78" s="777">
        <f t="shared" si="1"/>
        <v>0</v>
      </c>
      <c r="F78" s="543"/>
    </row>
    <row r="79" spans="1:6" customFormat="1" ht="12.75" hidden="1" outlineLevel="1" x14ac:dyDescent="0.2">
      <c r="A79" s="3">
        <v>5115150000</v>
      </c>
      <c r="B79" s="207" t="s">
        <v>310</v>
      </c>
      <c r="C79" s="225">
        <f>+PRESUPUESTO!G80</f>
        <v>0</v>
      </c>
      <c r="D79" s="225"/>
      <c r="E79" s="777">
        <f t="shared" si="1"/>
        <v>0</v>
      </c>
      <c r="F79" s="543"/>
    </row>
    <row r="80" spans="1:6" customFormat="1" ht="12.75" hidden="1" outlineLevel="1" x14ac:dyDescent="0.2">
      <c r="A80" s="608">
        <v>5115250000</v>
      </c>
      <c r="B80" s="207" t="s">
        <v>746</v>
      </c>
      <c r="C80" s="225">
        <f>+PRESUPUESTO!G81</f>
        <v>0</v>
      </c>
      <c r="D80" s="225"/>
      <c r="E80" s="777">
        <f t="shared" si="1"/>
        <v>0</v>
      </c>
      <c r="F80" s="543"/>
    </row>
    <row r="81" spans="1:6" customFormat="1" ht="12.75" hidden="1" outlineLevel="1" x14ac:dyDescent="0.2">
      <c r="A81" s="3">
        <v>5115950200</v>
      </c>
      <c r="B81" s="207" t="s">
        <v>311</v>
      </c>
      <c r="C81" s="225">
        <f>+PRESUPUESTO!G82</f>
        <v>0</v>
      </c>
      <c r="D81" s="225"/>
      <c r="E81" s="777">
        <f t="shared" si="1"/>
        <v>0</v>
      </c>
      <c r="F81" s="543"/>
    </row>
    <row r="82" spans="1:6" customFormat="1" ht="12.75" hidden="1" outlineLevel="1" x14ac:dyDescent="0.2">
      <c r="A82" s="608">
        <v>5115950500</v>
      </c>
      <c r="B82" s="207" t="s">
        <v>747</v>
      </c>
      <c r="C82" s="225">
        <f>+PRESUPUESTO!G83</f>
        <v>0</v>
      </c>
      <c r="D82" s="225"/>
      <c r="E82" s="777">
        <f t="shared" si="1"/>
        <v>0</v>
      </c>
      <c r="F82" s="543"/>
    </row>
    <row r="83" spans="1:6" customFormat="1" ht="12.75" hidden="1" outlineLevel="1" x14ac:dyDescent="0.2">
      <c r="A83" s="3"/>
      <c r="B83" s="212" t="s">
        <v>446</v>
      </c>
      <c r="C83" s="225"/>
      <c r="D83" s="225"/>
      <c r="E83" s="777">
        <f t="shared" si="1"/>
        <v>0</v>
      </c>
      <c r="F83" s="543"/>
    </row>
    <row r="84" spans="1:6" customFormat="1" ht="12.75" hidden="1" outlineLevel="1" x14ac:dyDescent="0.2">
      <c r="A84" s="3">
        <v>5120100000</v>
      </c>
      <c r="B84" s="207" t="s">
        <v>772</v>
      </c>
      <c r="C84" s="226">
        <f>+PRESUPUESTO!G85</f>
        <v>0</v>
      </c>
      <c r="D84" s="607"/>
      <c r="E84" s="776">
        <f t="shared" si="1"/>
        <v>0</v>
      </c>
      <c r="F84" s="543"/>
    </row>
    <row r="85" spans="1:6" customFormat="1" ht="12.75" hidden="1" outlineLevel="1" x14ac:dyDescent="0.2">
      <c r="A85" s="3">
        <v>5120250000</v>
      </c>
      <c r="B85" s="207" t="s">
        <v>312</v>
      </c>
      <c r="C85" s="225">
        <f>+PRESUPUESTO!G86</f>
        <v>0</v>
      </c>
      <c r="D85" s="225"/>
      <c r="E85" s="777">
        <f t="shared" si="1"/>
        <v>0</v>
      </c>
      <c r="F85" s="543"/>
    </row>
    <row r="86" spans="1:6" customFormat="1" ht="12.75" hidden="1" outlineLevel="1" x14ac:dyDescent="0.2">
      <c r="A86" s="3">
        <v>5120300000</v>
      </c>
      <c r="B86" s="207" t="s">
        <v>313</v>
      </c>
      <c r="C86" s="225">
        <f>+PRESUPUESTO!G87</f>
        <v>0</v>
      </c>
      <c r="D86" s="225"/>
      <c r="E86" s="777">
        <f t="shared" si="1"/>
        <v>0</v>
      </c>
      <c r="F86" s="543"/>
    </row>
    <row r="87" spans="1:6" customFormat="1" ht="12.75" hidden="1" outlineLevel="1" x14ac:dyDescent="0.2">
      <c r="A87" s="3">
        <v>5120950000</v>
      </c>
      <c r="B87" s="207" t="s">
        <v>45</v>
      </c>
      <c r="C87" s="225">
        <f>+PRESUPUESTO!G88</f>
        <v>0</v>
      </c>
      <c r="D87" s="316">
        <f>(+EDUC.CONT.!V14)/1000</f>
        <v>14700</v>
      </c>
      <c r="E87" s="781">
        <f t="shared" si="1"/>
        <v>14700</v>
      </c>
      <c r="F87" s="543"/>
    </row>
    <row r="88" spans="1:6" customFormat="1" ht="12.75" hidden="1" outlineLevel="1" x14ac:dyDescent="0.2">
      <c r="A88" s="3"/>
      <c r="B88" s="212" t="s">
        <v>509</v>
      </c>
      <c r="C88" s="225" t="s">
        <v>169</v>
      </c>
      <c r="D88" s="225"/>
      <c r="E88" s="777"/>
      <c r="F88" s="543"/>
    </row>
    <row r="89" spans="1:6" customFormat="1" ht="12.75" hidden="1" outlineLevel="1" x14ac:dyDescent="0.2">
      <c r="A89" s="3">
        <v>5125100000</v>
      </c>
      <c r="B89" s="207" t="s">
        <v>46</v>
      </c>
      <c r="C89" s="226">
        <f>+PRESUPUESTO!G90</f>
        <v>12000</v>
      </c>
      <c r="D89" s="607"/>
      <c r="E89" s="776">
        <f t="shared" si="1"/>
        <v>12000</v>
      </c>
      <c r="F89" s="543"/>
    </row>
    <row r="90" spans="1:6" customFormat="1" ht="12.75" hidden="1" outlineLevel="1" x14ac:dyDescent="0.2">
      <c r="A90" s="3"/>
      <c r="B90" s="212" t="s">
        <v>510</v>
      </c>
      <c r="C90" s="225" t="s">
        <v>169</v>
      </c>
      <c r="D90" s="225"/>
      <c r="E90" s="777"/>
      <c r="F90" s="543"/>
    </row>
    <row r="91" spans="1:6" customFormat="1" ht="12.75" hidden="1" outlineLevel="1" x14ac:dyDescent="0.2">
      <c r="A91" s="3">
        <v>5130100000</v>
      </c>
      <c r="B91" s="207" t="s">
        <v>47</v>
      </c>
      <c r="C91" s="226">
        <f>+PRESUPUESTO!G92</f>
        <v>0</v>
      </c>
      <c r="D91" s="226">
        <f>(+EDUC.CONT.!V15)/1000</f>
        <v>0</v>
      </c>
      <c r="E91" s="775"/>
      <c r="F91" s="543"/>
    </row>
    <row r="92" spans="1:6" customFormat="1" ht="12.75" hidden="1" outlineLevel="1" x14ac:dyDescent="0.2">
      <c r="A92" s="3">
        <v>5130600000</v>
      </c>
      <c r="B92" s="207" t="s">
        <v>48</v>
      </c>
      <c r="C92" s="225">
        <f>+PRESUPUESTO!G93</f>
        <v>7140</v>
      </c>
      <c r="D92" s="225"/>
      <c r="E92" s="777">
        <f t="shared" si="1"/>
        <v>7140</v>
      </c>
      <c r="F92" s="543"/>
    </row>
    <row r="93" spans="1:6" customFormat="1" ht="12.75" hidden="1" outlineLevel="1" x14ac:dyDescent="0.2">
      <c r="A93" s="3">
        <v>5130950200</v>
      </c>
      <c r="B93" s="207" t="s">
        <v>314</v>
      </c>
      <c r="C93" s="225">
        <f>+PRESUPUESTO!G94</f>
        <v>0</v>
      </c>
      <c r="D93" s="225"/>
      <c r="E93" s="777">
        <f t="shared" si="1"/>
        <v>0</v>
      </c>
      <c r="F93" s="543"/>
    </row>
    <row r="94" spans="1:6" customFormat="1" ht="12.75" hidden="1" outlineLevel="1" x14ac:dyDescent="0.2">
      <c r="A94" s="3">
        <v>5130950300</v>
      </c>
      <c r="B94" s="207" t="s">
        <v>49</v>
      </c>
      <c r="C94" s="316">
        <f>+PRESUPUESTO!G95</f>
        <v>6032</v>
      </c>
      <c r="D94" s="607"/>
      <c r="E94" s="776">
        <f t="shared" si="1"/>
        <v>6032</v>
      </c>
      <c r="F94" s="543"/>
    </row>
    <row r="95" spans="1:6" customFormat="1" ht="12.75" hidden="1" outlineLevel="1" x14ac:dyDescent="0.2">
      <c r="A95" s="608">
        <v>5130950400</v>
      </c>
      <c r="B95" s="207" t="s">
        <v>748</v>
      </c>
      <c r="C95" s="607">
        <f>+PRESUPUESTO!G96</f>
        <v>0</v>
      </c>
      <c r="D95" s="607"/>
      <c r="E95" s="776">
        <f t="shared" si="1"/>
        <v>0</v>
      </c>
      <c r="F95" s="543"/>
    </row>
    <row r="96" spans="1:6" customFormat="1" ht="12.75" hidden="1" outlineLevel="1" x14ac:dyDescent="0.2">
      <c r="A96" s="3"/>
      <c r="B96" s="212" t="s">
        <v>511</v>
      </c>
      <c r="C96" s="225" t="s">
        <v>169</v>
      </c>
      <c r="D96" s="225"/>
      <c r="E96" s="777"/>
      <c r="F96" s="543"/>
    </row>
    <row r="97" spans="1:6" customFormat="1" ht="12.75" hidden="1" outlineLevel="1" x14ac:dyDescent="0.2">
      <c r="A97" s="3">
        <v>5135050100</v>
      </c>
      <c r="B97" s="207" t="s">
        <v>315</v>
      </c>
      <c r="C97" s="225">
        <f>+PRESUPUESTO!G98</f>
        <v>0</v>
      </c>
      <c r="D97" s="225"/>
      <c r="E97" s="777">
        <f t="shared" si="1"/>
        <v>0</v>
      </c>
      <c r="F97" s="543"/>
    </row>
    <row r="98" spans="1:6" customFormat="1" ht="12.75" hidden="1" outlineLevel="1" x14ac:dyDescent="0.2">
      <c r="A98" s="3">
        <v>5135050200</v>
      </c>
      <c r="B98" s="207" t="s">
        <v>316</v>
      </c>
      <c r="C98" s="225">
        <f>+PRESUPUESTO!G99</f>
        <v>0</v>
      </c>
      <c r="D98" s="225"/>
      <c r="E98" s="777">
        <f t="shared" si="1"/>
        <v>0</v>
      </c>
      <c r="F98" s="543"/>
    </row>
    <row r="99" spans="1:6" customFormat="1" ht="12.75" hidden="1" outlineLevel="1" x14ac:dyDescent="0.2">
      <c r="A99" s="3">
        <v>5135150000</v>
      </c>
      <c r="B99" s="207" t="s">
        <v>317</v>
      </c>
      <c r="C99" s="225">
        <f>+PRESUPUESTO!G100</f>
        <v>0</v>
      </c>
      <c r="D99" s="225"/>
      <c r="E99" s="777">
        <f t="shared" si="1"/>
        <v>0</v>
      </c>
      <c r="F99" s="543"/>
    </row>
    <row r="100" spans="1:6" customFormat="1" ht="12.75" hidden="1" outlineLevel="1" x14ac:dyDescent="0.2">
      <c r="A100" s="3">
        <v>5135250000</v>
      </c>
      <c r="B100" s="207" t="s">
        <v>318</v>
      </c>
      <c r="C100" s="225">
        <f>+PRESUPUESTO!G101</f>
        <v>0</v>
      </c>
      <c r="D100" s="225"/>
      <c r="E100" s="777">
        <f t="shared" si="1"/>
        <v>0</v>
      </c>
      <c r="F100" s="543"/>
    </row>
    <row r="101" spans="1:6" customFormat="1" ht="12.75" hidden="1" outlineLevel="1" x14ac:dyDescent="0.2">
      <c r="A101" s="3">
        <v>5135300000</v>
      </c>
      <c r="B101" s="207" t="s">
        <v>319</v>
      </c>
      <c r="C101" s="225">
        <f>+PRESUPUESTO!G102</f>
        <v>0</v>
      </c>
      <c r="D101" s="225"/>
      <c r="E101" s="777">
        <f t="shared" si="1"/>
        <v>0</v>
      </c>
      <c r="F101" s="543"/>
    </row>
    <row r="102" spans="1:6" customFormat="1" ht="12.75" hidden="1" outlineLevel="1" x14ac:dyDescent="0.2">
      <c r="A102" s="3">
        <v>5135350000</v>
      </c>
      <c r="B102" s="207" t="s">
        <v>50</v>
      </c>
      <c r="C102" s="225">
        <f>+PRESUPUESTO!G103</f>
        <v>0</v>
      </c>
      <c r="D102" s="225"/>
      <c r="E102" s="777">
        <f t="shared" si="1"/>
        <v>0</v>
      </c>
      <c r="F102" s="543"/>
    </row>
    <row r="103" spans="1:6" customFormat="1" ht="12.75" hidden="1" outlineLevel="1" x14ac:dyDescent="0.2">
      <c r="A103" s="3">
        <v>5135400000</v>
      </c>
      <c r="B103" s="207" t="s">
        <v>51</v>
      </c>
      <c r="C103" s="226">
        <f>+PRESUPUESTO!G104</f>
        <v>2782.5</v>
      </c>
      <c r="D103" s="226">
        <f>(+EDUC.CONT.!V16)/1000</f>
        <v>0</v>
      </c>
      <c r="E103" s="775">
        <f t="shared" si="1"/>
        <v>2782.5</v>
      </c>
      <c r="F103" s="543"/>
    </row>
    <row r="104" spans="1:6" customFormat="1" ht="12.75" hidden="1" outlineLevel="1" x14ac:dyDescent="0.2">
      <c r="A104" s="3">
        <v>5135500000</v>
      </c>
      <c r="B104" s="207" t="s">
        <v>52</v>
      </c>
      <c r="C104" s="225">
        <f>+PRESUPUESTO!G105</f>
        <v>472.5</v>
      </c>
      <c r="D104" s="225"/>
      <c r="E104" s="777">
        <f t="shared" si="1"/>
        <v>472.5</v>
      </c>
      <c r="F104" s="543"/>
    </row>
    <row r="105" spans="1:6" customFormat="1" ht="12.75" hidden="1" outlineLevel="1" x14ac:dyDescent="0.2">
      <c r="A105" s="3">
        <v>5135550000</v>
      </c>
      <c r="B105" s="207" t="s">
        <v>641</v>
      </c>
      <c r="C105" s="225">
        <f>+PRESUPUESTO!G106</f>
        <v>0</v>
      </c>
      <c r="D105" s="225"/>
      <c r="E105" s="777">
        <f t="shared" si="1"/>
        <v>0</v>
      </c>
      <c r="F105" s="543"/>
    </row>
    <row r="106" spans="1:6" customFormat="1" ht="12.75" hidden="1" outlineLevel="1" x14ac:dyDescent="0.2">
      <c r="A106" s="3">
        <v>5135950100</v>
      </c>
      <c r="B106" s="207" t="s">
        <v>53</v>
      </c>
      <c r="C106" s="225">
        <f>+PRESUPUESTO!G107</f>
        <v>0</v>
      </c>
      <c r="D106" s="225"/>
      <c r="E106" s="777">
        <f t="shared" si="1"/>
        <v>0</v>
      </c>
      <c r="F106" s="543"/>
    </row>
    <row r="107" spans="1:6" customFormat="1" ht="12.75" hidden="1" outlineLevel="1" x14ac:dyDescent="0.2">
      <c r="A107" s="3">
        <v>5135950200</v>
      </c>
      <c r="B107" s="207" t="s">
        <v>320</v>
      </c>
      <c r="C107" s="225">
        <f>+PRESUPUESTO!G108</f>
        <v>0</v>
      </c>
      <c r="D107" s="225"/>
      <c r="E107" s="777">
        <f t="shared" si="1"/>
        <v>0</v>
      </c>
      <c r="F107" s="543"/>
    </row>
    <row r="108" spans="1:6" customFormat="1" ht="12.75" hidden="1" outlineLevel="1" x14ac:dyDescent="0.2">
      <c r="A108" s="3">
        <v>5135950300</v>
      </c>
      <c r="B108" s="207" t="s">
        <v>321</v>
      </c>
      <c r="C108" s="225">
        <f>+PRESUPUESTO!G109</f>
        <v>0</v>
      </c>
      <c r="D108" s="225"/>
      <c r="E108" s="777">
        <f t="shared" si="1"/>
        <v>0</v>
      </c>
      <c r="F108" s="543"/>
    </row>
    <row r="109" spans="1:6" customFormat="1" ht="12.75" hidden="1" outlineLevel="1" x14ac:dyDescent="0.2">
      <c r="A109" s="3">
        <v>5135950400</v>
      </c>
      <c r="B109" s="207" t="s">
        <v>54</v>
      </c>
      <c r="C109" s="225">
        <f>+PRESUPUESTO!G110</f>
        <v>0</v>
      </c>
      <c r="D109" s="225"/>
      <c r="E109" s="777">
        <f t="shared" si="1"/>
        <v>0</v>
      </c>
      <c r="F109" s="543"/>
    </row>
    <row r="110" spans="1:6" customFormat="1" ht="12.75" hidden="1" outlineLevel="1" x14ac:dyDescent="0.2">
      <c r="A110" s="3">
        <v>5135950500</v>
      </c>
      <c r="B110" s="207" t="s">
        <v>322</v>
      </c>
      <c r="C110" s="225">
        <f>+PRESUPUESTO!G111</f>
        <v>0</v>
      </c>
      <c r="D110" s="316">
        <f>(+EDUC.CONT.!V17)/1000</f>
        <v>42101.735999999997</v>
      </c>
      <c r="E110" s="781">
        <f t="shared" si="1"/>
        <v>42101.735999999997</v>
      </c>
      <c r="F110" s="543"/>
    </row>
    <row r="111" spans="1:6" customFormat="1" ht="12.75" hidden="1" outlineLevel="1" x14ac:dyDescent="0.2">
      <c r="A111" s="3">
        <v>5135950600</v>
      </c>
      <c r="B111" s="207" t="s">
        <v>55</v>
      </c>
      <c r="C111" s="225">
        <f>+PRESUPUESTO!G112</f>
        <v>0</v>
      </c>
      <c r="D111" s="316">
        <f>(+EDUC.CONT.!V18)/1000</f>
        <v>0</v>
      </c>
      <c r="E111" s="781">
        <f t="shared" si="1"/>
        <v>0</v>
      </c>
      <c r="F111" s="543"/>
    </row>
    <row r="112" spans="1:6" customFormat="1" ht="12.75" hidden="1" outlineLevel="1" x14ac:dyDescent="0.2">
      <c r="A112" s="3">
        <v>5135950700</v>
      </c>
      <c r="B112" s="207" t="s">
        <v>56</v>
      </c>
      <c r="C112" s="226">
        <f>+PRESUPUESTO!G113</f>
        <v>656250</v>
      </c>
      <c r="D112" s="607"/>
      <c r="E112" s="776">
        <f t="shared" si="1"/>
        <v>656250</v>
      </c>
      <c r="F112" s="543"/>
    </row>
    <row r="113" spans="1:6" customFormat="1" ht="12.75" hidden="1" outlineLevel="1" x14ac:dyDescent="0.2">
      <c r="A113" s="3">
        <v>5135950900</v>
      </c>
      <c r="B113" s="207" t="s">
        <v>323</v>
      </c>
      <c r="C113" s="225">
        <f>+PRESUPUESTO!G114</f>
        <v>0</v>
      </c>
      <c r="D113" s="225"/>
      <c r="E113" s="777">
        <f t="shared" si="1"/>
        <v>0</v>
      </c>
      <c r="F113" s="543"/>
    </row>
    <row r="114" spans="1:6" customFormat="1" ht="12.75" hidden="1" outlineLevel="1" x14ac:dyDescent="0.2">
      <c r="A114" s="3">
        <v>5135951000</v>
      </c>
      <c r="B114" s="207" t="s">
        <v>57</v>
      </c>
      <c r="C114" s="225">
        <f>+PRESUPUESTO!G115</f>
        <v>63</v>
      </c>
      <c r="D114" s="225"/>
      <c r="E114" s="777">
        <f t="shared" si="1"/>
        <v>63</v>
      </c>
      <c r="F114" s="543"/>
    </row>
    <row r="115" spans="1:6" customFormat="1" ht="12.75" hidden="1" outlineLevel="1" x14ac:dyDescent="0.2">
      <c r="A115" s="3">
        <v>5135951100</v>
      </c>
      <c r="B115" s="207" t="s">
        <v>58</v>
      </c>
      <c r="C115" s="225">
        <f>+PRESUPUESTO!G116</f>
        <v>8660</v>
      </c>
      <c r="D115" s="225"/>
      <c r="E115" s="777">
        <f t="shared" si="1"/>
        <v>8660</v>
      </c>
      <c r="F115" s="543"/>
    </row>
    <row r="116" spans="1:6" customFormat="1" ht="12.75" hidden="1" outlineLevel="1" x14ac:dyDescent="0.2">
      <c r="A116" s="3">
        <v>5135951300</v>
      </c>
      <c r="B116" s="207" t="s">
        <v>59</v>
      </c>
      <c r="C116" s="225">
        <f>+PRESUPUESTO!G117</f>
        <v>19425</v>
      </c>
      <c r="D116" s="225"/>
      <c r="E116" s="777">
        <f t="shared" si="1"/>
        <v>19425</v>
      </c>
      <c r="F116" s="543"/>
    </row>
    <row r="117" spans="1:6" customFormat="1" ht="12.75" hidden="1" outlineLevel="1" x14ac:dyDescent="0.2">
      <c r="A117" s="3">
        <v>5135951600</v>
      </c>
      <c r="B117" s="207" t="s">
        <v>324</v>
      </c>
      <c r="C117" s="225">
        <f>+PRESUPUESTO!G118</f>
        <v>0</v>
      </c>
      <c r="D117" s="225"/>
      <c r="E117" s="777">
        <f t="shared" si="1"/>
        <v>0</v>
      </c>
      <c r="F117" s="543"/>
    </row>
    <row r="118" spans="1:6" customFormat="1" ht="12.75" hidden="1" outlineLevel="1" x14ac:dyDescent="0.2">
      <c r="A118" s="3">
        <v>5135951700</v>
      </c>
      <c r="B118" s="207" t="s">
        <v>325</v>
      </c>
      <c r="C118" s="225">
        <f>+PRESUPUESTO!G119</f>
        <v>0</v>
      </c>
      <c r="D118" s="225"/>
      <c r="E118" s="777">
        <f t="shared" si="1"/>
        <v>0</v>
      </c>
      <c r="F118" s="543"/>
    </row>
    <row r="119" spans="1:6" customFormat="1" ht="12.75" hidden="1" outlineLevel="1" x14ac:dyDescent="0.2">
      <c r="A119" s="3">
        <v>5135951900</v>
      </c>
      <c r="B119" s="207" t="s">
        <v>642</v>
      </c>
      <c r="C119" s="225">
        <f>+PRESUPUESTO!G120</f>
        <v>0</v>
      </c>
      <c r="D119" s="225"/>
      <c r="E119" s="777">
        <f t="shared" si="1"/>
        <v>0</v>
      </c>
      <c r="F119" s="543"/>
    </row>
    <row r="120" spans="1:6" customFormat="1" ht="12.75" hidden="1" outlineLevel="1" x14ac:dyDescent="0.2">
      <c r="A120" s="608">
        <v>5135953000</v>
      </c>
      <c r="B120" s="207" t="s">
        <v>749</v>
      </c>
      <c r="C120" s="225">
        <f>+PRESUPUESTO!G121</f>
        <v>0</v>
      </c>
      <c r="D120" s="225"/>
      <c r="E120" s="777">
        <f t="shared" si="1"/>
        <v>0</v>
      </c>
      <c r="F120" s="543"/>
    </row>
    <row r="121" spans="1:6" customFormat="1" ht="12.75" hidden="1" outlineLevel="1" x14ac:dyDescent="0.2">
      <c r="A121" s="3">
        <v>5135955000</v>
      </c>
      <c r="B121" s="207" t="s">
        <v>60</v>
      </c>
      <c r="C121" s="225">
        <f>+PRESUPUESTO!G122</f>
        <v>2152.5</v>
      </c>
      <c r="D121" s="225"/>
      <c r="E121" s="777">
        <f t="shared" si="1"/>
        <v>2152.5</v>
      </c>
      <c r="F121" s="543"/>
    </row>
    <row r="122" spans="1:6" customFormat="1" ht="12.75" hidden="1" outlineLevel="1" x14ac:dyDescent="0.2">
      <c r="A122" s="3">
        <v>5135956900</v>
      </c>
      <c r="B122" s="207" t="s">
        <v>326</v>
      </c>
      <c r="C122" s="225">
        <f>+PRESUPUESTO!G123</f>
        <v>0</v>
      </c>
      <c r="D122" s="225"/>
      <c r="E122" s="777">
        <f t="shared" si="1"/>
        <v>0</v>
      </c>
      <c r="F122" s="543"/>
    </row>
    <row r="123" spans="1:6" customFormat="1" ht="12.75" hidden="1" outlineLevel="1" x14ac:dyDescent="0.2">
      <c r="A123" s="608">
        <v>5135957000</v>
      </c>
      <c r="B123" s="207" t="s">
        <v>750</v>
      </c>
      <c r="C123" s="225">
        <f>+PRESUPUESTO!G124</f>
        <v>0</v>
      </c>
      <c r="D123" s="225"/>
      <c r="E123" s="777">
        <f t="shared" si="1"/>
        <v>0</v>
      </c>
      <c r="F123" s="543"/>
    </row>
    <row r="124" spans="1:6" customFormat="1" ht="12.75" hidden="1" outlineLevel="1" x14ac:dyDescent="0.2">
      <c r="A124" s="3"/>
      <c r="B124" s="212" t="s">
        <v>512</v>
      </c>
      <c r="C124" s="225" t="s">
        <v>169</v>
      </c>
      <c r="D124" s="225"/>
      <c r="E124" s="777"/>
      <c r="F124" s="543"/>
    </row>
    <row r="125" spans="1:6" customFormat="1" ht="12.75" hidden="1" outlineLevel="1" x14ac:dyDescent="0.2">
      <c r="A125" s="3">
        <v>5140050000</v>
      </c>
      <c r="B125" s="207" t="s">
        <v>327</v>
      </c>
      <c r="C125" s="225">
        <f>+PRESUPUESTO!G126</f>
        <v>0</v>
      </c>
      <c r="D125" s="225"/>
      <c r="E125" s="777">
        <f t="shared" si="1"/>
        <v>0</v>
      </c>
      <c r="F125" s="543"/>
    </row>
    <row r="126" spans="1:6" customFormat="1" ht="12.75" hidden="1" outlineLevel="1" x14ac:dyDescent="0.2">
      <c r="A126" s="3">
        <v>5140150000</v>
      </c>
      <c r="B126" s="207" t="s">
        <v>328</v>
      </c>
      <c r="C126" s="225">
        <f>+PRESUPUESTO!G127</f>
        <v>0</v>
      </c>
      <c r="D126" s="225"/>
      <c r="E126" s="777">
        <f t="shared" si="1"/>
        <v>0</v>
      </c>
      <c r="F126" s="543"/>
    </row>
    <row r="127" spans="1:6" customFormat="1" ht="12.75" hidden="1" outlineLevel="1" x14ac:dyDescent="0.2">
      <c r="A127" s="608">
        <v>5140200000</v>
      </c>
      <c r="B127" s="207" t="s">
        <v>751</v>
      </c>
      <c r="C127" s="225">
        <f>+PRESUPUESTO!G128</f>
        <v>0</v>
      </c>
      <c r="D127" s="225"/>
      <c r="E127" s="777">
        <f t="shared" si="1"/>
        <v>0</v>
      </c>
      <c r="F127" s="543"/>
    </row>
    <row r="128" spans="1:6" customFormat="1" ht="12.75" hidden="1" outlineLevel="1" x14ac:dyDescent="0.2">
      <c r="A128" s="608">
        <v>5140210000</v>
      </c>
      <c r="B128" s="207" t="s">
        <v>752</v>
      </c>
      <c r="C128" s="225">
        <f>+PRESUPUESTO!G129</f>
        <v>0</v>
      </c>
      <c r="D128" s="225"/>
      <c r="E128" s="777">
        <f t="shared" si="1"/>
        <v>0</v>
      </c>
      <c r="F128" s="543"/>
    </row>
    <row r="129" spans="1:6" customFormat="1" ht="12.75" hidden="1" outlineLevel="1" x14ac:dyDescent="0.2">
      <c r="A129" s="3">
        <v>5140950200</v>
      </c>
      <c r="B129" s="207" t="s">
        <v>329</v>
      </c>
      <c r="C129" s="225">
        <f>+PRESUPUESTO!G130</f>
        <v>0</v>
      </c>
      <c r="D129" s="225"/>
      <c r="E129" s="777">
        <f t="shared" si="1"/>
        <v>0</v>
      </c>
      <c r="F129" s="543"/>
    </row>
    <row r="130" spans="1:6" customFormat="1" ht="12.75" hidden="1" outlineLevel="1" x14ac:dyDescent="0.2">
      <c r="A130" s="3"/>
      <c r="B130" s="212" t="s">
        <v>513</v>
      </c>
      <c r="C130" s="225" t="s">
        <v>169</v>
      </c>
      <c r="D130" s="225"/>
      <c r="E130" s="777"/>
      <c r="F130" s="543"/>
    </row>
    <row r="131" spans="1:6" customFormat="1" ht="12.75" hidden="1" outlineLevel="1" x14ac:dyDescent="0.2">
      <c r="A131" s="3">
        <v>5145100000</v>
      </c>
      <c r="B131" s="207" t="s">
        <v>330</v>
      </c>
      <c r="C131" s="225">
        <f>+PRESUPUESTO!G132</f>
        <v>0</v>
      </c>
      <c r="D131" s="225"/>
      <c r="E131" s="777">
        <f t="shared" si="1"/>
        <v>0</v>
      </c>
      <c r="F131" s="543"/>
    </row>
    <row r="132" spans="1:6" customFormat="1" ht="12.75" hidden="1" outlineLevel="1" x14ac:dyDescent="0.2">
      <c r="A132" s="3">
        <v>5145150200</v>
      </c>
      <c r="B132" s="207" t="s">
        <v>494</v>
      </c>
      <c r="C132" s="225">
        <f>+PRESUPUESTO!G133</f>
        <v>0</v>
      </c>
      <c r="D132" s="225"/>
      <c r="E132" s="777">
        <f t="shared" si="1"/>
        <v>0</v>
      </c>
      <c r="F132" s="543"/>
    </row>
    <row r="133" spans="1:6" customFormat="1" ht="12.75" hidden="1" outlineLevel="1" x14ac:dyDescent="0.2">
      <c r="A133" s="3">
        <v>5145150300</v>
      </c>
      <c r="B133" s="207" t="s">
        <v>495</v>
      </c>
      <c r="C133" s="225">
        <f>+PRESUPUESTO!G134</f>
        <v>0</v>
      </c>
      <c r="D133" s="225"/>
      <c r="E133" s="777">
        <f t="shared" si="1"/>
        <v>0</v>
      </c>
      <c r="F133" s="543"/>
    </row>
    <row r="134" spans="1:6" customFormat="1" ht="12.75" hidden="1" outlineLevel="1" x14ac:dyDescent="0.2">
      <c r="A134" s="3">
        <v>5145150400</v>
      </c>
      <c r="B134" s="207" t="s">
        <v>496</v>
      </c>
      <c r="C134" s="225">
        <f>+PRESUPUESTO!G135</f>
        <v>0</v>
      </c>
      <c r="D134" s="225"/>
      <c r="E134" s="777">
        <f t="shared" si="1"/>
        <v>0</v>
      </c>
      <c r="F134" s="543"/>
    </row>
    <row r="135" spans="1:6" customFormat="1" ht="12.75" hidden="1" outlineLevel="1" x14ac:dyDescent="0.2">
      <c r="A135" s="3">
        <v>5145250000</v>
      </c>
      <c r="B135" s="207" t="s">
        <v>497</v>
      </c>
      <c r="C135" s="225">
        <f>+PRESUPUESTO!G136</f>
        <v>0</v>
      </c>
      <c r="D135" s="225"/>
      <c r="E135" s="777">
        <f t="shared" si="1"/>
        <v>0</v>
      </c>
      <c r="F135" s="543"/>
    </row>
    <row r="136" spans="1:6" customFormat="1" ht="12.75" hidden="1" outlineLevel="1" x14ac:dyDescent="0.2">
      <c r="A136" s="3">
        <v>5145300000</v>
      </c>
      <c r="B136" s="207" t="s">
        <v>498</v>
      </c>
      <c r="C136" s="225">
        <f>+PRESUPUESTO!G137</f>
        <v>0</v>
      </c>
      <c r="D136" s="225"/>
      <c r="E136" s="777">
        <f t="shared" si="1"/>
        <v>0</v>
      </c>
      <c r="F136" s="543"/>
    </row>
    <row r="137" spans="1:6" customFormat="1" ht="12.75" hidden="1" outlineLevel="1" x14ac:dyDescent="0.2">
      <c r="A137" s="3">
        <v>5150950000</v>
      </c>
      <c r="B137" s="207" t="s">
        <v>331</v>
      </c>
      <c r="C137" s="225">
        <f>+PRESUPUESTO!G138</f>
        <v>2254.35</v>
      </c>
      <c r="D137" s="225"/>
      <c r="E137" s="777">
        <f t="shared" ref="E137:E200" si="2">+C137+D137</f>
        <v>2254.35</v>
      </c>
      <c r="F137" s="543"/>
    </row>
    <row r="138" spans="1:6" customFormat="1" ht="12.75" hidden="1" outlineLevel="1" x14ac:dyDescent="0.2">
      <c r="A138" s="3"/>
      <c r="B138" s="212" t="s">
        <v>514</v>
      </c>
      <c r="C138" s="225"/>
      <c r="D138" s="225"/>
      <c r="E138" s="777">
        <f t="shared" si="2"/>
        <v>0</v>
      </c>
      <c r="F138" s="543"/>
    </row>
    <row r="139" spans="1:6" customFormat="1" ht="12.75" hidden="1" outlineLevel="1" x14ac:dyDescent="0.2">
      <c r="A139" s="3">
        <v>5155050000</v>
      </c>
      <c r="B139" s="207" t="s">
        <v>61</v>
      </c>
      <c r="C139" s="226">
        <f>+PRESUPUESTO!G140</f>
        <v>1500</v>
      </c>
      <c r="D139" s="226">
        <f>(+EDUC.CONT.!V19)/1000</f>
        <v>11610</v>
      </c>
      <c r="E139" s="775">
        <f t="shared" si="2"/>
        <v>13110</v>
      </c>
      <c r="F139" s="543"/>
    </row>
    <row r="140" spans="1:6" customFormat="1" ht="12.75" hidden="1" outlineLevel="1" x14ac:dyDescent="0.2">
      <c r="A140" s="3">
        <v>5155150000</v>
      </c>
      <c r="B140" s="207" t="s">
        <v>62</v>
      </c>
      <c r="C140" s="226">
        <f>+PRESUPUESTO!G141</f>
        <v>52500</v>
      </c>
      <c r="D140" s="226">
        <f>(+EDUC.CONT.!V20)/1000</f>
        <v>35480</v>
      </c>
      <c r="E140" s="775">
        <f t="shared" si="2"/>
        <v>87980</v>
      </c>
      <c r="F140" s="543"/>
    </row>
    <row r="141" spans="1:6" customFormat="1" ht="12.75" hidden="1" outlineLevel="1" x14ac:dyDescent="0.2">
      <c r="A141" s="3">
        <v>5155200000</v>
      </c>
      <c r="B141" s="207" t="s">
        <v>63</v>
      </c>
      <c r="C141" s="225">
        <f>+PRESUPUESTO!G142</f>
        <v>0</v>
      </c>
      <c r="D141" s="225"/>
      <c r="E141" s="777">
        <f t="shared" si="2"/>
        <v>0</v>
      </c>
      <c r="F141" s="543"/>
    </row>
    <row r="142" spans="1:6" customFormat="1" ht="12.75" hidden="1" outlineLevel="1" x14ac:dyDescent="0.2">
      <c r="A142" s="3">
        <v>5155950100</v>
      </c>
      <c r="B142" s="207" t="s">
        <v>285</v>
      </c>
      <c r="C142" s="316">
        <f>+PRESUPUESTO!G143</f>
        <v>0</v>
      </c>
      <c r="D142" s="607"/>
      <c r="E142" s="776">
        <f t="shared" si="2"/>
        <v>0</v>
      </c>
      <c r="F142" s="543"/>
    </row>
    <row r="143" spans="1:6" customFormat="1" ht="12.75" hidden="1" outlineLevel="1" x14ac:dyDescent="0.2">
      <c r="A143" s="3">
        <v>5155950200</v>
      </c>
      <c r="B143" s="207" t="s">
        <v>286</v>
      </c>
      <c r="C143" s="225">
        <f>+PRESUPUESTO!G144</f>
        <v>0</v>
      </c>
      <c r="D143" s="607"/>
      <c r="E143" s="776">
        <f t="shared" si="2"/>
        <v>0</v>
      </c>
      <c r="F143" s="543"/>
    </row>
    <row r="144" spans="1:6" customFormat="1" ht="12.75" hidden="1" outlineLevel="1" x14ac:dyDescent="0.2">
      <c r="A144" s="3"/>
      <c r="B144" s="318" t="s">
        <v>515</v>
      </c>
      <c r="C144" s="225"/>
      <c r="D144" s="607"/>
      <c r="E144" s="776">
        <f t="shared" si="2"/>
        <v>0</v>
      </c>
      <c r="F144" s="543"/>
    </row>
    <row r="145" spans="1:6" customFormat="1" ht="12.75" hidden="1" outlineLevel="1" x14ac:dyDescent="0.2">
      <c r="A145" s="3">
        <v>5165951000</v>
      </c>
      <c r="B145" s="317" t="s">
        <v>93</v>
      </c>
      <c r="C145" s="226">
        <f>+PRESUPUESTO!G146</f>
        <v>111000</v>
      </c>
      <c r="D145" s="607"/>
      <c r="E145" s="776">
        <f t="shared" si="2"/>
        <v>111000</v>
      </c>
      <c r="F145" s="543"/>
    </row>
    <row r="146" spans="1:6" customFormat="1" ht="12.75" hidden="1" outlineLevel="1" x14ac:dyDescent="0.2">
      <c r="A146" s="3"/>
      <c r="B146" s="318" t="s">
        <v>516</v>
      </c>
      <c r="C146" s="225"/>
      <c r="D146" s="225"/>
      <c r="E146" s="777">
        <f t="shared" si="2"/>
        <v>0</v>
      </c>
      <c r="F146" s="543"/>
    </row>
    <row r="147" spans="1:6" customFormat="1" ht="12.75" hidden="1" outlineLevel="1" x14ac:dyDescent="0.2">
      <c r="A147" s="3">
        <v>5195100000</v>
      </c>
      <c r="B147" s="207" t="s">
        <v>65</v>
      </c>
      <c r="C147" s="225">
        <f>+PRESUPUESTO!G148</f>
        <v>88636.800000000003</v>
      </c>
      <c r="D147" s="225"/>
      <c r="E147" s="777">
        <f t="shared" si="2"/>
        <v>88636.800000000003</v>
      </c>
      <c r="F147" s="543"/>
    </row>
    <row r="148" spans="1:6" customFormat="1" ht="12.75" hidden="1" outlineLevel="1" x14ac:dyDescent="0.2">
      <c r="A148" s="3">
        <v>5195200000</v>
      </c>
      <c r="B148" s="207" t="s">
        <v>66</v>
      </c>
      <c r="C148" s="226">
        <f>+PRESUPUESTO!G149</f>
        <v>20790</v>
      </c>
      <c r="D148" s="226">
        <f>(+EDUC.CONT.!V21)/1000</f>
        <v>52155.5</v>
      </c>
      <c r="E148" s="775">
        <f t="shared" si="2"/>
        <v>72945.5</v>
      </c>
      <c r="F148" s="543"/>
    </row>
    <row r="149" spans="1:6" customFormat="1" ht="12.75" hidden="1" outlineLevel="1" x14ac:dyDescent="0.2">
      <c r="A149" s="3">
        <v>5195250000</v>
      </c>
      <c r="B149" s="207" t="s">
        <v>67</v>
      </c>
      <c r="C149" s="225">
        <f>+PRESUPUESTO!G150</f>
        <v>8190</v>
      </c>
      <c r="D149" s="225"/>
      <c r="E149" s="777">
        <f t="shared" si="2"/>
        <v>8190</v>
      </c>
      <c r="F149" s="543"/>
    </row>
    <row r="150" spans="1:6" customFormat="1" ht="12.75" hidden="1" outlineLevel="1" x14ac:dyDescent="0.2">
      <c r="A150" s="3">
        <v>5195300000</v>
      </c>
      <c r="B150" s="207" t="s">
        <v>68</v>
      </c>
      <c r="C150" s="226">
        <f>+PRESUPUESTO!G151</f>
        <v>20160</v>
      </c>
      <c r="D150" s="226">
        <f>(+EDUC.CONT.!V22)/1000</f>
        <v>44311.5</v>
      </c>
      <c r="E150" s="775">
        <f t="shared" si="2"/>
        <v>64471.5</v>
      </c>
      <c r="F150" s="543"/>
    </row>
    <row r="151" spans="1:6" customFormat="1" ht="12.75" hidden="1" outlineLevel="1" x14ac:dyDescent="0.2">
      <c r="A151" s="3">
        <v>5195350000</v>
      </c>
      <c r="B151" s="207" t="s">
        <v>287</v>
      </c>
      <c r="C151" s="225">
        <f>+PRESUPUESTO!G152</f>
        <v>0</v>
      </c>
      <c r="D151" s="225"/>
      <c r="E151" s="777">
        <f t="shared" si="2"/>
        <v>0</v>
      </c>
      <c r="F151" s="543"/>
    </row>
    <row r="152" spans="1:6" customFormat="1" ht="12.75" hidden="1" outlineLevel="1" x14ac:dyDescent="0.2">
      <c r="A152" s="3">
        <v>5195450000</v>
      </c>
      <c r="B152" s="207" t="s">
        <v>69</v>
      </c>
      <c r="C152" s="226">
        <f>+PRESUPUESTO!G153</f>
        <v>20125</v>
      </c>
      <c r="D152" s="226">
        <f>(+EDUC.CONT.!V23)/1000</f>
        <v>1740</v>
      </c>
      <c r="E152" s="775">
        <f t="shared" si="2"/>
        <v>21865</v>
      </c>
      <c r="F152" s="543"/>
    </row>
    <row r="153" spans="1:6" customFormat="1" ht="12.75" hidden="1" outlineLevel="1" x14ac:dyDescent="0.2">
      <c r="A153" s="3">
        <v>5195500000</v>
      </c>
      <c r="B153" s="207" t="s">
        <v>332</v>
      </c>
      <c r="C153" s="225">
        <f>+PRESUPUESTO!G154</f>
        <v>0</v>
      </c>
      <c r="D153" s="225"/>
      <c r="E153" s="777">
        <f t="shared" si="2"/>
        <v>0</v>
      </c>
      <c r="F153" s="543"/>
    </row>
    <row r="154" spans="1:6" customFormat="1" ht="12.75" hidden="1" outlineLevel="1" x14ac:dyDescent="0.2">
      <c r="A154" s="3">
        <v>5195650000</v>
      </c>
      <c r="B154" s="207" t="s">
        <v>333</v>
      </c>
      <c r="C154" s="225">
        <f>+PRESUPUESTO!G155</f>
        <v>0</v>
      </c>
      <c r="D154" s="225"/>
      <c r="E154" s="777">
        <f t="shared" si="2"/>
        <v>0</v>
      </c>
      <c r="F154" s="543"/>
    </row>
    <row r="155" spans="1:6" customFormat="1" ht="12.75" hidden="1" outlineLevel="1" x14ac:dyDescent="0.2">
      <c r="A155" s="3">
        <v>5195950100</v>
      </c>
      <c r="B155" s="207" t="s">
        <v>54</v>
      </c>
      <c r="C155" s="226">
        <f>+PRESUPUESTO!G156</f>
        <v>80000</v>
      </c>
      <c r="D155" s="607"/>
      <c r="E155" s="776">
        <f t="shared" si="2"/>
        <v>80000</v>
      </c>
      <c r="F155" s="543"/>
    </row>
    <row r="156" spans="1:6" customFormat="1" ht="12.75" hidden="1" outlineLevel="1" x14ac:dyDescent="0.2">
      <c r="A156" s="3">
        <v>5195950200</v>
      </c>
      <c r="B156" s="207" t="s">
        <v>70</v>
      </c>
      <c r="C156" s="226">
        <f>+PRESUPUESTO!G157</f>
        <v>67410</v>
      </c>
      <c r="D156" s="226">
        <f>(+EDUC.CONT.!V24)/1000</f>
        <v>2500</v>
      </c>
      <c r="E156" s="775">
        <f t="shared" si="2"/>
        <v>69910</v>
      </c>
      <c r="F156" s="543"/>
    </row>
    <row r="157" spans="1:6" customFormat="1" ht="12.75" hidden="1" outlineLevel="1" x14ac:dyDescent="0.2">
      <c r="A157" s="3">
        <v>5195950300</v>
      </c>
      <c r="B157" s="207" t="s">
        <v>71</v>
      </c>
      <c r="C157" s="225">
        <f>+PRESUPUESTO!G158</f>
        <v>0</v>
      </c>
      <c r="D157" s="225"/>
      <c r="E157" s="777">
        <f t="shared" si="2"/>
        <v>0</v>
      </c>
      <c r="F157" s="543"/>
    </row>
    <row r="158" spans="1:6" customFormat="1" ht="12.75" hidden="1" outlineLevel="1" x14ac:dyDescent="0.2">
      <c r="A158" s="3">
        <v>5195950400</v>
      </c>
      <c r="B158" s="207" t="s">
        <v>72</v>
      </c>
      <c r="C158" s="225">
        <f>+PRESUPUESTO!G159</f>
        <v>609</v>
      </c>
      <c r="D158" s="225"/>
      <c r="E158" s="777">
        <f t="shared" si="2"/>
        <v>609</v>
      </c>
      <c r="F158" s="543"/>
    </row>
    <row r="159" spans="1:6" customFormat="1" ht="12.75" hidden="1" outlineLevel="1" x14ac:dyDescent="0.2">
      <c r="A159" s="3">
        <v>5195950500</v>
      </c>
      <c r="B159" s="207" t="s">
        <v>334</v>
      </c>
      <c r="C159" s="225">
        <f>+PRESUPUESTO!G160</f>
        <v>0</v>
      </c>
      <c r="D159" s="225"/>
      <c r="E159" s="777">
        <f t="shared" si="2"/>
        <v>0</v>
      </c>
      <c r="F159" s="543"/>
    </row>
    <row r="160" spans="1:6" customFormat="1" ht="12.75" hidden="1" outlineLevel="1" x14ac:dyDescent="0.2">
      <c r="A160" s="3">
        <v>5195950600</v>
      </c>
      <c r="B160" s="207" t="s">
        <v>73</v>
      </c>
      <c r="C160" s="225">
        <f>+PRESUPUESTO!G161</f>
        <v>0</v>
      </c>
      <c r="D160" s="225"/>
      <c r="E160" s="777">
        <f t="shared" si="2"/>
        <v>0</v>
      </c>
      <c r="F160" s="543"/>
    </row>
    <row r="161" spans="1:6" customFormat="1" ht="12.75" hidden="1" outlineLevel="1" x14ac:dyDescent="0.2">
      <c r="A161" s="3">
        <v>5195950800</v>
      </c>
      <c r="B161" s="207" t="s">
        <v>74</v>
      </c>
      <c r="C161" s="225">
        <f>+PRESUPUESTO!G162</f>
        <v>543.9</v>
      </c>
      <c r="D161" s="225"/>
      <c r="E161" s="777">
        <f t="shared" si="2"/>
        <v>543.9</v>
      </c>
      <c r="F161" s="543"/>
    </row>
    <row r="162" spans="1:6" customFormat="1" ht="12.75" hidden="1" outlineLevel="1" x14ac:dyDescent="0.2">
      <c r="A162" s="3">
        <v>5195950900</v>
      </c>
      <c r="B162" s="207" t="s">
        <v>335</v>
      </c>
      <c r="C162" s="225">
        <f>+PRESUPUESTO!G163</f>
        <v>0</v>
      </c>
      <c r="D162" s="225"/>
      <c r="E162" s="777">
        <f t="shared" si="2"/>
        <v>0</v>
      </c>
      <c r="F162" s="543"/>
    </row>
    <row r="163" spans="1:6" customFormat="1" ht="12.75" hidden="1" outlineLevel="1" x14ac:dyDescent="0.2">
      <c r="A163" s="3">
        <v>5195951000</v>
      </c>
      <c r="B163" s="207" t="s">
        <v>75</v>
      </c>
      <c r="C163" s="225">
        <f>+PRESUPUESTO!G164</f>
        <v>0</v>
      </c>
      <c r="D163" s="225"/>
      <c r="E163" s="777">
        <f t="shared" si="2"/>
        <v>0</v>
      </c>
      <c r="F163" s="543"/>
    </row>
    <row r="164" spans="1:6" customFormat="1" ht="12.75" hidden="1" outlineLevel="1" x14ac:dyDescent="0.2">
      <c r="A164" s="3">
        <v>5195951100</v>
      </c>
      <c r="B164" s="207" t="s">
        <v>288</v>
      </c>
      <c r="C164" s="225">
        <f>+PRESUPUESTO!G165</f>
        <v>0</v>
      </c>
      <c r="D164" s="225"/>
      <c r="E164" s="777">
        <f t="shared" si="2"/>
        <v>0</v>
      </c>
      <c r="F164" s="543"/>
    </row>
    <row r="165" spans="1:6" customFormat="1" ht="12.75" hidden="1" outlineLevel="1" x14ac:dyDescent="0.2">
      <c r="A165" s="3">
        <v>5195951200</v>
      </c>
      <c r="B165" s="207" t="s">
        <v>336</v>
      </c>
      <c r="C165" s="225">
        <f>+PRESUPUESTO!G166</f>
        <v>52034</v>
      </c>
      <c r="D165" s="225"/>
      <c r="E165" s="777">
        <f t="shared" si="2"/>
        <v>52034</v>
      </c>
      <c r="F165" s="543"/>
    </row>
    <row r="166" spans="1:6" customFormat="1" ht="12.75" hidden="1" outlineLevel="1" x14ac:dyDescent="0.2">
      <c r="A166" s="3">
        <v>5195951300</v>
      </c>
      <c r="B166" s="207" t="s">
        <v>76</v>
      </c>
      <c r="C166" s="225">
        <f>+PRESUPUESTO!G167</f>
        <v>0</v>
      </c>
      <c r="D166" s="225"/>
      <c r="E166" s="777">
        <f t="shared" si="2"/>
        <v>0</v>
      </c>
      <c r="F166" s="543"/>
    </row>
    <row r="167" spans="1:6" customFormat="1" ht="12.75" hidden="1" outlineLevel="1" x14ac:dyDescent="0.2">
      <c r="A167" s="3">
        <v>5195951400</v>
      </c>
      <c r="B167" s="207" t="s">
        <v>337</v>
      </c>
      <c r="C167" s="225">
        <f>+PRESUPUESTO!G168</f>
        <v>0</v>
      </c>
      <c r="D167" s="225"/>
      <c r="E167" s="777">
        <f t="shared" si="2"/>
        <v>0</v>
      </c>
      <c r="F167" s="543"/>
    </row>
    <row r="168" spans="1:6" customFormat="1" ht="12.75" hidden="1" outlineLevel="1" x14ac:dyDescent="0.2">
      <c r="A168" s="3">
        <v>5195951500</v>
      </c>
      <c r="B168" s="207" t="s">
        <v>77</v>
      </c>
      <c r="C168" s="225">
        <f>+PRESUPUESTO!G169</f>
        <v>979.65000000000009</v>
      </c>
      <c r="D168" s="225"/>
      <c r="E168" s="777">
        <f t="shared" si="2"/>
        <v>979.65000000000009</v>
      </c>
      <c r="F168" s="543"/>
    </row>
    <row r="169" spans="1:6" customFormat="1" ht="12.75" hidden="1" outlineLevel="1" x14ac:dyDescent="0.2">
      <c r="A169" s="3">
        <v>5195951600</v>
      </c>
      <c r="B169" s="207" t="s">
        <v>64</v>
      </c>
      <c r="C169" s="225">
        <f>+PRESUPUESTO!G170</f>
        <v>0</v>
      </c>
      <c r="D169" s="225">
        <f>(+EDUC.CONT.!V25)/1000</f>
        <v>1800</v>
      </c>
      <c r="E169" s="777">
        <f t="shared" si="2"/>
        <v>1800</v>
      </c>
      <c r="F169" s="543"/>
    </row>
    <row r="170" spans="1:6" customFormat="1" ht="12.75" hidden="1" outlineLevel="1" x14ac:dyDescent="0.2">
      <c r="A170" s="3">
        <v>5195951900</v>
      </c>
      <c r="B170" s="207" t="s">
        <v>78</v>
      </c>
      <c r="C170" s="225">
        <f>+PRESUPUESTO!G171</f>
        <v>823.2</v>
      </c>
      <c r="D170" s="225"/>
      <c r="E170" s="777">
        <f t="shared" si="2"/>
        <v>823.2</v>
      </c>
      <c r="F170" s="543"/>
    </row>
    <row r="171" spans="1:6" customFormat="1" ht="12.75" hidden="1" outlineLevel="1" x14ac:dyDescent="0.2">
      <c r="A171" s="3">
        <v>5195952000</v>
      </c>
      <c r="B171" s="207" t="s">
        <v>338</v>
      </c>
      <c r="C171" s="225">
        <f>+PRESUPUESTO!G172</f>
        <v>0</v>
      </c>
      <c r="D171" s="225"/>
      <c r="E171" s="777">
        <f t="shared" si="2"/>
        <v>0</v>
      </c>
      <c r="F171" s="543"/>
    </row>
    <row r="172" spans="1:6" customFormat="1" ht="12.75" hidden="1" outlineLevel="1" x14ac:dyDescent="0.2">
      <c r="A172" s="3">
        <v>5195952800</v>
      </c>
      <c r="B172" s="317" t="s">
        <v>517</v>
      </c>
      <c r="C172" s="225">
        <f>+PRESUPUESTO!G173</f>
        <v>0</v>
      </c>
      <c r="D172" s="225"/>
      <c r="E172" s="777">
        <f t="shared" si="2"/>
        <v>0</v>
      </c>
      <c r="F172" s="543"/>
    </row>
    <row r="173" spans="1:6" customFormat="1" ht="12.75" hidden="1" outlineLevel="1" x14ac:dyDescent="0.2">
      <c r="A173" s="3">
        <v>5195953000</v>
      </c>
      <c r="B173" s="207" t="s">
        <v>339</v>
      </c>
      <c r="C173" s="225">
        <f>+PRESUPUESTO!G175</f>
        <v>0</v>
      </c>
      <c r="D173" s="225"/>
      <c r="E173" s="777">
        <f t="shared" si="2"/>
        <v>0</v>
      </c>
      <c r="F173" s="543"/>
    </row>
    <row r="174" spans="1:6" customFormat="1" ht="12.75" collapsed="1" x14ac:dyDescent="0.2">
      <c r="A174" s="176"/>
      <c r="B174" s="213" t="s">
        <v>79</v>
      </c>
      <c r="C174" s="214">
        <f>SUM(C78:C173)</f>
        <v>1242533.3999999997</v>
      </c>
      <c r="D174" s="214">
        <f>SUM(D78:D173)</f>
        <v>206398.736</v>
      </c>
      <c r="E174" s="780">
        <f t="shared" si="2"/>
        <v>1448932.1359999997</v>
      </c>
      <c r="F174" s="543"/>
    </row>
    <row r="175" spans="1:6" customFormat="1" ht="12.75" x14ac:dyDescent="0.2">
      <c r="A175" s="176"/>
      <c r="B175" s="209" t="s">
        <v>340</v>
      </c>
      <c r="C175" s="210">
        <f>+C61+C72+C174+C75</f>
        <v>20727504.132183883</v>
      </c>
      <c r="D175" s="210">
        <f>+D61+D72+D174+D75</f>
        <v>752792.09200000006</v>
      </c>
      <c r="E175" s="778">
        <f t="shared" si="2"/>
        <v>21480296.224183884</v>
      </c>
      <c r="F175" s="543"/>
    </row>
    <row r="176" spans="1:6" customFormat="1" ht="12.75" x14ac:dyDescent="0.2">
      <c r="A176" s="176"/>
      <c r="B176" s="212" t="s">
        <v>341</v>
      </c>
      <c r="C176" s="225" t="s">
        <v>169</v>
      </c>
      <c r="D176" s="225"/>
      <c r="E176" s="777"/>
      <c r="F176" s="543"/>
    </row>
    <row r="177" spans="1:6" customFormat="1" ht="12.75" hidden="1" outlineLevel="1" x14ac:dyDescent="0.2">
      <c r="A177" s="176"/>
      <c r="B177" s="212" t="s">
        <v>85</v>
      </c>
      <c r="C177" s="225" t="s">
        <v>169</v>
      </c>
      <c r="D177" s="225"/>
      <c r="E177" s="777"/>
      <c r="F177" s="543"/>
    </row>
    <row r="178" spans="1:6" customFormat="1" ht="12.75" hidden="1" outlineLevel="1" x14ac:dyDescent="0.2">
      <c r="A178" s="176" t="s">
        <v>342</v>
      </c>
      <c r="B178" s="207" t="s">
        <v>343</v>
      </c>
      <c r="C178" s="225">
        <f>+PRESUPUESTO!G180</f>
        <v>0</v>
      </c>
      <c r="D178" s="225"/>
      <c r="E178" s="777">
        <f t="shared" si="2"/>
        <v>0</v>
      </c>
      <c r="F178" s="543"/>
    </row>
    <row r="179" spans="1:6" customFormat="1" ht="12.75" hidden="1" outlineLevel="1" x14ac:dyDescent="0.2">
      <c r="A179" s="176" t="s">
        <v>651</v>
      </c>
      <c r="B179" s="207" t="s">
        <v>652</v>
      </c>
      <c r="C179" s="225">
        <f>+PRESUPUESTO!G181</f>
        <v>0</v>
      </c>
      <c r="D179" s="225"/>
      <c r="E179" s="777">
        <f t="shared" si="2"/>
        <v>0</v>
      </c>
      <c r="F179" s="543"/>
    </row>
    <row r="180" spans="1:6" customFormat="1" ht="12.75" hidden="1" outlineLevel="1" x14ac:dyDescent="0.2">
      <c r="A180" s="177" t="s">
        <v>86</v>
      </c>
      <c r="B180" s="207" t="s">
        <v>87</v>
      </c>
      <c r="C180" s="225">
        <f>+PRESUPUESTO!G182</f>
        <v>24152.442300000002</v>
      </c>
      <c r="D180" s="225"/>
      <c r="E180" s="777">
        <f t="shared" si="2"/>
        <v>24152.442300000002</v>
      </c>
      <c r="F180" s="543"/>
    </row>
    <row r="181" spans="1:6" customFormat="1" ht="12.75" hidden="1" outlineLevel="1" x14ac:dyDescent="0.2">
      <c r="A181" s="177" t="s">
        <v>88</v>
      </c>
      <c r="B181" s="207" t="s">
        <v>89</v>
      </c>
      <c r="C181" s="225">
        <f>+PRESUPUESTO!G183</f>
        <v>66729.600000000006</v>
      </c>
      <c r="D181" s="225"/>
      <c r="E181" s="777">
        <f t="shared" si="2"/>
        <v>66729.600000000006</v>
      </c>
      <c r="F181" s="543"/>
    </row>
    <row r="182" spans="1:6" customFormat="1" ht="12.75" hidden="1" outlineLevel="1" x14ac:dyDescent="0.2">
      <c r="A182" s="177" t="s">
        <v>90</v>
      </c>
      <c r="B182" s="207" t="s">
        <v>91</v>
      </c>
      <c r="C182" s="225">
        <f>+PRESUPUESTO!G184</f>
        <v>32816.711025000004</v>
      </c>
      <c r="D182" s="225"/>
      <c r="E182" s="777">
        <f t="shared" si="2"/>
        <v>32816.711025000004</v>
      </c>
      <c r="F182" s="543"/>
    </row>
    <row r="183" spans="1:6" customFormat="1" ht="12.75" hidden="1" outlineLevel="1" x14ac:dyDescent="0.2">
      <c r="A183" s="177" t="s">
        <v>92</v>
      </c>
      <c r="B183" s="207" t="s">
        <v>93</v>
      </c>
      <c r="C183" s="225">
        <f>+PRESUPUESTO!G185</f>
        <v>139303.5</v>
      </c>
      <c r="D183" s="225"/>
      <c r="E183" s="777">
        <f t="shared" si="2"/>
        <v>139303.5</v>
      </c>
      <c r="F183" s="543"/>
    </row>
    <row r="184" spans="1:6" customFormat="1" ht="12.75" hidden="1" outlineLevel="1" x14ac:dyDescent="0.2">
      <c r="A184" s="177" t="s">
        <v>94</v>
      </c>
      <c r="B184" s="207" t="s">
        <v>95</v>
      </c>
      <c r="C184" s="225">
        <f>+PRESUPUESTO!G186</f>
        <v>461823.60000000003</v>
      </c>
      <c r="D184" s="225"/>
      <c r="E184" s="777">
        <f t="shared" si="2"/>
        <v>461823.60000000003</v>
      </c>
      <c r="F184" s="543"/>
    </row>
    <row r="185" spans="1:6" customFormat="1" ht="12.75" hidden="1" outlineLevel="1" x14ac:dyDescent="0.2">
      <c r="A185" s="177" t="s">
        <v>344</v>
      </c>
      <c r="B185" s="207" t="s">
        <v>345</v>
      </c>
      <c r="C185" s="225">
        <f>+PRESUPUESTO!G187</f>
        <v>0</v>
      </c>
      <c r="D185" s="225"/>
      <c r="E185" s="777">
        <f t="shared" si="2"/>
        <v>0</v>
      </c>
      <c r="F185" s="543"/>
    </row>
    <row r="186" spans="1:6" customFormat="1" ht="12.75" hidden="1" outlineLevel="1" x14ac:dyDescent="0.2">
      <c r="A186" s="177" t="s">
        <v>96</v>
      </c>
      <c r="B186" s="207" t="s">
        <v>97</v>
      </c>
      <c r="C186" s="225">
        <f>+PRESUPUESTO!G188</f>
        <v>274144.5</v>
      </c>
      <c r="D186" s="225"/>
      <c r="E186" s="777">
        <f t="shared" si="2"/>
        <v>274144.5</v>
      </c>
      <c r="F186" s="543"/>
    </row>
    <row r="187" spans="1:6" customFormat="1" ht="12.75" hidden="1" outlineLevel="1" x14ac:dyDescent="0.2">
      <c r="A187" s="177" t="s">
        <v>346</v>
      </c>
      <c r="B187" s="207" t="s">
        <v>347</v>
      </c>
      <c r="C187" s="225">
        <f>+PRESUPUESTO!G189</f>
        <v>0</v>
      </c>
      <c r="D187" s="225"/>
      <c r="E187" s="777">
        <f t="shared" si="2"/>
        <v>0</v>
      </c>
      <c r="F187" s="543"/>
    </row>
    <row r="188" spans="1:6" customFormat="1" ht="12.75" hidden="1" outlineLevel="1" x14ac:dyDescent="0.2">
      <c r="A188" s="177" t="s">
        <v>348</v>
      </c>
      <c r="B188" s="207" t="s">
        <v>349</v>
      </c>
      <c r="C188" s="225">
        <f>+PRESUPUESTO!G190</f>
        <v>0</v>
      </c>
      <c r="D188" s="225"/>
      <c r="E188" s="777">
        <f t="shared" si="2"/>
        <v>0</v>
      </c>
      <c r="F188" s="543"/>
    </row>
    <row r="189" spans="1:6" customFormat="1" ht="12.75" hidden="1" outlineLevel="1" x14ac:dyDescent="0.2">
      <c r="A189" s="177" t="s">
        <v>98</v>
      </c>
      <c r="B189" s="207" t="s">
        <v>99</v>
      </c>
      <c r="C189" s="225">
        <f>+PRESUPUESTO!G191</f>
        <v>249034</v>
      </c>
      <c r="D189" s="225"/>
      <c r="E189" s="777">
        <f t="shared" si="2"/>
        <v>249034</v>
      </c>
      <c r="F189" s="543"/>
    </row>
    <row r="190" spans="1:6" customFormat="1" ht="12.75" hidden="1" outlineLevel="1" x14ac:dyDescent="0.2">
      <c r="A190" s="177" t="s">
        <v>100</v>
      </c>
      <c r="B190" s="207" t="s">
        <v>101</v>
      </c>
      <c r="C190" s="225">
        <f>+PRESUPUESTO!G192</f>
        <v>227427.49102500002</v>
      </c>
      <c r="D190" s="225"/>
      <c r="E190" s="777">
        <f t="shared" si="2"/>
        <v>227427.49102500002</v>
      </c>
      <c r="F190" s="543"/>
    </row>
    <row r="191" spans="1:6" customFormat="1" ht="12.75" hidden="1" outlineLevel="1" x14ac:dyDescent="0.2">
      <c r="A191" s="177" t="s">
        <v>102</v>
      </c>
      <c r="B191" s="207" t="s">
        <v>103</v>
      </c>
      <c r="C191" s="225">
        <f>+PRESUPUESTO!G193</f>
        <v>111259.264725</v>
      </c>
      <c r="D191" s="225"/>
      <c r="E191" s="777">
        <f t="shared" si="2"/>
        <v>111259.264725</v>
      </c>
      <c r="F191" s="543"/>
    </row>
    <row r="192" spans="1:6" customFormat="1" ht="12.75" hidden="1" outlineLevel="1" x14ac:dyDescent="0.2">
      <c r="A192" s="177" t="s">
        <v>104</v>
      </c>
      <c r="B192" s="207" t="s">
        <v>105</v>
      </c>
      <c r="C192" s="225">
        <f>+PRESUPUESTO!G194</f>
        <v>304988.46997500001</v>
      </c>
      <c r="D192" s="225"/>
      <c r="E192" s="777">
        <f t="shared" si="2"/>
        <v>304988.46997500001</v>
      </c>
      <c r="F192" s="543"/>
    </row>
    <row r="193" spans="1:6" customFormat="1" ht="12.75" hidden="1" outlineLevel="1" x14ac:dyDescent="0.2">
      <c r="A193" s="177" t="s">
        <v>106</v>
      </c>
      <c r="B193" s="207" t="s">
        <v>107</v>
      </c>
      <c r="C193" s="225">
        <f>+PRESUPUESTO!G195</f>
        <v>0</v>
      </c>
      <c r="D193" s="225"/>
      <c r="E193" s="777">
        <f t="shared" si="2"/>
        <v>0</v>
      </c>
      <c r="F193" s="543"/>
    </row>
    <row r="194" spans="1:6" customFormat="1" ht="12.75" hidden="1" outlineLevel="1" x14ac:dyDescent="0.2">
      <c r="A194" s="177" t="s">
        <v>350</v>
      </c>
      <c r="B194" s="207" t="s">
        <v>351</v>
      </c>
      <c r="C194" s="225">
        <f>+PRESUPUESTO!G196</f>
        <v>0</v>
      </c>
      <c r="D194" s="225"/>
      <c r="E194" s="777">
        <f t="shared" si="2"/>
        <v>0</v>
      </c>
      <c r="F194" s="543"/>
    </row>
    <row r="195" spans="1:6" customFormat="1" ht="12.75" hidden="1" outlineLevel="1" x14ac:dyDescent="0.2">
      <c r="A195" s="177" t="s">
        <v>352</v>
      </c>
      <c r="B195" s="207" t="s">
        <v>353</v>
      </c>
      <c r="C195" s="225">
        <f>+PRESUPUESTO!G197</f>
        <v>0</v>
      </c>
      <c r="D195" s="225"/>
      <c r="E195" s="777">
        <f t="shared" si="2"/>
        <v>0</v>
      </c>
      <c r="F195" s="543"/>
    </row>
    <row r="196" spans="1:6" customFormat="1" ht="12.75" hidden="1" outlineLevel="1" x14ac:dyDescent="0.2">
      <c r="A196" s="177" t="s">
        <v>354</v>
      </c>
      <c r="B196" s="207" t="s">
        <v>355</v>
      </c>
      <c r="C196" s="225">
        <f>+PRESUPUESTO!G198</f>
        <v>0</v>
      </c>
      <c r="D196" s="225"/>
      <c r="E196" s="777">
        <f t="shared" si="2"/>
        <v>0</v>
      </c>
      <c r="F196" s="543"/>
    </row>
    <row r="197" spans="1:6" customFormat="1" ht="12.75" hidden="1" outlineLevel="1" x14ac:dyDescent="0.2">
      <c r="A197" s="177" t="s">
        <v>108</v>
      </c>
      <c r="B197" s="207" t="s">
        <v>109</v>
      </c>
      <c r="C197" s="225">
        <f>+PRESUPUESTO!G199</f>
        <v>0</v>
      </c>
      <c r="D197" s="225"/>
      <c r="E197" s="777">
        <f t="shared" si="2"/>
        <v>0</v>
      </c>
      <c r="F197" s="543"/>
    </row>
    <row r="198" spans="1:6" customFormat="1" ht="12.75" hidden="1" outlineLevel="1" x14ac:dyDescent="0.2">
      <c r="A198" s="177" t="s">
        <v>110</v>
      </c>
      <c r="B198" s="207" t="s">
        <v>111</v>
      </c>
      <c r="C198" s="225">
        <f>+PRESUPUESTO!G200</f>
        <v>0</v>
      </c>
      <c r="D198" s="225"/>
      <c r="E198" s="777">
        <f t="shared" si="2"/>
        <v>0</v>
      </c>
      <c r="F198" s="543"/>
    </row>
    <row r="199" spans="1:6" customFormat="1" ht="12.75" hidden="1" outlineLevel="1" x14ac:dyDescent="0.2">
      <c r="A199" s="177" t="s">
        <v>112</v>
      </c>
      <c r="B199" s="207" t="s">
        <v>356</v>
      </c>
      <c r="C199" s="225">
        <f>+PRESUPUESTO!G201</f>
        <v>0</v>
      </c>
      <c r="D199" s="225"/>
      <c r="E199" s="777">
        <f t="shared" si="2"/>
        <v>0</v>
      </c>
      <c r="F199" s="543"/>
    </row>
    <row r="200" spans="1:6" customFormat="1" ht="12.75" hidden="1" outlineLevel="1" x14ac:dyDescent="0.2">
      <c r="A200" s="177" t="s">
        <v>289</v>
      </c>
      <c r="B200" s="207" t="s">
        <v>357</v>
      </c>
      <c r="C200" s="225">
        <f>+PRESUPUESTO!G202</f>
        <v>0</v>
      </c>
      <c r="D200" s="225"/>
      <c r="E200" s="777">
        <f t="shared" si="2"/>
        <v>0</v>
      </c>
      <c r="F200" s="543"/>
    </row>
    <row r="201" spans="1:6" customFormat="1" ht="12.75" hidden="1" outlineLevel="1" x14ac:dyDescent="0.2">
      <c r="A201" s="177" t="s">
        <v>358</v>
      </c>
      <c r="B201" s="207" t="s">
        <v>359</v>
      </c>
      <c r="C201" s="225">
        <f>+PRESUPUESTO!G203</f>
        <v>0</v>
      </c>
      <c r="D201" s="225"/>
      <c r="E201" s="777">
        <f t="shared" ref="E201:E264" si="3">+C201+D201</f>
        <v>0</v>
      </c>
      <c r="F201" s="543"/>
    </row>
    <row r="202" spans="1:6" customFormat="1" ht="12.75" hidden="1" outlineLevel="1" x14ac:dyDescent="0.2">
      <c r="A202" s="177" t="s">
        <v>360</v>
      </c>
      <c r="B202" s="207" t="s">
        <v>361</v>
      </c>
      <c r="C202" s="225">
        <f>+PRESUPUESTO!G204</f>
        <v>0</v>
      </c>
      <c r="D202" s="225"/>
      <c r="E202" s="777">
        <f t="shared" si="3"/>
        <v>0</v>
      </c>
      <c r="F202" s="543"/>
    </row>
    <row r="203" spans="1:6" customFormat="1" ht="12.75" hidden="1" outlineLevel="1" x14ac:dyDescent="0.2">
      <c r="A203" s="177" t="s">
        <v>426</v>
      </c>
      <c r="B203" s="207" t="s">
        <v>427</v>
      </c>
      <c r="C203" s="225">
        <f>+PRESUPUESTO!G205</f>
        <v>0</v>
      </c>
      <c r="D203" s="225"/>
      <c r="E203" s="777">
        <f t="shared" si="3"/>
        <v>0</v>
      </c>
      <c r="F203" s="543"/>
    </row>
    <row r="204" spans="1:6" customFormat="1" ht="12.75" hidden="1" outlineLevel="1" x14ac:dyDescent="0.2">
      <c r="A204" s="177" t="s">
        <v>835</v>
      </c>
      <c r="B204" s="207" t="s">
        <v>836</v>
      </c>
      <c r="C204" s="225">
        <f>+PRESUPUESTO!G206</f>
        <v>8488.2000000000007</v>
      </c>
      <c r="D204" s="225"/>
      <c r="E204" s="777">
        <f t="shared" si="3"/>
        <v>8488.2000000000007</v>
      </c>
      <c r="F204" s="543"/>
    </row>
    <row r="205" spans="1:6" customFormat="1" ht="12.75" hidden="1" outlineLevel="1" x14ac:dyDescent="0.2">
      <c r="A205" s="177" t="s">
        <v>837</v>
      </c>
      <c r="B205" s="207" t="s">
        <v>838</v>
      </c>
      <c r="C205" s="225">
        <f>+PRESUPUESTO!G207</f>
        <v>1141.3500000000001</v>
      </c>
      <c r="D205" s="225"/>
      <c r="E205" s="777">
        <f t="shared" si="3"/>
        <v>1141.3500000000001</v>
      </c>
      <c r="F205" s="543"/>
    </row>
    <row r="206" spans="1:6" customFormat="1" ht="12.75" hidden="1" outlineLevel="1" x14ac:dyDescent="0.2">
      <c r="A206" s="177" t="s">
        <v>260</v>
      </c>
      <c r="B206" s="207" t="s">
        <v>362</v>
      </c>
      <c r="C206" s="225">
        <f>+PRESUPUESTO!G208</f>
        <v>649057.5</v>
      </c>
      <c r="D206" s="225"/>
      <c r="E206" s="777">
        <f t="shared" si="3"/>
        <v>649057.5</v>
      </c>
      <c r="F206" s="543"/>
    </row>
    <row r="207" spans="1:6" customFormat="1" ht="12.75" hidden="1" outlineLevel="1" x14ac:dyDescent="0.2">
      <c r="A207" s="177" t="s">
        <v>421</v>
      </c>
      <c r="B207" s="207" t="s">
        <v>422</v>
      </c>
      <c r="C207" s="225">
        <f>+PRESUPUESTO!G209</f>
        <v>38035.200000000004</v>
      </c>
      <c r="D207" s="225"/>
      <c r="E207" s="777">
        <f t="shared" si="3"/>
        <v>38035.200000000004</v>
      </c>
      <c r="F207" s="543"/>
    </row>
    <row r="208" spans="1:6" customFormat="1" ht="12.75" hidden="1" outlineLevel="1" x14ac:dyDescent="0.2">
      <c r="A208" s="321" t="s">
        <v>521</v>
      </c>
      <c r="B208" s="207" t="s">
        <v>522</v>
      </c>
      <c r="C208" s="225">
        <f>+PRESUPUESTO!G210</f>
        <v>365955</v>
      </c>
      <c r="D208" s="225"/>
      <c r="E208" s="777">
        <f t="shared" si="3"/>
        <v>365955</v>
      </c>
      <c r="F208" s="543"/>
    </row>
    <row r="209" spans="1:6" customFormat="1" ht="12.75" hidden="1" outlineLevel="1" x14ac:dyDescent="0.2">
      <c r="A209" s="321" t="s">
        <v>643</v>
      </c>
      <c r="B209" s="207" t="s">
        <v>644</v>
      </c>
      <c r="C209" s="225">
        <f>+PRESUPUESTO!G211</f>
        <v>2648458.2810000004</v>
      </c>
      <c r="D209" s="225"/>
      <c r="E209" s="777">
        <f t="shared" si="3"/>
        <v>2648458.2810000004</v>
      </c>
      <c r="F209" s="543"/>
    </row>
    <row r="210" spans="1:6" customFormat="1" ht="12.75" hidden="1" outlineLevel="1" x14ac:dyDescent="0.2">
      <c r="A210" s="321" t="s">
        <v>645</v>
      </c>
      <c r="B210" s="207" t="s">
        <v>647</v>
      </c>
      <c r="C210" s="225">
        <f>+PRESUPUESTO!G212</f>
        <v>0</v>
      </c>
      <c r="D210" s="225"/>
      <c r="E210" s="777">
        <f t="shared" si="3"/>
        <v>0</v>
      </c>
      <c r="F210" s="543"/>
    </row>
    <row r="211" spans="1:6" customFormat="1" ht="12.75" hidden="1" outlineLevel="1" x14ac:dyDescent="0.2">
      <c r="A211" s="321" t="s">
        <v>648</v>
      </c>
      <c r="B211" s="207" t="s">
        <v>646</v>
      </c>
      <c r="C211" s="225">
        <f>+PRESUPUESTO!G213</f>
        <v>756702.36600000004</v>
      </c>
      <c r="D211" s="225"/>
      <c r="E211" s="777">
        <f t="shared" si="3"/>
        <v>756702.36600000004</v>
      </c>
      <c r="F211" s="543"/>
    </row>
    <row r="212" spans="1:6" customFormat="1" ht="12.75" hidden="1" outlineLevel="1" x14ac:dyDescent="0.2">
      <c r="A212" s="177" t="s">
        <v>650</v>
      </c>
      <c r="B212" s="207" t="s">
        <v>649</v>
      </c>
      <c r="C212" s="225">
        <f>+PRESUPUESTO!G215</f>
        <v>0</v>
      </c>
      <c r="D212" s="225"/>
      <c r="E212" s="777">
        <f t="shared" si="3"/>
        <v>0</v>
      </c>
      <c r="F212" s="543"/>
    </row>
    <row r="213" spans="1:6" customFormat="1" ht="12.75" hidden="1" outlineLevel="1" x14ac:dyDescent="0.2">
      <c r="A213" s="177" t="s">
        <v>423</v>
      </c>
      <c r="B213" s="207" t="s">
        <v>424</v>
      </c>
      <c r="C213" s="225">
        <f>+PRESUPUESTO!G216</f>
        <v>586202</v>
      </c>
      <c r="D213" s="225"/>
      <c r="E213" s="777">
        <f t="shared" si="3"/>
        <v>586202</v>
      </c>
      <c r="F213" s="543"/>
    </row>
    <row r="214" spans="1:6" customFormat="1" ht="12.75" collapsed="1" x14ac:dyDescent="0.2">
      <c r="A214" s="177"/>
      <c r="B214" s="213" t="s">
        <v>113</v>
      </c>
      <c r="C214" s="214">
        <f>SUM(C178:C213)</f>
        <v>6945719.4760500006</v>
      </c>
      <c r="D214" s="214">
        <f>SUM(D178:D213)</f>
        <v>0</v>
      </c>
      <c r="E214" s="780">
        <f t="shared" si="3"/>
        <v>6945719.4760500006</v>
      </c>
      <c r="F214" s="543"/>
    </row>
    <row r="215" spans="1:6" customFormat="1" ht="12.75" hidden="1" outlineLevel="1" x14ac:dyDescent="0.2">
      <c r="A215" s="177"/>
      <c r="B215" s="212" t="s">
        <v>114</v>
      </c>
      <c r="C215" s="208" t="s">
        <v>169</v>
      </c>
      <c r="D215" s="208"/>
      <c r="E215" s="779"/>
      <c r="F215" s="543"/>
    </row>
    <row r="216" spans="1:6" customFormat="1" ht="12.75" hidden="1" outlineLevel="1" x14ac:dyDescent="0.2">
      <c r="A216" s="177" t="s">
        <v>115</v>
      </c>
      <c r="B216" s="207" t="s">
        <v>116</v>
      </c>
      <c r="C216" s="225">
        <f>+PRESUPUESTO!G219</f>
        <v>37338.863625000005</v>
      </c>
      <c r="D216" s="225"/>
      <c r="E216" s="777">
        <f t="shared" si="3"/>
        <v>37338.863625000005</v>
      </c>
      <c r="F216" s="543"/>
    </row>
    <row r="217" spans="1:6" customFormat="1" ht="12.75" hidden="1" outlineLevel="1" x14ac:dyDescent="0.2">
      <c r="A217" s="177" t="s">
        <v>117</v>
      </c>
      <c r="B217" s="207" t="s">
        <v>118</v>
      </c>
      <c r="C217" s="225">
        <f>+PRESUPUESTO!G220</f>
        <v>4551.9153750000005</v>
      </c>
      <c r="D217" s="225"/>
      <c r="E217" s="777">
        <f t="shared" si="3"/>
        <v>4551.9153750000005</v>
      </c>
      <c r="F217" s="543"/>
    </row>
    <row r="218" spans="1:6" customFormat="1" ht="12.75" hidden="1" outlineLevel="1" x14ac:dyDescent="0.2">
      <c r="A218" s="177" t="s">
        <v>119</v>
      </c>
      <c r="B218" s="207" t="s">
        <v>120</v>
      </c>
      <c r="C218" s="225">
        <f>+PRESUPUESTO!G221</f>
        <v>55549.156949999997</v>
      </c>
      <c r="D218" s="225"/>
      <c r="E218" s="777">
        <f t="shared" si="3"/>
        <v>55549.156949999997</v>
      </c>
      <c r="F218" s="543"/>
    </row>
    <row r="219" spans="1:6" customFormat="1" ht="12.75" hidden="1" outlineLevel="1" x14ac:dyDescent="0.2">
      <c r="A219" s="177" t="s">
        <v>121</v>
      </c>
      <c r="B219" s="207" t="s">
        <v>122</v>
      </c>
      <c r="C219" s="225">
        <f>+PRESUPUESTO!G222</f>
        <v>24146.989650000003</v>
      </c>
      <c r="D219" s="225"/>
      <c r="E219" s="777">
        <f t="shared" si="3"/>
        <v>24146.989650000003</v>
      </c>
      <c r="F219" s="543"/>
    </row>
    <row r="220" spans="1:6" customFormat="1" ht="12.75" hidden="1" outlineLevel="1" x14ac:dyDescent="0.2">
      <c r="A220" s="177" t="s">
        <v>123</v>
      </c>
      <c r="B220" s="207" t="s">
        <v>124</v>
      </c>
      <c r="C220" s="225">
        <f>+PRESUPUESTO!G223</f>
        <v>60171.671699999992</v>
      </c>
      <c r="D220" s="225"/>
      <c r="E220" s="777">
        <f t="shared" si="3"/>
        <v>60171.671699999992</v>
      </c>
      <c r="F220" s="543"/>
    </row>
    <row r="221" spans="1:6" customFormat="1" ht="12.75" hidden="1" outlineLevel="1" x14ac:dyDescent="0.2">
      <c r="A221" s="177" t="s">
        <v>125</v>
      </c>
      <c r="B221" s="207" t="s">
        <v>126</v>
      </c>
      <c r="C221" s="225">
        <f>+PRESUPUESTO!G224</f>
        <v>11148.984</v>
      </c>
      <c r="D221" s="225"/>
      <c r="E221" s="777">
        <f t="shared" si="3"/>
        <v>11148.984</v>
      </c>
      <c r="F221" s="543"/>
    </row>
    <row r="222" spans="1:6" customFormat="1" ht="12.75" hidden="1" outlineLevel="1" x14ac:dyDescent="0.2">
      <c r="A222" s="177" t="s">
        <v>127</v>
      </c>
      <c r="B222" s="207" t="s">
        <v>128</v>
      </c>
      <c r="C222" s="225">
        <f>+PRESUPUESTO!G225</f>
        <v>31934.889000000003</v>
      </c>
      <c r="D222" s="225"/>
      <c r="E222" s="777">
        <f t="shared" si="3"/>
        <v>31934.889000000003</v>
      </c>
      <c r="F222" s="543"/>
    </row>
    <row r="223" spans="1:6" customFormat="1" ht="12.75" hidden="1" outlineLevel="1" x14ac:dyDescent="0.2">
      <c r="A223" s="177" t="s">
        <v>129</v>
      </c>
      <c r="B223" s="207" t="s">
        <v>130</v>
      </c>
      <c r="C223" s="225">
        <f>+PRESUPUESTO!G226</f>
        <v>41377.957425000008</v>
      </c>
      <c r="D223" s="225"/>
      <c r="E223" s="777">
        <f t="shared" si="3"/>
        <v>41377.957425000008</v>
      </c>
      <c r="F223" s="543"/>
    </row>
    <row r="224" spans="1:6" customFormat="1" ht="12.75" hidden="1" outlineLevel="1" x14ac:dyDescent="0.2">
      <c r="A224" s="177" t="s">
        <v>131</v>
      </c>
      <c r="B224" s="207" t="s">
        <v>132</v>
      </c>
      <c r="C224" s="225">
        <f>+PRESUPUESTO!G227</f>
        <v>130805.35177500002</v>
      </c>
      <c r="D224" s="225"/>
      <c r="E224" s="777">
        <f t="shared" si="3"/>
        <v>130805.35177500002</v>
      </c>
      <c r="F224" s="543"/>
    </row>
    <row r="225" spans="1:6" customFormat="1" ht="12.75" hidden="1" outlineLevel="1" x14ac:dyDescent="0.2">
      <c r="A225" s="177" t="s">
        <v>363</v>
      </c>
      <c r="B225" s="207" t="s">
        <v>364</v>
      </c>
      <c r="C225" s="225">
        <f>+PRESUPUESTO!G228</f>
        <v>208433.40000000002</v>
      </c>
      <c r="D225" s="225"/>
      <c r="E225" s="777">
        <f t="shared" si="3"/>
        <v>208433.40000000002</v>
      </c>
      <c r="F225" s="543"/>
    </row>
    <row r="226" spans="1:6" customFormat="1" ht="12.75" hidden="1" outlineLevel="1" x14ac:dyDescent="0.2">
      <c r="A226" s="177" t="s">
        <v>365</v>
      </c>
      <c r="B226" s="207" t="s">
        <v>366</v>
      </c>
      <c r="C226" s="225">
        <f>+PRESUPUESTO!G229</f>
        <v>6332.8497750000006</v>
      </c>
      <c r="D226" s="225"/>
      <c r="E226" s="777">
        <f t="shared" si="3"/>
        <v>6332.8497750000006</v>
      </c>
      <c r="F226" s="543"/>
    </row>
    <row r="227" spans="1:6" customFormat="1" ht="12.75" hidden="1" outlineLevel="1" x14ac:dyDescent="0.2">
      <c r="A227" s="177" t="s">
        <v>367</v>
      </c>
      <c r="B227" s="207" t="s">
        <v>368</v>
      </c>
      <c r="C227" s="225">
        <f>+PRESUPUESTO!G230</f>
        <v>21442.670550000003</v>
      </c>
      <c r="D227" s="225"/>
      <c r="E227" s="777">
        <f t="shared" si="3"/>
        <v>21442.670550000003</v>
      </c>
      <c r="F227" s="543"/>
    </row>
    <row r="228" spans="1:6" customFormat="1" ht="12.75" hidden="1" outlineLevel="1" x14ac:dyDescent="0.2">
      <c r="A228" s="177" t="s">
        <v>133</v>
      </c>
      <c r="B228" s="207" t="s">
        <v>134</v>
      </c>
      <c r="C228" s="225">
        <f>+PRESUPUESTO!G231</f>
        <v>10154.703824999999</v>
      </c>
      <c r="D228" s="225"/>
      <c r="E228" s="777">
        <f t="shared" si="3"/>
        <v>10154.703824999999</v>
      </c>
      <c r="F228" s="543"/>
    </row>
    <row r="229" spans="1:6" customFormat="1" ht="12.75" hidden="1" outlineLevel="1" x14ac:dyDescent="0.2">
      <c r="A229" s="177" t="s">
        <v>135</v>
      </c>
      <c r="B229" s="207" t="s">
        <v>136</v>
      </c>
      <c r="C229" s="225">
        <f>+PRESUPUESTO!G232</f>
        <v>3033149.7</v>
      </c>
      <c r="D229" s="225"/>
      <c r="E229" s="777">
        <f t="shared" si="3"/>
        <v>3033149.7</v>
      </c>
      <c r="F229" s="543"/>
    </row>
    <row r="230" spans="1:6" customFormat="1" ht="12.75" hidden="1" outlineLevel="1" x14ac:dyDescent="0.2">
      <c r="A230" s="177" t="s">
        <v>137</v>
      </c>
      <c r="B230" s="207" t="s">
        <v>138</v>
      </c>
      <c r="C230" s="225">
        <f>+PRESUPUESTO!G233</f>
        <v>66103.8</v>
      </c>
      <c r="D230" s="225"/>
      <c r="E230" s="777">
        <f t="shared" si="3"/>
        <v>66103.8</v>
      </c>
      <c r="F230" s="543"/>
    </row>
    <row r="231" spans="1:6" customFormat="1" ht="12.75" hidden="1" outlineLevel="1" x14ac:dyDescent="0.2">
      <c r="A231" s="177" t="s">
        <v>139</v>
      </c>
      <c r="B231" s="207" t="s">
        <v>140</v>
      </c>
      <c r="C231" s="225">
        <f>+PRESUPUESTO!G234</f>
        <v>136763.37675</v>
      </c>
      <c r="D231" s="225"/>
      <c r="E231" s="777">
        <f t="shared" si="3"/>
        <v>136763.37675</v>
      </c>
      <c r="F231" s="543"/>
    </row>
    <row r="232" spans="1:6" customFormat="1" ht="12.75" hidden="1" outlineLevel="1" x14ac:dyDescent="0.2">
      <c r="A232" s="177" t="s">
        <v>141</v>
      </c>
      <c r="B232" s="207" t="s">
        <v>142</v>
      </c>
      <c r="C232" s="225">
        <f>+PRESUPUESTO!G235</f>
        <v>77217.583274999997</v>
      </c>
      <c r="D232" s="225"/>
      <c r="E232" s="777">
        <f t="shared" si="3"/>
        <v>77217.583274999997</v>
      </c>
      <c r="F232" s="543"/>
    </row>
    <row r="233" spans="1:6" customFormat="1" ht="12.75" hidden="1" outlineLevel="1" x14ac:dyDescent="0.2">
      <c r="A233" s="177" t="s">
        <v>143</v>
      </c>
      <c r="B233" s="207" t="s">
        <v>144</v>
      </c>
      <c r="C233" s="225">
        <f>+PRESUPUESTO!G236</f>
        <v>57.336300000000008</v>
      </c>
      <c r="D233" s="225"/>
      <c r="E233" s="777">
        <f t="shared" si="3"/>
        <v>57.336300000000008</v>
      </c>
      <c r="F233" s="543"/>
    </row>
    <row r="234" spans="1:6" customFormat="1" ht="12.75" hidden="1" outlineLevel="1" x14ac:dyDescent="0.2">
      <c r="A234" s="177" t="s">
        <v>145</v>
      </c>
      <c r="B234" s="207" t="s">
        <v>146</v>
      </c>
      <c r="C234" s="225">
        <f>+PRESUPUESTO!G237</f>
        <v>101543.026725</v>
      </c>
      <c r="D234" s="225"/>
      <c r="E234" s="777">
        <f t="shared" si="3"/>
        <v>101543.026725</v>
      </c>
      <c r="F234" s="543"/>
    </row>
    <row r="235" spans="1:6" customFormat="1" ht="12.75" hidden="1" outlineLevel="1" x14ac:dyDescent="0.2">
      <c r="A235" s="177" t="s">
        <v>369</v>
      </c>
      <c r="B235" s="207" t="s">
        <v>370</v>
      </c>
      <c r="C235" s="225">
        <f>+PRESUPUESTO!G238</f>
        <v>2016.9261000000001</v>
      </c>
      <c r="D235" s="225"/>
      <c r="E235" s="777">
        <f t="shared" si="3"/>
        <v>2016.9261000000001</v>
      </c>
      <c r="F235" s="543"/>
    </row>
    <row r="236" spans="1:6" customFormat="1" ht="12.75" hidden="1" outlineLevel="1" x14ac:dyDescent="0.2">
      <c r="A236" s="177" t="s">
        <v>147</v>
      </c>
      <c r="B236" s="207" t="s">
        <v>148</v>
      </c>
      <c r="C236" s="225">
        <f>+PRESUPUESTO!G239</f>
        <v>74122.045200000008</v>
      </c>
      <c r="D236" s="225"/>
      <c r="E236" s="777">
        <f t="shared" si="3"/>
        <v>74122.045200000008</v>
      </c>
      <c r="F236" s="543"/>
    </row>
    <row r="237" spans="1:6" customFormat="1" ht="12.75" hidden="1" outlineLevel="1" x14ac:dyDescent="0.2">
      <c r="A237" s="177" t="s">
        <v>149</v>
      </c>
      <c r="B237" s="207" t="s">
        <v>150</v>
      </c>
      <c r="C237" s="225">
        <f>+PRESUPUESTO!G240</f>
        <v>42732.818099999997</v>
      </c>
      <c r="D237" s="225"/>
      <c r="E237" s="777">
        <f t="shared" si="3"/>
        <v>42732.818099999997</v>
      </c>
      <c r="F237" s="543"/>
    </row>
    <row r="238" spans="1:6" customFormat="1" ht="12.75" collapsed="1" x14ac:dyDescent="0.2">
      <c r="A238" s="3"/>
      <c r="B238" s="215" t="s">
        <v>151</v>
      </c>
      <c r="C238" s="214">
        <f>SUM(C216:C237)</f>
        <v>4177096.0161000001</v>
      </c>
      <c r="D238" s="214">
        <f>SUM(D216:D237)</f>
        <v>0</v>
      </c>
      <c r="E238" s="780">
        <f t="shared" si="3"/>
        <v>4177096.0161000001</v>
      </c>
      <c r="F238" s="543"/>
    </row>
    <row r="239" spans="1:6" customFormat="1" ht="12.75" x14ac:dyDescent="0.2">
      <c r="A239" s="1"/>
      <c r="B239" s="216" t="s">
        <v>371</v>
      </c>
      <c r="C239" s="210">
        <f>+C214+C238</f>
        <v>11122815.492150001</v>
      </c>
      <c r="D239" s="210">
        <f>+D214+D238</f>
        <v>0</v>
      </c>
      <c r="E239" s="778">
        <f t="shared" si="3"/>
        <v>11122815.492150001</v>
      </c>
      <c r="F239" s="543"/>
    </row>
    <row r="240" spans="1:6" customFormat="1" ht="12.75" x14ac:dyDescent="0.2">
      <c r="A240" s="178"/>
      <c r="B240" s="209" t="s">
        <v>372</v>
      </c>
      <c r="C240" s="210">
        <f>+C175+C239</f>
        <v>31850319.624333885</v>
      </c>
      <c r="D240" s="210">
        <f>+D175+D239</f>
        <v>752792.09200000006</v>
      </c>
      <c r="E240" s="778">
        <f t="shared" si="3"/>
        <v>32603111.716333885</v>
      </c>
      <c r="F240" s="543"/>
    </row>
    <row r="241" spans="1:6" customFormat="1" ht="12.75" x14ac:dyDescent="0.2">
      <c r="A241" s="176"/>
      <c r="B241" s="209" t="s">
        <v>373</v>
      </c>
      <c r="C241" s="210">
        <f>+C29-C240</f>
        <v>6447413.5356661119</v>
      </c>
      <c r="D241" s="210">
        <f>+D29-D240</f>
        <v>736999.73599999992</v>
      </c>
      <c r="E241" s="778">
        <f t="shared" si="3"/>
        <v>7184413.2716661114</v>
      </c>
      <c r="F241" s="543"/>
    </row>
    <row r="242" spans="1:6" customFormat="1" ht="12.75" hidden="1" outlineLevel="1" x14ac:dyDescent="0.2">
      <c r="A242" s="176"/>
      <c r="B242" s="212" t="s">
        <v>374</v>
      </c>
      <c r="C242" s="208" t="s">
        <v>169</v>
      </c>
      <c r="D242" s="208"/>
      <c r="E242" s="779"/>
      <c r="F242" s="543"/>
    </row>
    <row r="243" spans="1:6" customFormat="1" ht="12.75" hidden="1" outlineLevel="1" x14ac:dyDescent="0.2">
      <c r="A243" s="176"/>
      <c r="B243" s="212" t="s">
        <v>518</v>
      </c>
      <c r="C243" s="208"/>
      <c r="D243" s="208"/>
      <c r="E243" s="779">
        <f t="shared" si="3"/>
        <v>0</v>
      </c>
      <c r="F243" s="543"/>
    </row>
    <row r="244" spans="1:6" customFormat="1" ht="12.75" hidden="1" outlineLevel="1" x14ac:dyDescent="0.2">
      <c r="A244" s="176">
        <v>4210050500</v>
      </c>
      <c r="B244" s="207" t="s">
        <v>14</v>
      </c>
      <c r="C244" s="225">
        <f>+PRESUPUESTO!G247</f>
        <v>0</v>
      </c>
      <c r="D244" s="225"/>
      <c r="E244" s="777">
        <f t="shared" si="3"/>
        <v>0</v>
      </c>
      <c r="F244" s="543"/>
    </row>
    <row r="245" spans="1:6" customFormat="1" ht="12.75" hidden="1" outlineLevel="1" x14ac:dyDescent="0.2">
      <c r="A245" s="176">
        <v>4210050601</v>
      </c>
      <c r="B245" s="207" t="s">
        <v>375</v>
      </c>
      <c r="C245" s="225">
        <f>+PRESUPUESTO!G248</f>
        <v>0</v>
      </c>
      <c r="D245" s="225"/>
      <c r="E245" s="777">
        <f t="shared" si="3"/>
        <v>0</v>
      </c>
      <c r="F245" s="543"/>
    </row>
    <row r="246" spans="1:6" customFormat="1" ht="12.75" hidden="1" outlineLevel="1" x14ac:dyDescent="0.2">
      <c r="A246" s="176">
        <v>4210050602</v>
      </c>
      <c r="B246" s="207" t="s">
        <v>376</v>
      </c>
      <c r="C246" s="225">
        <f>+PRESUPUESTO!G249</f>
        <v>0</v>
      </c>
      <c r="D246" s="225"/>
      <c r="E246" s="777">
        <f t="shared" si="3"/>
        <v>0</v>
      </c>
      <c r="F246" s="543"/>
    </row>
    <row r="247" spans="1:6" customFormat="1" ht="12.75" hidden="1" outlineLevel="1" x14ac:dyDescent="0.2">
      <c r="A247" s="610">
        <v>4210050608</v>
      </c>
      <c r="B247" s="207" t="s">
        <v>753</v>
      </c>
      <c r="C247" s="225">
        <f>+PRESUPUESTO!G250</f>
        <v>0</v>
      </c>
      <c r="D247" s="225"/>
      <c r="E247" s="777">
        <f t="shared" si="3"/>
        <v>0</v>
      </c>
      <c r="F247" s="543"/>
    </row>
    <row r="248" spans="1:6" customFormat="1" ht="12.75" hidden="1" outlineLevel="1" x14ac:dyDescent="0.2">
      <c r="A248" s="176">
        <v>4210050603</v>
      </c>
      <c r="B248" s="207" t="s">
        <v>377</v>
      </c>
      <c r="C248" s="225">
        <f>+PRESUPUESTO!G251</f>
        <v>0</v>
      </c>
      <c r="D248" s="225"/>
      <c r="E248" s="777">
        <f t="shared" si="3"/>
        <v>0</v>
      </c>
      <c r="F248" s="543"/>
    </row>
    <row r="249" spans="1:6" customFormat="1" ht="12.75" hidden="1" outlineLevel="1" x14ac:dyDescent="0.2">
      <c r="A249" s="610">
        <v>4210050606</v>
      </c>
      <c r="B249" s="317" t="s">
        <v>754</v>
      </c>
      <c r="C249" s="225">
        <f>+PRESUPUESTO!G252</f>
        <v>0</v>
      </c>
      <c r="D249" s="225"/>
      <c r="E249" s="777">
        <f t="shared" si="3"/>
        <v>0</v>
      </c>
      <c r="F249" s="543"/>
    </row>
    <row r="250" spans="1:6" customFormat="1" ht="12.75" hidden="1" outlineLevel="1" x14ac:dyDescent="0.2">
      <c r="A250" s="176">
        <v>4210200000</v>
      </c>
      <c r="B250" s="207" t="s">
        <v>15</v>
      </c>
      <c r="C250" s="225">
        <f>+PRESUPUESTO!G253</f>
        <v>0</v>
      </c>
      <c r="D250" s="225"/>
      <c r="E250" s="777">
        <f t="shared" si="3"/>
        <v>0</v>
      </c>
      <c r="F250" s="543"/>
    </row>
    <row r="251" spans="1:6" customFormat="1" ht="12.75" hidden="1" outlineLevel="1" x14ac:dyDescent="0.2">
      <c r="A251" s="176">
        <v>4210400000</v>
      </c>
      <c r="B251" s="207" t="s">
        <v>428</v>
      </c>
      <c r="C251" s="225">
        <f>+PRESUPUESTO!G254</f>
        <v>0</v>
      </c>
      <c r="D251" s="225"/>
      <c r="E251" s="777">
        <f t="shared" si="3"/>
        <v>0</v>
      </c>
      <c r="F251" s="543"/>
    </row>
    <row r="252" spans="1:6" customFormat="1" ht="12.75" hidden="1" outlineLevel="1" x14ac:dyDescent="0.2">
      <c r="A252" s="176">
        <v>4210600000</v>
      </c>
      <c r="B252" s="207" t="s">
        <v>16</v>
      </c>
      <c r="C252" s="225">
        <f>+PRESUPUESTO!G255</f>
        <v>0</v>
      </c>
      <c r="D252" s="225"/>
      <c r="E252" s="777">
        <f t="shared" si="3"/>
        <v>0</v>
      </c>
      <c r="F252" s="543"/>
    </row>
    <row r="253" spans="1:6" customFormat="1" ht="12.75" hidden="1" outlineLevel="1" x14ac:dyDescent="0.2">
      <c r="A253" s="176">
        <v>4210950200</v>
      </c>
      <c r="B253" s="207" t="s">
        <v>17</v>
      </c>
      <c r="C253" s="225">
        <f>+PRESUPUESTO!G256</f>
        <v>0</v>
      </c>
      <c r="D253" s="225"/>
      <c r="E253" s="777">
        <f t="shared" si="3"/>
        <v>0</v>
      </c>
      <c r="F253" s="543"/>
    </row>
    <row r="254" spans="1:6" customFormat="1" ht="12.75" hidden="1" outlineLevel="1" x14ac:dyDescent="0.2">
      <c r="A254" s="176">
        <v>4210950300</v>
      </c>
      <c r="B254" s="207" t="s">
        <v>378</v>
      </c>
      <c r="C254" s="225">
        <f>+PRESUPUESTO!G257</f>
        <v>0</v>
      </c>
      <c r="D254" s="225"/>
      <c r="E254" s="777">
        <f t="shared" si="3"/>
        <v>0</v>
      </c>
      <c r="F254" s="543"/>
    </row>
    <row r="255" spans="1:6" customFormat="1" ht="12.75" hidden="1" outlineLevel="1" x14ac:dyDescent="0.2">
      <c r="A255" s="610">
        <v>4210953501</v>
      </c>
      <c r="B255" s="207" t="s">
        <v>771</v>
      </c>
      <c r="C255" s="225">
        <f>+PRESUPUESTO!G258</f>
        <v>0</v>
      </c>
      <c r="D255" s="225"/>
      <c r="E255" s="777">
        <f t="shared" si="3"/>
        <v>0</v>
      </c>
      <c r="F255" s="543"/>
    </row>
    <row r="256" spans="1:6" customFormat="1" ht="12.75" hidden="1" outlineLevel="1" x14ac:dyDescent="0.2">
      <c r="A256" s="610">
        <v>4210953502</v>
      </c>
      <c r="B256" s="207" t="s">
        <v>755</v>
      </c>
      <c r="C256" s="225">
        <f>+PRESUPUESTO!G259</f>
        <v>0</v>
      </c>
      <c r="D256" s="225"/>
      <c r="E256" s="777">
        <f t="shared" si="3"/>
        <v>0</v>
      </c>
      <c r="F256" s="543"/>
    </row>
    <row r="257" spans="1:6" customFormat="1" ht="12.75" hidden="1" outlineLevel="1" x14ac:dyDescent="0.2">
      <c r="A257" s="176"/>
      <c r="B257" s="212" t="s">
        <v>446</v>
      </c>
      <c r="C257" s="225"/>
      <c r="D257" s="225"/>
      <c r="E257" s="777">
        <f t="shared" si="3"/>
        <v>0</v>
      </c>
      <c r="F257" s="543"/>
    </row>
    <row r="258" spans="1:6" customFormat="1" ht="12.75" hidden="1" outlineLevel="1" x14ac:dyDescent="0.2">
      <c r="A258" s="176">
        <v>4220100100</v>
      </c>
      <c r="B258" s="207" t="s">
        <v>379</v>
      </c>
      <c r="C258" s="225">
        <f>+PRESUPUESTO!G261</f>
        <v>0</v>
      </c>
      <c r="D258" s="225"/>
      <c r="E258" s="777">
        <f t="shared" si="3"/>
        <v>0</v>
      </c>
      <c r="F258" s="543"/>
    </row>
    <row r="259" spans="1:6" customFormat="1" ht="12.75" hidden="1" outlineLevel="1" x14ac:dyDescent="0.2">
      <c r="A259" s="176">
        <v>4220100200</v>
      </c>
      <c r="B259" s="207" t="s">
        <v>380</v>
      </c>
      <c r="C259" s="225">
        <f>+PRESUPUESTO!G262</f>
        <v>0</v>
      </c>
      <c r="D259" s="225"/>
      <c r="E259" s="777">
        <f t="shared" si="3"/>
        <v>0</v>
      </c>
      <c r="F259" s="543"/>
    </row>
    <row r="260" spans="1:6" customFormat="1" ht="12.75" hidden="1" outlineLevel="1" x14ac:dyDescent="0.2">
      <c r="A260" s="176">
        <v>4220100300</v>
      </c>
      <c r="B260" s="207" t="s">
        <v>381</v>
      </c>
      <c r="C260" s="225">
        <f>+PRESUPUESTO!G263</f>
        <v>0</v>
      </c>
      <c r="D260" s="225"/>
      <c r="E260" s="777">
        <f t="shared" si="3"/>
        <v>0</v>
      </c>
      <c r="F260" s="543"/>
    </row>
    <row r="261" spans="1:6" customFormat="1" ht="12.75" hidden="1" outlineLevel="1" x14ac:dyDescent="0.2">
      <c r="A261" s="176">
        <v>4220100400</v>
      </c>
      <c r="B261" s="207" t="s">
        <v>382</v>
      </c>
      <c r="C261" s="225">
        <f>+PRESUPUESTO!G264</f>
        <v>0</v>
      </c>
      <c r="D261" s="225"/>
      <c r="E261" s="777">
        <f t="shared" si="3"/>
        <v>0</v>
      </c>
      <c r="F261" s="543"/>
    </row>
    <row r="262" spans="1:6" customFormat="1" ht="12.75" hidden="1" outlineLevel="1" x14ac:dyDescent="0.2">
      <c r="A262" s="176">
        <v>4220100500</v>
      </c>
      <c r="B262" s="207" t="s">
        <v>333</v>
      </c>
      <c r="C262" s="225">
        <f>+PRESUPUESTO!G265</f>
        <v>0</v>
      </c>
      <c r="D262" s="225"/>
      <c r="E262" s="777">
        <f t="shared" si="3"/>
        <v>0</v>
      </c>
      <c r="F262" s="543"/>
    </row>
    <row r="263" spans="1:6" customFormat="1" ht="12.75" hidden="1" outlineLevel="1" x14ac:dyDescent="0.2">
      <c r="A263" s="176">
        <v>4220100600</v>
      </c>
      <c r="B263" s="207" t="s">
        <v>383</v>
      </c>
      <c r="C263" s="225">
        <f>+PRESUPUESTO!G266</f>
        <v>0</v>
      </c>
      <c r="D263" s="607"/>
      <c r="E263" s="777">
        <f t="shared" si="3"/>
        <v>0</v>
      </c>
      <c r="F263" s="543"/>
    </row>
    <row r="264" spans="1:6" customFormat="1" ht="12.75" hidden="1" outlineLevel="1" x14ac:dyDescent="0.2">
      <c r="A264" s="176">
        <v>4220100700</v>
      </c>
      <c r="B264" s="207" t="s">
        <v>384</v>
      </c>
      <c r="C264" s="225">
        <f>+PRESUPUESTO!G267</f>
        <v>0</v>
      </c>
      <c r="D264" s="607"/>
      <c r="E264" s="776">
        <f t="shared" si="3"/>
        <v>0</v>
      </c>
      <c r="F264" s="543"/>
    </row>
    <row r="265" spans="1:6" customFormat="1" ht="12.75" hidden="1" outlineLevel="1" x14ac:dyDescent="0.2">
      <c r="A265" s="176">
        <v>4220100800</v>
      </c>
      <c r="B265" s="207" t="s">
        <v>385</v>
      </c>
      <c r="C265" s="225">
        <f>+PRESUPUESTO!G268</f>
        <v>0</v>
      </c>
      <c r="D265" s="607"/>
      <c r="E265" s="776">
        <f t="shared" ref="E265:E327" si="4">+C265+D265</f>
        <v>0</v>
      </c>
      <c r="F265" s="543"/>
    </row>
    <row r="266" spans="1:6" customFormat="1" ht="12.75" hidden="1" outlineLevel="1" x14ac:dyDescent="0.2">
      <c r="A266" s="176"/>
      <c r="B266" s="212" t="s">
        <v>223</v>
      </c>
      <c r="C266" s="225"/>
      <c r="D266" s="607"/>
      <c r="E266" s="776">
        <f t="shared" si="4"/>
        <v>0</v>
      </c>
      <c r="F266" s="543"/>
    </row>
    <row r="267" spans="1:6" customFormat="1" ht="12.75" hidden="1" outlineLevel="1" x14ac:dyDescent="0.2">
      <c r="A267" s="176">
        <v>4230050000</v>
      </c>
      <c r="B267" s="207" t="s">
        <v>386</v>
      </c>
      <c r="C267" s="316">
        <f>+PRESUPUESTO!G270</f>
        <v>0</v>
      </c>
      <c r="D267" s="607"/>
      <c r="E267" s="776">
        <f t="shared" si="4"/>
        <v>0</v>
      </c>
      <c r="F267" s="543"/>
    </row>
    <row r="268" spans="1:6" customFormat="1" ht="12.75" hidden="1" outlineLevel="1" x14ac:dyDescent="0.2">
      <c r="A268" s="176">
        <v>4230100000</v>
      </c>
      <c r="B268" s="207" t="s">
        <v>317</v>
      </c>
      <c r="C268" s="607">
        <f>+PRESUPUESTO!G271</f>
        <v>0</v>
      </c>
      <c r="D268" s="607"/>
      <c r="E268" s="776">
        <f t="shared" si="4"/>
        <v>0</v>
      </c>
      <c r="F268" s="543"/>
    </row>
    <row r="269" spans="1:6" customFormat="1" ht="12.75" hidden="1" outlineLevel="1" x14ac:dyDescent="0.2">
      <c r="A269" s="176"/>
      <c r="B269" s="212" t="s">
        <v>511</v>
      </c>
      <c r="C269" s="225"/>
      <c r="D269" s="607"/>
      <c r="E269" s="776">
        <f t="shared" si="4"/>
        <v>0</v>
      </c>
      <c r="F269" s="543"/>
    </row>
    <row r="270" spans="1:6" customFormat="1" ht="12.75" hidden="1" outlineLevel="1" x14ac:dyDescent="0.2">
      <c r="A270" s="610">
        <v>4235100000</v>
      </c>
      <c r="B270" s="207" t="s">
        <v>756</v>
      </c>
      <c r="C270" s="225">
        <f>+PRESUPUESTO!G273</f>
        <v>0</v>
      </c>
      <c r="D270" s="607"/>
      <c r="E270" s="776">
        <f t="shared" si="4"/>
        <v>0</v>
      </c>
      <c r="F270" s="543"/>
    </row>
    <row r="271" spans="1:6" customFormat="1" ht="12.75" hidden="1" outlineLevel="1" x14ac:dyDescent="0.2">
      <c r="A271" s="176">
        <v>4235200000</v>
      </c>
      <c r="B271" s="207" t="s">
        <v>387</v>
      </c>
      <c r="C271" s="225">
        <f>+PRESUPUESTO!G274</f>
        <v>0</v>
      </c>
      <c r="D271" s="607"/>
      <c r="E271" s="776">
        <f t="shared" si="4"/>
        <v>0</v>
      </c>
      <c r="F271" s="543"/>
    </row>
    <row r="272" spans="1:6" customFormat="1" ht="12.75" hidden="1" outlineLevel="1" x14ac:dyDescent="0.2">
      <c r="A272" s="176">
        <v>4235550000</v>
      </c>
      <c r="B272" s="207" t="s">
        <v>388</v>
      </c>
      <c r="C272" s="226">
        <f>+PRESUPUESTO!G275</f>
        <v>0</v>
      </c>
      <c r="D272" s="607"/>
      <c r="E272" s="776">
        <f t="shared" si="4"/>
        <v>0</v>
      </c>
      <c r="F272" s="543"/>
    </row>
    <row r="273" spans="1:6" customFormat="1" ht="12.75" hidden="1" outlineLevel="1" x14ac:dyDescent="0.2">
      <c r="A273" s="176">
        <v>4235653500</v>
      </c>
      <c r="B273" s="207" t="s">
        <v>389</v>
      </c>
      <c r="C273" s="225">
        <f>+PRESUPUESTO!G276</f>
        <v>0</v>
      </c>
      <c r="D273" s="607"/>
      <c r="E273" s="776">
        <f t="shared" si="4"/>
        <v>0</v>
      </c>
      <c r="F273" s="543"/>
    </row>
    <row r="274" spans="1:6" customFormat="1" ht="12.75" hidden="1" outlineLevel="1" x14ac:dyDescent="0.2">
      <c r="A274" s="610">
        <v>4235950900</v>
      </c>
      <c r="B274" s="207" t="s">
        <v>757</v>
      </c>
      <c r="C274" s="225">
        <f>+PRESUPUESTO!G277</f>
        <v>0</v>
      </c>
      <c r="D274" s="607"/>
      <c r="E274" s="776">
        <f t="shared" si="4"/>
        <v>0</v>
      </c>
      <c r="F274" s="543"/>
    </row>
    <row r="275" spans="1:6" customFormat="1" ht="12.75" hidden="1" outlineLevel="1" x14ac:dyDescent="0.2">
      <c r="A275" s="176">
        <v>4235950100</v>
      </c>
      <c r="B275" s="207" t="s">
        <v>390</v>
      </c>
      <c r="C275" s="225">
        <f>+PRESUPUESTO!G278</f>
        <v>0</v>
      </c>
      <c r="D275" s="607">
        <f>+EDUC.CONT.!V9/1000</f>
        <v>32000</v>
      </c>
      <c r="E275" s="776">
        <f t="shared" si="4"/>
        <v>32000</v>
      </c>
      <c r="F275" s="543"/>
    </row>
    <row r="276" spans="1:6" customFormat="1" ht="12.75" hidden="1" outlineLevel="1" x14ac:dyDescent="0.2">
      <c r="A276" s="176">
        <v>4235950200</v>
      </c>
      <c r="B276" s="207" t="s">
        <v>391</v>
      </c>
      <c r="C276" s="225">
        <f>+PRESUPUESTO!G279</f>
        <v>0</v>
      </c>
      <c r="D276" s="607"/>
      <c r="E276" s="776">
        <f t="shared" si="4"/>
        <v>0</v>
      </c>
      <c r="F276" s="543"/>
    </row>
    <row r="277" spans="1:6" customFormat="1" ht="12.75" hidden="1" outlineLevel="1" x14ac:dyDescent="0.2">
      <c r="A277" s="176">
        <v>4235950500</v>
      </c>
      <c r="B277" s="207" t="s">
        <v>392</v>
      </c>
      <c r="C277" s="225">
        <f>+PRESUPUESTO!G280</f>
        <v>0</v>
      </c>
      <c r="D277" s="607"/>
      <c r="E277" s="776">
        <f t="shared" si="4"/>
        <v>0</v>
      </c>
      <c r="F277" s="543"/>
    </row>
    <row r="278" spans="1:6" customFormat="1" ht="12.75" hidden="1" outlineLevel="1" x14ac:dyDescent="0.2">
      <c r="A278" s="3">
        <v>4235950600</v>
      </c>
      <c r="B278" s="207" t="s">
        <v>393</v>
      </c>
      <c r="C278" s="225">
        <f>+PRESUPUESTO!G281</f>
        <v>0</v>
      </c>
      <c r="D278" s="607"/>
      <c r="E278" s="777">
        <f t="shared" si="4"/>
        <v>0</v>
      </c>
      <c r="F278" s="543"/>
    </row>
    <row r="279" spans="1:6" customFormat="1" ht="12.75" hidden="1" outlineLevel="1" x14ac:dyDescent="0.2">
      <c r="A279" s="608">
        <v>4235950800</v>
      </c>
      <c r="B279" s="207" t="s">
        <v>758</v>
      </c>
      <c r="C279" s="225">
        <f>+PRESUPUESTO!G282</f>
        <v>0</v>
      </c>
      <c r="D279" s="607"/>
      <c r="E279" s="777">
        <f t="shared" si="4"/>
        <v>0</v>
      </c>
      <c r="F279" s="543"/>
    </row>
    <row r="280" spans="1:6" customFormat="1" ht="12.75" hidden="1" outlineLevel="1" x14ac:dyDescent="0.2">
      <c r="A280" s="3"/>
      <c r="B280" s="212" t="s">
        <v>519</v>
      </c>
      <c r="C280" s="225"/>
      <c r="D280" s="607"/>
      <c r="E280" s="777">
        <f t="shared" si="4"/>
        <v>0</v>
      </c>
      <c r="F280" s="543"/>
    </row>
    <row r="281" spans="1:6" customFormat="1" ht="12.75" hidden="1" outlineLevel="1" x14ac:dyDescent="0.2">
      <c r="A281" s="608">
        <v>4250150000</v>
      </c>
      <c r="B281" s="317" t="s">
        <v>759</v>
      </c>
      <c r="C281" s="225">
        <f>+PRESUPUESTO!G284</f>
        <v>0</v>
      </c>
      <c r="D281" s="607"/>
      <c r="E281" s="777">
        <f t="shared" si="4"/>
        <v>0</v>
      </c>
      <c r="F281" s="543"/>
    </row>
    <row r="282" spans="1:6" customFormat="1" ht="12.75" hidden="1" outlineLevel="1" x14ac:dyDescent="0.2">
      <c r="A282" s="608">
        <v>4250350200</v>
      </c>
      <c r="B282" s="317" t="s">
        <v>760</v>
      </c>
      <c r="C282" s="225">
        <f>+PRESUPUESTO!G285</f>
        <v>27219.15</v>
      </c>
      <c r="D282" s="607"/>
      <c r="E282" s="777">
        <f t="shared" si="4"/>
        <v>27219.15</v>
      </c>
      <c r="F282" s="543"/>
    </row>
    <row r="283" spans="1:6" customFormat="1" ht="12.75" hidden="1" outlineLevel="1" x14ac:dyDescent="0.2">
      <c r="A283" s="176">
        <v>4250500000</v>
      </c>
      <c r="B283" s="207" t="s">
        <v>18</v>
      </c>
      <c r="C283" s="225">
        <f>+PRESUPUESTO!G286</f>
        <v>13875.75</v>
      </c>
      <c r="D283" s="607"/>
      <c r="E283" s="777">
        <f t="shared" si="4"/>
        <v>13875.75</v>
      </c>
      <c r="F283" s="543"/>
    </row>
    <row r="284" spans="1:6" customFormat="1" ht="12.75" hidden="1" outlineLevel="1" x14ac:dyDescent="0.2">
      <c r="A284" s="176">
        <v>4255050000</v>
      </c>
      <c r="B284" s="207" t="s">
        <v>394</v>
      </c>
      <c r="C284" s="225">
        <f>+PRESUPUESTO!G287</f>
        <v>0</v>
      </c>
      <c r="D284" s="607"/>
      <c r="E284" s="777">
        <f t="shared" si="4"/>
        <v>0</v>
      </c>
      <c r="F284" s="543"/>
    </row>
    <row r="285" spans="1:6" customFormat="1" ht="12.75" hidden="1" outlineLevel="1" x14ac:dyDescent="0.2">
      <c r="A285" s="176"/>
      <c r="B285" s="212" t="s">
        <v>520</v>
      </c>
      <c r="C285" s="225"/>
      <c r="D285" s="607"/>
      <c r="E285" s="777">
        <f t="shared" si="4"/>
        <v>0</v>
      </c>
      <c r="F285" s="543"/>
    </row>
    <row r="286" spans="1:6" customFormat="1" ht="12.75" hidden="1" outlineLevel="1" x14ac:dyDescent="0.2">
      <c r="A286" s="176">
        <v>4265010000</v>
      </c>
      <c r="B286" s="207" t="s">
        <v>19</v>
      </c>
      <c r="C286" s="225">
        <f>+PRESUPUESTO!G289</f>
        <v>0</v>
      </c>
      <c r="D286" s="607"/>
      <c r="E286" s="777">
        <f t="shared" si="4"/>
        <v>0</v>
      </c>
      <c r="F286" s="543"/>
    </row>
    <row r="287" spans="1:6" customFormat="1" ht="12.75" hidden="1" outlineLevel="1" x14ac:dyDescent="0.2">
      <c r="A287" s="176"/>
      <c r="B287" s="212" t="s">
        <v>443</v>
      </c>
      <c r="C287" s="225"/>
      <c r="D287" s="607"/>
      <c r="E287" s="777">
        <f t="shared" si="4"/>
        <v>0</v>
      </c>
      <c r="F287" s="543"/>
    </row>
    <row r="288" spans="1:6" customFormat="1" ht="12.75" hidden="1" outlineLevel="1" x14ac:dyDescent="0.2">
      <c r="A288" s="176">
        <v>4295050000</v>
      </c>
      <c r="B288" s="317" t="s">
        <v>395</v>
      </c>
      <c r="C288" s="784">
        <f>+PRESUPUESTO!G291</f>
        <v>0</v>
      </c>
      <c r="D288" s="607"/>
      <c r="E288" s="777">
        <f t="shared" si="4"/>
        <v>0</v>
      </c>
      <c r="F288" s="543"/>
    </row>
    <row r="289" spans="1:6" customFormat="1" ht="12.75" hidden="1" outlineLevel="1" x14ac:dyDescent="0.2">
      <c r="A289" s="176">
        <v>4295070000</v>
      </c>
      <c r="B289" s="317" t="s">
        <v>28</v>
      </c>
      <c r="C289" s="225">
        <f>+PRESUPUESTO!G292</f>
        <v>0</v>
      </c>
      <c r="D289" s="607"/>
      <c r="E289" s="777">
        <f t="shared" si="4"/>
        <v>0</v>
      </c>
      <c r="F289" s="543"/>
    </row>
    <row r="290" spans="1:6" customFormat="1" ht="12.75" hidden="1" outlineLevel="1" x14ac:dyDescent="0.2">
      <c r="A290" s="176">
        <v>4295090600</v>
      </c>
      <c r="B290" s="317" t="s">
        <v>396</v>
      </c>
      <c r="C290" s="225">
        <f>+PRESUPUESTO!G293</f>
        <v>0</v>
      </c>
      <c r="D290" s="607"/>
      <c r="E290" s="777">
        <f t="shared" si="4"/>
        <v>0</v>
      </c>
      <c r="F290" s="543"/>
    </row>
    <row r="291" spans="1:6" customFormat="1" ht="12.75" hidden="1" outlineLevel="1" x14ac:dyDescent="0.2">
      <c r="A291" s="176">
        <v>4295110000</v>
      </c>
      <c r="B291" s="317" t="s">
        <v>653</v>
      </c>
      <c r="C291" s="225">
        <f>+PRESUPUESTO!G294</f>
        <v>0</v>
      </c>
      <c r="D291" s="607"/>
      <c r="E291" s="777">
        <f t="shared" si="4"/>
        <v>0</v>
      </c>
      <c r="F291" s="543"/>
    </row>
    <row r="292" spans="1:6" customFormat="1" ht="12.75" hidden="1" outlineLevel="1" x14ac:dyDescent="0.2">
      <c r="A292" s="176">
        <v>4295510000</v>
      </c>
      <c r="B292" s="317" t="s">
        <v>397</v>
      </c>
      <c r="C292" s="225">
        <f>+PRESUPUESTO!G295</f>
        <v>0</v>
      </c>
      <c r="D292" s="225"/>
      <c r="E292" s="777">
        <f t="shared" si="4"/>
        <v>0</v>
      </c>
      <c r="F292" s="543"/>
    </row>
    <row r="293" spans="1:6" customFormat="1" ht="12.75" hidden="1" outlineLevel="1" x14ac:dyDescent="0.2">
      <c r="A293" s="176">
        <v>4295530000</v>
      </c>
      <c r="B293" s="317" t="s">
        <v>398</v>
      </c>
      <c r="C293" s="225">
        <f>+PRESUPUESTO!G296</f>
        <v>0</v>
      </c>
      <c r="D293" s="225"/>
      <c r="E293" s="777">
        <f t="shared" si="4"/>
        <v>0</v>
      </c>
      <c r="F293" s="543"/>
    </row>
    <row r="294" spans="1:6" customFormat="1" ht="12.75" collapsed="1" x14ac:dyDescent="0.2">
      <c r="A294" s="3"/>
      <c r="B294" s="213" t="s">
        <v>399</v>
      </c>
      <c r="C294" s="214">
        <f>SUM(C244:C293)</f>
        <v>41094.9</v>
      </c>
      <c r="D294" s="214">
        <f>SUM(D244:D293)</f>
        <v>32000</v>
      </c>
      <c r="E294" s="780">
        <f t="shared" si="4"/>
        <v>73094.899999999994</v>
      </c>
      <c r="F294" s="543"/>
    </row>
    <row r="295" spans="1:6" customFormat="1" ht="12.75" x14ac:dyDescent="0.2">
      <c r="A295" s="176"/>
      <c r="B295" s="212" t="s">
        <v>400</v>
      </c>
      <c r="C295" s="208" t="s">
        <v>169</v>
      </c>
      <c r="D295" s="208"/>
      <c r="E295" s="779"/>
      <c r="F295" s="543"/>
    </row>
    <row r="296" spans="1:6" customFormat="1" ht="12.75" hidden="1" outlineLevel="1" x14ac:dyDescent="0.2">
      <c r="A296" s="176"/>
      <c r="B296" s="212" t="s">
        <v>80</v>
      </c>
      <c r="C296" s="208" t="s">
        <v>169</v>
      </c>
      <c r="D296" s="208"/>
      <c r="E296" s="779"/>
      <c r="F296" s="543"/>
    </row>
    <row r="297" spans="1:6" customFormat="1" ht="12.75" hidden="1" outlineLevel="1" x14ac:dyDescent="0.2">
      <c r="A297" s="176">
        <v>5305050100</v>
      </c>
      <c r="B297" s="319" t="s">
        <v>401</v>
      </c>
      <c r="C297" s="225">
        <f>+PRESUPUESTO!G300</f>
        <v>0</v>
      </c>
      <c r="D297" s="225"/>
      <c r="E297" s="777">
        <f t="shared" si="4"/>
        <v>0</v>
      </c>
      <c r="F297" s="543"/>
    </row>
    <row r="298" spans="1:6" customFormat="1" ht="12.75" hidden="1" outlineLevel="1" x14ac:dyDescent="0.2">
      <c r="A298" s="610">
        <v>5305050000</v>
      </c>
      <c r="B298" s="319" t="s">
        <v>761</v>
      </c>
      <c r="C298" s="225">
        <f>+PRESUPUESTO!G301</f>
        <v>0</v>
      </c>
      <c r="D298" s="225"/>
      <c r="E298" s="777">
        <f t="shared" si="4"/>
        <v>0</v>
      </c>
      <c r="F298" s="543"/>
    </row>
    <row r="299" spans="1:6" customFormat="1" ht="12.75" hidden="1" outlineLevel="1" x14ac:dyDescent="0.2">
      <c r="A299" s="176">
        <v>5305050200</v>
      </c>
      <c r="B299" s="319" t="s">
        <v>402</v>
      </c>
      <c r="C299" s="225">
        <f>+PRESUPUESTO!G302</f>
        <v>0</v>
      </c>
      <c r="D299" s="225"/>
      <c r="E299" s="777">
        <f t="shared" si="4"/>
        <v>0</v>
      </c>
      <c r="F299" s="543"/>
    </row>
    <row r="300" spans="1:6" customFormat="1" ht="12.75" hidden="1" outlineLevel="1" x14ac:dyDescent="0.2">
      <c r="A300" s="610">
        <v>5305050400</v>
      </c>
      <c r="B300" s="319" t="s">
        <v>762</v>
      </c>
      <c r="C300" s="225">
        <f>+PRESUPUESTO!G303</f>
        <v>0</v>
      </c>
      <c r="D300" s="225"/>
      <c r="E300" s="777">
        <f t="shared" si="4"/>
        <v>0</v>
      </c>
      <c r="F300" s="543"/>
    </row>
    <row r="301" spans="1:6" customFormat="1" ht="12.75" hidden="1" outlineLevel="1" x14ac:dyDescent="0.2">
      <c r="A301" s="176">
        <v>5305150000</v>
      </c>
      <c r="B301" s="317" t="s">
        <v>81</v>
      </c>
      <c r="C301" s="225">
        <f>+PRESUPUESTO!G304</f>
        <v>0</v>
      </c>
      <c r="D301" s="225"/>
      <c r="E301" s="777">
        <f t="shared" si="4"/>
        <v>0</v>
      </c>
      <c r="F301" s="543"/>
    </row>
    <row r="302" spans="1:6" customFormat="1" ht="12.75" hidden="1" outlineLevel="1" x14ac:dyDescent="0.2">
      <c r="A302" s="176">
        <v>5305200200</v>
      </c>
      <c r="B302" s="319" t="s">
        <v>403</v>
      </c>
      <c r="C302" s="225">
        <f>+PRESUPUESTO!G305</f>
        <v>0</v>
      </c>
      <c r="D302" s="225"/>
      <c r="E302" s="777">
        <f t="shared" si="4"/>
        <v>0</v>
      </c>
      <c r="F302" s="543"/>
    </row>
    <row r="303" spans="1:6" customFormat="1" ht="12.75" hidden="1" outlineLevel="1" x14ac:dyDescent="0.2">
      <c r="A303" s="176">
        <v>5305200300</v>
      </c>
      <c r="B303" s="317" t="s">
        <v>82</v>
      </c>
      <c r="C303" s="225">
        <f>+PRESUPUESTO!G306</f>
        <v>0</v>
      </c>
      <c r="D303" s="225"/>
      <c r="E303" s="777">
        <f t="shared" si="4"/>
        <v>0</v>
      </c>
      <c r="F303" s="543"/>
    </row>
    <row r="304" spans="1:6" customFormat="1" ht="12.75" hidden="1" outlineLevel="1" x14ac:dyDescent="0.2">
      <c r="A304" s="176">
        <v>5305250000</v>
      </c>
      <c r="B304" s="317" t="s">
        <v>15</v>
      </c>
      <c r="C304" s="225">
        <f>+PRESUPUESTO!G307</f>
        <v>0</v>
      </c>
      <c r="D304" s="225"/>
      <c r="E304" s="777">
        <f t="shared" si="4"/>
        <v>0</v>
      </c>
      <c r="F304" s="543"/>
    </row>
    <row r="305" spans="1:6" customFormat="1" ht="12.75" hidden="1" outlineLevel="1" x14ac:dyDescent="0.2">
      <c r="A305" s="610">
        <v>5305450100</v>
      </c>
      <c r="B305" s="317" t="s">
        <v>763</v>
      </c>
      <c r="C305" s="225">
        <f>+PRESUPUESTO!G308</f>
        <v>0</v>
      </c>
      <c r="D305" s="225"/>
      <c r="E305" s="777">
        <f t="shared" si="4"/>
        <v>0</v>
      </c>
      <c r="F305" s="543"/>
    </row>
    <row r="306" spans="1:6" customFormat="1" ht="12.75" hidden="1" outlineLevel="1" x14ac:dyDescent="0.2">
      <c r="A306" s="610">
        <v>5305953501</v>
      </c>
      <c r="B306" s="317" t="s">
        <v>764</v>
      </c>
      <c r="C306" s="225">
        <f>+PRESUPUESTO!G309</f>
        <v>0</v>
      </c>
      <c r="D306" s="225"/>
      <c r="E306" s="777">
        <f t="shared" si="4"/>
        <v>0</v>
      </c>
      <c r="F306" s="543"/>
    </row>
    <row r="307" spans="1:6" customFormat="1" ht="12.75" hidden="1" outlineLevel="1" x14ac:dyDescent="0.2">
      <c r="A307" s="176">
        <v>5315100000</v>
      </c>
      <c r="B307" s="319" t="s">
        <v>404</v>
      </c>
      <c r="C307" s="225">
        <f>+PRESUPUESTO!G310</f>
        <v>0</v>
      </c>
      <c r="D307" s="225"/>
      <c r="E307" s="777">
        <f t="shared" si="4"/>
        <v>0</v>
      </c>
      <c r="F307" s="543"/>
    </row>
    <row r="308" spans="1:6" customFormat="1" ht="12.75" hidden="1" outlineLevel="1" x14ac:dyDescent="0.2">
      <c r="A308" s="176">
        <v>5315150500</v>
      </c>
      <c r="B308" s="317" t="s">
        <v>406</v>
      </c>
      <c r="C308" s="225">
        <f>+PRESUPUESTO!G311</f>
        <v>0</v>
      </c>
      <c r="D308" s="225"/>
      <c r="E308" s="777">
        <f t="shared" si="4"/>
        <v>0</v>
      </c>
      <c r="F308" s="543"/>
    </row>
    <row r="309" spans="1:6" customFormat="1" ht="12.75" hidden="1" outlineLevel="1" x14ac:dyDescent="0.2">
      <c r="A309" s="176">
        <v>5315200000</v>
      </c>
      <c r="B309" s="317" t="s">
        <v>407</v>
      </c>
      <c r="C309" s="225">
        <f>+PRESUPUESTO!G312</f>
        <v>0</v>
      </c>
      <c r="D309" s="225"/>
      <c r="E309" s="777">
        <f t="shared" si="4"/>
        <v>0</v>
      </c>
      <c r="F309" s="543"/>
    </row>
    <row r="310" spans="1:6" customFormat="1" ht="12.75" hidden="1" outlineLevel="1" x14ac:dyDescent="0.2">
      <c r="A310" s="176">
        <v>5315950100</v>
      </c>
      <c r="B310" s="317" t="s">
        <v>280</v>
      </c>
      <c r="C310" s="225">
        <f>+PRESUPUESTO!G313</f>
        <v>28875</v>
      </c>
      <c r="D310" s="225"/>
      <c r="E310" s="777">
        <f t="shared" si="4"/>
        <v>28875</v>
      </c>
      <c r="F310" s="543"/>
    </row>
    <row r="311" spans="1:6" customFormat="1" ht="12.75" hidden="1" outlineLevel="1" x14ac:dyDescent="0.2">
      <c r="A311" s="610">
        <v>5395080000</v>
      </c>
      <c r="B311" s="317" t="s">
        <v>765</v>
      </c>
      <c r="C311" s="225">
        <f>+PRESUPUESTO!G314</f>
        <v>0</v>
      </c>
      <c r="D311" s="225"/>
      <c r="E311" s="777">
        <f t="shared" si="4"/>
        <v>0</v>
      </c>
      <c r="F311" s="543"/>
    </row>
    <row r="312" spans="1:6" customFormat="1" ht="12.75" hidden="1" outlineLevel="1" x14ac:dyDescent="0.2">
      <c r="A312" s="176">
        <v>5395070000</v>
      </c>
      <c r="B312" s="317" t="s">
        <v>654</v>
      </c>
      <c r="C312" s="225">
        <f>+PRESUPUESTO!G315</f>
        <v>61914.3</v>
      </c>
      <c r="D312" s="225"/>
      <c r="E312" s="777">
        <f t="shared" si="4"/>
        <v>61914.3</v>
      </c>
      <c r="F312" s="543"/>
    </row>
    <row r="313" spans="1:6" customFormat="1" ht="12.75" hidden="1" outlineLevel="1" x14ac:dyDescent="0.2">
      <c r="A313" s="176">
        <v>5395200000</v>
      </c>
      <c r="B313" s="319" t="s">
        <v>405</v>
      </c>
      <c r="C313" s="225">
        <f>+PRESUPUESTO!G316</f>
        <v>0</v>
      </c>
      <c r="D313" s="225"/>
      <c r="E313" s="777">
        <f t="shared" si="4"/>
        <v>0</v>
      </c>
      <c r="F313" s="543"/>
    </row>
    <row r="314" spans="1:6" customFormat="1" ht="12.75" hidden="1" outlineLevel="1" x14ac:dyDescent="0.2">
      <c r="A314" s="610">
        <v>5395250000</v>
      </c>
      <c r="B314" s="319" t="s">
        <v>766</v>
      </c>
      <c r="C314" s="225">
        <f>+PRESUPUESTO!G317</f>
        <v>0</v>
      </c>
      <c r="D314" s="225"/>
      <c r="E314" s="777">
        <f t="shared" si="4"/>
        <v>0</v>
      </c>
      <c r="F314" s="543"/>
    </row>
    <row r="315" spans="1:6" customFormat="1" ht="12.75" hidden="1" outlineLevel="1" x14ac:dyDescent="0.2">
      <c r="A315" s="610">
        <v>5395950200</v>
      </c>
      <c r="B315" s="319" t="s">
        <v>767</v>
      </c>
      <c r="C315" s="225">
        <f>+PRESUPUESTO!G318</f>
        <v>0</v>
      </c>
      <c r="D315" s="225"/>
      <c r="E315" s="777">
        <f t="shared" si="4"/>
        <v>0</v>
      </c>
      <c r="F315" s="543"/>
    </row>
    <row r="316" spans="1:6" customFormat="1" ht="12.75" hidden="1" outlineLevel="1" x14ac:dyDescent="0.2">
      <c r="A316" s="176">
        <v>5395950000</v>
      </c>
      <c r="B316" s="317" t="s">
        <v>84</v>
      </c>
      <c r="C316" s="316">
        <f>+PRESUPUESTO!G319</f>
        <v>24200</v>
      </c>
      <c r="D316" s="316">
        <f>(+EDUC.CONT.!V26)/1000</f>
        <v>20995.170999999998</v>
      </c>
      <c r="E316" s="781">
        <f t="shared" si="4"/>
        <v>45195.171000000002</v>
      </c>
      <c r="F316" s="543"/>
    </row>
    <row r="317" spans="1:6" customFormat="1" ht="12.75" hidden="1" outlineLevel="1" x14ac:dyDescent="0.2">
      <c r="A317" s="610">
        <v>6160050200</v>
      </c>
      <c r="B317" s="317" t="s">
        <v>768</v>
      </c>
      <c r="C317" s="607">
        <f>+PRESUPUESTO!G320</f>
        <v>0</v>
      </c>
      <c r="D317" s="607"/>
      <c r="E317" s="776">
        <f t="shared" si="4"/>
        <v>0</v>
      </c>
      <c r="F317" s="543"/>
    </row>
    <row r="318" spans="1:6" customFormat="1" ht="12.75" collapsed="1" x14ac:dyDescent="0.2">
      <c r="A318" s="176"/>
      <c r="B318" s="213" t="s">
        <v>408</v>
      </c>
      <c r="C318" s="214">
        <f>SUM(C297:C317)</f>
        <v>114989.3</v>
      </c>
      <c r="D318" s="214">
        <f>SUM(D297:D317)</f>
        <v>20995.170999999998</v>
      </c>
      <c r="E318" s="780">
        <f t="shared" si="4"/>
        <v>135984.47099999999</v>
      </c>
      <c r="F318" s="543"/>
    </row>
    <row r="319" spans="1:6" customFormat="1" ht="12.75" x14ac:dyDescent="0.2">
      <c r="A319" s="1"/>
      <c r="B319" s="209" t="s">
        <v>409</v>
      </c>
      <c r="C319" s="210">
        <f>+C294-C318</f>
        <v>-73894.399999999994</v>
      </c>
      <c r="D319" s="210">
        <f>+D294-D318</f>
        <v>11004.829000000002</v>
      </c>
      <c r="E319" s="778">
        <f t="shared" si="4"/>
        <v>-62889.570999999996</v>
      </c>
      <c r="F319" s="543"/>
    </row>
    <row r="320" spans="1:6" customFormat="1" ht="12.75" x14ac:dyDescent="0.2">
      <c r="A320" s="3"/>
      <c r="B320" s="216" t="s">
        <v>152</v>
      </c>
      <c r="C320" s="210">
        <f>+C241+C319</f>
        <v>6373519.1356661115</v>
      </c>
      <c r="D320" s="210">
        <f>+D241+D319</f>
        <v>748004.56499999994</v>
      </c>
      <c r="E320" s="778">
        <f t="shared" si="4"/>
        <v>7121523.700666111</v>
      </c>
      <c r="F320" s="543"/>
    </row>
    <row r="321" spans="1:6" customFormat="1" ht="12.75" x14ac:dyDescent="0.2">
      <c r="A321" s="1"/>
      <c r="B321" s="206" t="s">
        <v>238</v>
      </c>
      <c r="C321" s="208"/>
      <c r="D321" s="208"/>
      <c r="E321" s="779">
        <f t="shared" si="4"/>
        <v>0</v>
      </c>
      <c r="F321" s="543"/>
    </row>
    <row r="322" spans="1:6" customFormat="1" ht="12.75" hidden="1" outlineLevel="1" x14ac:dyDescent="0.2">
      <c r="A322" s="1"/>
      <c r="B322" s="206" t="s">
        <v>410</v>
      </c>
      <c r="C322" s="208"/>
      <c r="D322" s="208"/>
      <c r="E322" s="779">
        <f t="shared" si="4"/>
        <v>0</v>
      </c>
      <c r="F322" s="543"/>
    </row>
    <row r="323" spans="1:6" customFormat="1" ht="12.75" hidden="1" outlineLevel="1" x14ac:dyDescent="0.2">
      <c r="A323" s="1">
        <v>1524050000</v>
      </c>
      <c r="B323" s="320" t="s">
        <v>411</v>
      </c>
      <c r="C323" s="226">
        <f>+PRESUPUESTO!G326</f>
        <v>12000</v>
      </c>
      <c r="D323" s="607"/>
      <c r="E323" s="776">
        <f t="shared" si="4"/>
        <v>12000</v>
      </c>
      <c r="F323" s="543"/>
    </row>
    <row r="324" spans="1:6" customFormat="1" ht="12.75" hidden="1" outlineLevel="1" x14ac:dyDescent="0.2">
      <c r="A324" s="1">
        <v>1528050000</v>
      </c>
      <c r="B324" s="320" t="s">
        <v>655</v>
      </c>
      <c r="C324" s="226">
        <f>+PRESUPUESTO!G327</f>
        <v>0</v>
      </c>
      <c r="D324" s="607"/>
      <c r="E324" s="776">
        <f t="shared" si="4"/>
        <v>0</v>
      </c>
      <c r="F324" s="543"/>
    </row>
    <row r="325" spans="1:6" customFormat="1" ht="12.75" hidden="1" outlineLevel="1" x14ac:dyDescent="0.2">
      <c r="A325" s="1">
        <v>1532050000</v>
      </c>
      <c r="B325" s="320" t="s">
        <v>656</v>
      </c>
      <c r="C325" s="226">
        <f>+PRESUPUESTO!G328</f>
        <v>700000</v>
      </c>
      <c r="D325" s="607"/>
      <c r="E325" s="776">
        <f t="shared" si="4"/>
        <v>700000</v>
      </c>
      <c r="F325" s="543"/>
    </row>
    <row r="326" spans="1:6" customFormat="1" ht="12.75" collapsed="1" x14ac:dyDescent="0.2">
      <c r="A326" s="1"/>
      <c r="B326" s="217" t="s">
        <v>239</v>
      </c>
      <c r="C326" s="214">
        <f>SUM(C323:C325)</f>
        <v>712000</v>
      </c>
      <c r="D326" s="214">
        <f>SUM(D323:D325)</f>
        <v>0</v>
      </c>
      <c r="E326" s="780">
        <f t="shared" si="4"/>
        <v>712000</v>
      </c>
      <c r="F326" s="543"/>
    </row>
    <row r="327" spans="1:6" customFormat="1" ht="13.5" thickBot="1" x14ac:dyDescent="0.25">
      <c r="A327" s="1"/>
      <c r="B327" s="218" t="s">
        <v>240</v>
      </c>
      <c r="C327" s="219">
        <f>+C320-C326</f>
        <v>5661519.1356661115</v>
      </c>
      <c r="D327" s="219">
        <f>+D320-D326</f>
        <v>748004.56499999994</v>
      </c>
      <c r="E327" s="782">
        <f t="shared" si="4"/>
        <v>6409523.700666111</v>
      </c>
      <c r="F327" s="543"/>
    </row>
    <row r="328" spans="1:6" ht="16.5" customHeight="1" x14ac:dyDescent="0.2">
      <c r="B328" s="220" t="s">
        <v>429</v>
      </c>
      <c r="C328" s="221">
        <f>IFERROR(C327/(+C29+C294),"Sin datos")</f>
        <v>0.1476706363273774</v>
      </c>
      <c r="D328" s="221">
        <f>IFERROR(D327/(+D29+D294),"Sin datos")</f>
        <v>0.49152883544069076</v>
      </c>
      <c r="E328" s="221">
        <f>IFERROR(E327/(+E29+E294),"Sin datos")</f>
        <v>0.16079839497417581</v>
      </c>
      <c r="F328" s="544"/>
    </row>
    <row r="329" spans="1:6" ht="16.5" customHeight="1" x14ac:dyDescent="0.2">
      <c r="B329" s="220" t="s">
        <v>430</v>
      </c>
      <c r="C329" s="221">
        <f>IFERROR(C61/(+C29+C294),"Sin datos")</f>
        <v>0.43672417970215566</v>
      </c>
      <c r="D329" s="221">
        <f>IFERROR(D61/(+D29+D294),"Sin datos")</f>
        <v>0</v>
      </c>
      <c r="E329" s="221">
        <f>IFERROR(E61/(+E29+E294),"Sin datos")</f>
        <v>0.42005099976596444</v>
      </c>
    </row>
    <row r="330" spans="1:6" ht="16.5" customHeight="1" thickBot="1" x14ac:dyDescent="0.25"/>
    <row r="331" spans="1:6" ht="16.5" customHeight="1" x14ac:dyDescent="0.2">
      <c r="B331" s="617" t="s">
        <v>775</v>
      </c>
      <c r="C331" s="765">
        <f t="shared" ref="C331:D331" si="5">IFERROR((C61+C72)/(C29+C294), "Sin datos")</f>
        <v>0.4448576076074634</v>
      </c>
      <c r="D331" s="765">
        <f t="shared" si="5"/>
        <v>0.35904605738229789</v>
      </c>
      <c r="E331" s="766">
        <f t="shared" ref="E331" si="6">IFERROR((E61+E72)/(E29+E294), "Sin datos")</f>
        <v>0.4415815091361503</v>
      </c>
    </row>
    <row r="332" spans="1:6" ht="16.5" customHeight="1" x14ac:dyDescent="0.2">
      <c r="B332" s="616" t="s">
        <v>776</v>
      </c>
      <c r="C332" s="767">
        <f t="shared" ref="C332:D332" si="7">IFERROR(C61/C29,"Sin datos")</f>
        <v>0.43719280108027903</v>
      </c>
      <c r="D332" s="767">
        <f t="shared" si="7"/>
        <v>0</v>
      </c>
      <c r="E332" s="768">
        <f t="shared" ref="E332" si="8">IFERROR(E61/E29,"Sin datos")</f>
        <v>0.42082268852599797</v>
      </c>
    </row>
    <row r="333" spans="1:6" ht="16.5" customHeight="1" x14ac:dyDescent="0.2">
      <c r="B333" s="618" t="s">
        <v>777</v>
      </c>
      <c r="C333" s="769">
        <f t="shared" ref="C333:D333" si="9">IFERROR((C61/(C29+C294)),"Sin datos")</f>
        <v>0.43672417970215566</v>
      </c>
      <c r="D333" s="769">
        <f t="shared" si="9"/>
        <v>0</v>
      </c>
      <c r="E333" s="770">
        <f t="shared" ref="E333" si="10">IFERROR((E61/(E29+E294)),"Sin datos")</f>
        <v>0.42005099976596444</v>
      </c>
    </row>
    <row r="334" spans="1:6" ht="16.5" customHeight="1" x14ac:dyDescent="0.2">
      <c r="B334" s="616" t="s">
        <v>778</v>
      </c>
      <c r="C334" s="767">
        <f t="shared" ref="C334:D334" si="11">IFERROR(C72/C29,"Sin datos")</f>
        <v>8.1421553776369771E-3</v>
      </c>
      <c r="D334" s="767">
        <f t="shared" si="11"/>
        <v>0.36675819113165387</v>
      </c>
      <c r="E334" s="768">
        <f t="shared" ref="E334" si="12">IFERROR(E72/E29,"Sin datos")</f>
        <v>2.1570063738793523E-2</v>
      </c>
      <c r="F334" s="196"/>
    </row>
    <row r="335" spans="1:6" ht="16.5" customHeight="1" x14ac:dyDescent="0.2">
      <c r="B335" s="618" t="s">
        <v>779</v>
      </c>
      <c r="C335" s="769" t="s">
        <v>169</v>
      </c>
      <c r="D335" s="769" t="s">
        <v>169</v>
      </c>
      <c r="E335" s="770" t="s">
        <v>169</v>
      </c>
      <c r="F335" s="196"/>
    </row>
    <row r="336" spans="1:6" ht="16.5" customHeight="1" x14ac:dyDescent="0.2">
      <c r="B336" s="616" t="s">
        <v>780</v>
      </c>
      <c r="C336" s="767">
        <f t="shared" ref="C336:D336" si="13">IFERROR((C320/(C29+C294)),"Sin datos")</f>
        <v>0.16624188735481427</v>
      </c>
      <c r="D336" s="767">
        <f t="shared" si="13"/>
        <v>0.49152883544069076</v>
      </c>
      <c r="E336" s="768">
        <f t="shared" ref="E336" si="14">IFERROR((E320/(E29+E294)),"Sin datos")</f>
        <v>0.17866063600305521</v>
      </c>
      <c r="F336" s="196"/>
    </row>
    <row r="337" spans="2:6" ht="16.5" customHeight="1" x14ac:dyDescent="0.2">
      <c r="B337" s="618" t="s">
        <v>781</v>
      </c>
      <c r="C337" s="769">
        <f t="shared" ref="C337:D337" si="15">IFERROR((C326/C29),"Sin datos")</f>
        <v>1.8591178674346377E-2</v>
      </c>
      <c r="D337" s="769">
        <f t="shared" si="15"/>
        <v>0</v>
      </c>
      <c r="E337" s="770">
        <f t="shared" ref="E337" si="16">IFERROR((E326/E29),"Sin datos")</f>
        <v>1.7895056307592409E-2</v>
      </c>
    </row>
    <row r="338" spans="2:6" ht="16.5" customHeight="1" x14ac:dyDescent="0.2">
      <c r="B338" s="616" t="s">
        <v>782</v>
      </c>
      <c r="C338" s="767">
        <f t="shared" ref="C338:D338" si="17">IFERROR((C326/(C29+C294)),"Sin datos")</f>
        <v>1.8571251027436859E-2</v>
      </c>
      <c r="D338" s="767">
        <f t="shared" si="17"/>
        <v>0</v>
      </c>
      <c r="E338" s="768">
        <f t="shared" ref="E338" si="18">IFERROR((E326/(E29+E294)),"Sin datos")</f>
        <v>1.7862241028879407E-2</v>
      </c>
      <c r="F338" s="196"/>
    </row>
    <row r="339" spans="2:6" ht="16.5" customHeight="1" thickBot="1" x14ac:dyDescent="0.25">
      <c r="B339" s="619" t="s">
        <v>783</v>
      </c>
      <c r="C339" s="771">
        <f t="shared" ref="C339:D339" si="19">IFERROR((C240+C318)/(C29+C294),"Sin datos")</f>
        <v>0.83375811264518573</v>
      </c>
      <c r="D339" s="771">
        <f t="shared" si="19"/>
        <v>0.5084711645593093</v>
      </c>
      <c r="E339" s="772">
        <f t="shared" ref="E339" si="20">IFERROR((E240+E318)/(E29+E294),"Sin datos")</f>
        <v>0.82133936399694474</v>
      </c>
      <c r="F339" s="196"/>
    </row>
    <row r="340" spans="2:6" ht="16.5" customHeight="1" x14ac:dyDescent="0.2">
      <c r="B340" s="196"/>
      <c r="C340" s="196"/>
      <c r="D340" s="196"/>
      <c r="E340" s="196"/>
      <c r="F340" s="196"/>
    </row>
  </sheetData>
  <protectedRanges>
    <protectedRange sqref="F4:F329" name="Rango1"/>
  </protectedRanges>
  <mergeCells count="6">
    <mergeCell ref="B2:E2"/>
    <mergeCell ref="F4:F5"/>
    <mergeCell ref="B4:B5"/>
    <mergeCell ref="D4:D5"/>
    <mergeCell ref="C4:C5"/>
    <mergeCell ref="E4:E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R39"/>
  <sheetViews>
    <sheetView zoomScale="70" zoomScaleNormal="70" workbookViewId="0">
      <selection activeCell="S4" sqref="S4"/>
    </sheetView>
  </sheetViews>
  <sheetFormatPr baseColWidth="10" defaultRowHeight="12.75" x14ac:dyDescent="0.2"/>
  <cols>
    <col min="1" max="1" width="0.85546875" style="5" customWidth="1"/>
    <col min="2" max="4" width="11.5703125" style="5" bestFit="1" customWidth="1"/>
    <col min="5" max="5" width="2.85546875" style="5" customWidth="1"/>
    <col min="6" max="8" width="11.5703125" style="5" bestFit="1" customWidth="1"/>
    <col min="9" max="9" width="2.85546875" style="16" customWidth="1"/>
    <col min="10" max="10" width="11.5703125" style="35" bestFit="1" customWidth="1"/>
    <col min="11" max="12" width="11.5703125" style="5" bestFit="1" customWidth="1"/>
    <col min="13" max="13" width="4.7109375" style="5" customWidth="1"/>
    <col min="14" max="16" width="11.42578125" style="5"/>
    <col min="17" max="17" width="3.85546875" style="5" customWidth="1"/>
    <col min="18" max="23" width="11.42578125" style="5"/>
    <col min="24" max="44" width="11.42578125" style="849"/>
    <col min="45" max="16384" width="11.42578125" style="5"/>
  </cols>
  <sheetData>
    <row r="1" spans="2:44" ht="47.25" customHeight="1" thickBot="1" x14ac:dyDescent="0.25">
      <c r="G1" s="1139" t="s">
        <v>856</v>
      </c>
      <c r="H1" s="1139"/>
      <c r="I1" s="1139"/>
      <c r="J1" s="1139"/>
      <c r="K1" s="1139"/>
      <c r="L1" s="1139"/>
      <c r="M1" s="1139"/>
      <c r="N1" s="1139"/>
      <c r="O1" s="1139"/>
      <c r="P1" s="1139"/>
    </row>
    <row r="2" spans="2:44" s="35" customFormat="1" ht="16.5" thickBot="1" x14ac:dyDescent="0.3">
      <c r="B2" s="1136" t="str">
        <f>+PRESUPUESTO!$B$2</f>
        <v>MEDICINA PREGRADO</v>
      </c>
      <c r="C2" s="1137"/>
      <c r="D2" s="284">
        <v>2014</v>
      </c>
      <c r="F2" s="1136" t="str">
        <f>+PRESUPUESTO!$B$2</f>
        <v>MEDICINA PREGRADO</v>
      </c>
      <c r="G2" s="1137"/>
      <c r="H2" s="284">
        <v>2015</v>
      </c>
      <c r="I2" s="285"/>
      <c r="J2" s="1136" t="str">
        <f>+PRESUPUESTO!$B$2</f>
        <v>MEDICINA PREGRADO</v>
      </c>
      <c r="K2" s="1137"/>
      <c r="L2" s="284">
        <v>2016</v>
      </c>
      <c r="N2" s="1136" t="str">
        <f>+PRESUPUESTO!$B$2</f>
        <v>MEDICINA PREGRADO</v>
      </c>
      <c r="O2" s="1137"/>
      <c r="P2" s="284">
        <v>2017</v>
      </c>
      <c r="R2" s="1136" t="str">
        <f>+PRESUPUESTO!$B$2</f>
        <v>MEDICINA PREGRADO</v>
      </c>
      <c r="S2" s="1137"/>
      <c r="T2" s="284">
        <v>2018</v>
      </c>
      <c r="X2" s="850"/>
      <c r="Y2" s="850"/>
      <c r="Z2" s="850"/>
      <c r="AA2" s="850"/>
      <c r="AB2" s="850"/>
      <c r="AC2" s="850"/>
      <c r="AD2" s="850"/>
      <c r="AE2" s="850"/>
      <c r="AF2" s="850"/>
      <c r="AG2" s="850"/>
      <c r="AH2" s="850"/>
      <c r="AI2" s="850"/>
      <c r="AJ2" s="850"/>
      <c r="AK2" s="850"/>
      <c r="AL2" s="850"/>
      <c r="AM2" s="850"/>
      <c r="AN2" s="850"/>
      <c r="AO2" s="850"/>
      <c r="AP2" s="850"/>
      <c r="AQ2" s="850"/>
      <c r="AR2" s="850"/>
    </row>
    <row r="3" spans="2:44" s="34" customFormat="1" ht="13.5" thickBot="1" x14ac:dyDescent="0.25">
      <c r="B3" s="286" t="s">
        <v>200</v>
      </c>
      <c r="C3" s="286" t="s">
        <v>219</v>
      </c>
      <c r="D3" s="286" t="s">
        <v>220</v>
      </c>
      <c r="E3" s="36"/>
      <c r="F3" s="286" t="s">
        <v>200</v>
      </c>
      <c r="G3" s="286" t="s">
        <v>219</v>
      </c>
      <c r="H3" s="286" t="s">
        <v>220</v>
      </c>
      <c r="I3" s="287"/>
      <c r="J3" s="286" t="s">
        <v>200</v>
      </c>
      <c r="K3" s="286" t="s">
        <v>219</v>
      </c>
      <c r="L3" s="286" t="s">
        <v>220</v>
      </c>
      <c r="N3" s="286" t="s">
        <v>200</v>
      </c>
      <c r="O3" s="288" t="s">
        <v>219</v>
      </c>
      <c r="P3" s="288" t="s">
        <v>220</v>
      </c>
      <c r="R3" s="286" t="s">
        <v>200</v>
      </c>
      <c r="S3" s="288" t="s">
        <v>219</v>
      </c>
      <c r="T3" s="288" t="s">
        <v>220</v>
      </c>
      <c r="X3" s="851"/>
      <c r="Y3" s="851"/>
      <c r="Z3" s="851"/>
      <c r="AA3" s="851"/>
      <c r="AB3" s="851"/>
      <c r="AC3" s="851"/>
      <c r="AD3" s="851"/>
      <c r="AE3" s="851"/>
      <c r="AF3" s="851"/>
      <c r="AG3" s="851"/>
      <c r="AH3" s="851"/>
      <c r="AI3" s="851"/>
      <c r="AJ3" s="851"/>
      <c r="AK3" s="851"/>
      <c r="AL3" s="851"/>
      <c r="AM3" s="851"/>
      <c r="AN3" s="851"/>
      <c r="AO3" s="851"/>
      <c r="AP3" s="851"/>
      <c r="AQ3" s="851"/>
      <c r="AR3" s="851"/>
    </row>
    <row r="4" spans="2:44" x14ac:dyDescent="0.2">
      <c r="B4" s="32" t="s">
        <v>206</v>
      </c>
      <c r="C4" s="485">
        <v>102</v>
      </c>
      <c r="D4" s="485">
        <v>117</v>
      </c>
      <c r="F4" s="32" t="s">
        <v>206</v>
      </c>
      <c r="G4" s="485">
        <v>106</v>
      </c>
      <c r="H4" s="485">
        <v>122</v>
      </c>
      <c r="I4" s="5"/>
      <c r="J4" s="32" t="s">
        <v>206</v>
      </c>
      <c r="K4" s="485">
        <v>123</v>
      </c>
      <c r="L4" s="485">
        <v>115</v>
      </c>
      <c r="N4" s="32" t="s">
        <v>206</v>
      </c>
      <c r="O4" s="485">
        <v>119</v>
      </c>
      <c r="P4" s="485">
        <v>120</v>
      </c>
      <c r="R4" s="32" t="s">
        <v>206</v>
      </c>
      <c r="S4" s="485">
        <f>+MAT.!G25</f>
        <v>112</v>
      </c>
      <c r="T4" s="597">
        <f>+MAT.!G41</f>
        <v>120</v>
      </c>
    </row>
    <row r="5" spans="2:44" x14ac:dyDescent="0.2">
      <c r="B5" s="32" t="s">
        <v>207</v>
      </c>
      <c r="C5" s="485">
        <v>75</v>
      </c>
      <c r="D5" s="485">
        <v>87</v>
      </c>
      <c r="F5" s="32" t="s">
        <v>207</v>
      </c>
      <c r="G5" s="485">
        <v>102</v>
      </c>
      <c r="H5" s="485">
        <v>92</v>
      </c>
      <c r="I5" s="5"/>
      <c r="J5" s="32" t="s">
        <v>207</v>
      </c>
      <c r="K5" s="485">
        <v>109</v>
      </c>
      <c r="L5" s="485">
        <v>115</v>
      </c>
      <c r="N5" s="32" t="s">
        <v>207</v>
      </c>
      <c r="O5" s="485">
        <v>106</v>
      </c>
      <c r="P5" s="485">
        <v>108</v>
      </c>
      <c r="R5" s="32" t="s">
        <v>207</v>
      </c>
      <c r="S5" s="485">
        <f>+MAT.!G26</f>
        <v>102</v>
      </c>
      <c r="T5" s="485">
        <f>+MAT.!G42</f>
        <v>109</v>
      </c>
    </row>
    <row r="6" spans="2:44" x14ac:dyDescent="0.2">
      <c r="B6" s="32" t="s">
        <v>208</v>
      </c>
      <c r="C6" s="485">
        <v>105</v>
      </c>
      <c r="D6" s="485">
        <v>80</v>
      </c>
      <c r="F6" s="32" t="s">
        <v>208</v>
      </c>
      <c r="G6" s="485">
        <v>85</v>
      </c>
      <c r="H6" s="485">
        <v>100</v>
      </c>
      <c r="I6" s="5"/>
      <c r="J6" s="32" t="s">
        <v>208</v>
      </c>
      <c r="K6" s="485">
        <v>93</v>
      </c>
      <c r="L6" s="485">
        <v>95</v>
      </c>
      <c r="N6" s="32" t="s">
        <v>208</v>
      </c>
      <c r="O6" s="485">
        <v>114</v>
      </c>
      <c r="P6" s="485">
        <v>104</v>
      </c>
      <c r="R6" s="32" t="s">
        <v>208</v>
      </c>
      <c r="S6" s="485">
        <f>+MAT.!G27</f>
        <v>104</v>
      </c>
      <c r="T6" s="485">
        <f>+MAT.!G43</f>
        <v>105</v>
      </c>
    </row>
    <row r="7" spans="2:44" x14ac:dyDescent="0.2">
      <c r="B7" s="32" t="s">
        <v>209</v>
      </c>
      <c r="C7" s="485">
        <v>100</v>
      </c>
      <c r="D7" s="485">
        <v>103</v>
      </c>
      <c r="F7" s="32" t="s">
        <v>209</v>
      </c>
      <c r="G7" s="485">
        <v>82</v>
      </c>
      <c r="H7" s="485">
        <v>82</v>
      </c>
      <c r="I7" s="5"/>
      <c r="J7" s="32" t="s">
        <v>209</v>
      </c>
      <c r="K7" s="485">
        <v>95</v>
      </c>
      <c r="L7" s="485">
        <v>95</v>
      </c>
      <c r="N7" s="32" t="s">
        <v>209</v>
      </c>
      <c r="O7" s="485">
        <v>93</v>
      </c>
      <c r="P7" s="485">
        <v>113</v>
      </c>
      <c r="R7" s="32" t="s">
        <v>209</v>
      </c>
      <c r="S7" s="485">
        <f>+MAT.!G28</f>
        <v>103</v>
      </c>
      <c r="T7" s="485">
        <f>+MAT.!G44</f>
        <v>107</v>
      </c>
    </row>
    <row r="8" spans="2:44" x14ac:dyDescent="0.2">
      <c r="B8" s="32" t="s">
        <v>210</v>
      </c>
      <c r="C8" s="485">
        <v>94</v>
      </c>
      <c r="D8" s="485">
        <v>103</v>
      </c>
      <c r="F8" s="32" t="s">
        <v>210</v>
      </c>
      <c r="G8" s="485">
        <v>110</v>
      </c>
      <c r="H8" s="485">
        <v>88</v>
      </c>
      <c r="I8" s="5"/>
      <c r="J8" s="32" t="s">
        <v>210</v>
      </c>
      <c r="K8" s="485">
        <v>94</v>
      </c>
      <c r="L8" s="485">
        <v>89</v>
      </c>
      <c r="N8" s="32" t="s">
        <v>210</v>
      </c>
      <c r="O8" s="485">
        <v>97</v>
      </c>
      <c r="P8" s="485">
        <v>94</v>
      </c>
      <c r="R8" s="32" t="s">
        <v>210</v>
      </c>
      <c r="S8" s="485">
        <f>+MAT.!G29</f>
        <v>108</v>
      </c>
      <c r="T8" s="485">
        <f>+MAT.!G45</f>
        <v>103</v>
      </c>
    </row>
    <row r="9" spans="2:44" x14ac:dyDescent="0.2">
      <c r="B9" s="32" t="s">
        <v>211</v>
      </c>
      <c r="C9" s="485">
        <v>104</v>
      </c>
      <c r="D9" s="485">
        <v>102</v>
      </c>
      <c r="F9" s="32" t="s">
        <v>211</v>
      </c>
      <c r="G9" s="485">
        <v>101</v>
      </c>
      <c r="H9" s="485">
        <v>112</v>
      </c>
      <c r="I9" s="5"/>
      <c r="J9" s="32" t="s">
        <v>211</v>
      </c>
      <c r="K9" s="485">
        <v>92</v>
      </c>
      <c r="L9" s="485">
        <v>96</v>
      </c>
      <c r="N9" s="32" t="s">
        <v>211</v>
      </c>
      <c r="O9" s="485">
        <v>93</v>
      </c>
      <c r="P9" s="485">
        <v>99</v>
      </c>
      <c r="R9" s="32" t="s">
        <v>211</v>
      </c>
      <c r="S9" s="485">
        <f>+MAT.!G30</f>
        <v>104</v>
      </c>
      <c r="T9" s="485">
        <f>+MAT.!G46</f>
        <v>113</v>
      </c>
    </row>
    <row r="10" spans="2:44" x14ac:dyDescent="0.2">
      <c r="B10" s="32" t="s">
        <v>212</v>
      </c>
      <c r="C10" s="485">
        <v>72</v>
      </c>
      <c r="D10" s="485">
        <v>75</v>
      </c>
      <c r="F10" s="32" t="s">
        <v>212</v>
      </c>
      <c r="G10" s="485">
        <v>87</v>
      </c>
      <c r="H10" s="485">
        <v>91</v>
      </c>
      <c r="I10" s="5"/>
      <c r="J10" s="32" t="s">
        <v>212</v>
      </c>
      <c r="K10" s="485">
        <v>93</v>
      </c>
      <c r="L10" s="485">
        <v>77</v>
      </c>
      <c r="N10" s="32" t="s">
        <v>212</v>
      </c>
      <c r="O10" s="485">
        <v>84</v>
      </c>
      <c r="P10" s="485">
        <v>71</v>
      </c>
      <c r="R10" s="32" t="s">
        <v>212</v>
      </c>
      <c r="S10" s="485">
        <f>+MAT.!G31</f>
        <v>70</v>
      </c>
      <c r="T10" s="485">
        <f>+MAT.!G47</f>
        <v>79</v>
      </c>
    </row>
    <row r="11" spans="2:44" x14ac:dyDescent="0.2">
      <c r="B11" s="32" t="s">
        <v>213</v>
      </c>
      <c r="C11" s="485">
        <v>65</v>
      </c>
      <c r="D11" s="485">
        <v>73</v>
      </c>
      <c r="F11" s="32" t="s">
        <v>213</v>
      </c>
      <c r="G11" s="485">
        <v>73</v>
      </c>
      <c r="H11" s="485">
        <v>89</v>
      </c>
      <c r="I11" s="5"/>
      <c r="J11" s="32" t="s">
        <v>213</v>
      </c>
      <c r="K11" s="485">
        <v>87</v>
      </c>
      <c r="L11" s="485">
        <v>92</v>
      </c>
      <c r="N11" s="32" t="s">
        <v>213</v>
      </c>
      <c r="O11" s="485">
        <v>76</v>
      </c>
      <c r="P11" s="485">
        <v>81</v>
      </c>
      <c r="R11" s="32" t="s">
        <v>213</v>
      </c>
      <c r="S11" s="485">
        <f>+MAT.!G32</f>
        <v>72</v>
      </c>
      <c r="T11" s="485">
        <f>+MAT.!G48</f>
        <v>81</v>
      </c>
    </row>
    <row r="12" spans="2:44" x14ac:dyDescent="0.2">
      <c r="B12" s="32" t="s">
        <v>214</v>
      </c>
      <c r="C12" s="485">
        <v>94</v>
      </c>
      <c r="D12" s="485">
        <v>65</v>
      </c>
      <c r="F12" s="32" t="s">
        <v>214</v>
      </c>
      <c r="G12" s="485">
        <v>74</v>
      </c>
      <c r="H12" s="485">
        <v>72</v>
      </c>
      <c r="I12" s="5"/>
      <c r="J12" s="32" t="s">
        <v>214</v>
      </c>
      <c r="K12" s="485">
        <v>87</v>
      </c>
      <c r="L12" s="485">
        <v>88</v>
      </c>
      <c r="N12" s="32" t="s">
        <v>214</v>
      </c>
      <c r="O12" s="485">
        <v>90</v>
      </c>
      <c r="P12" s="485">
        <v>77</v>
      </c>
      <c r="R12" s="32" t="s">
        <v>214</v>
      </c>
      <c r="S12" s="485">
        <f>+MAT.!G33</f>
        <v>82</v>
      </c>
      <c r="T12" s="485">
        <f>+MAT.!G49</f>
        <v>69</v>
      </c>
    </row>
    <row r="13" spans="2:44" x14ac:dyDescent="0.2">
      <c r="B13" s="32" t="s">
        <v>215</v>
      </c>
      <c r="C13" s="485">
        <v>57</v>
      </c>
      <c r="D13" s="485">
        <v>96</v>
      </c>
      <c r="F13" s="32" t="s">
        <v>215</v>
      </c>
      <c r="G13" s="485">
        <v>67</v>
      </c>
      <c r="H13" s="485">
        <v>74</v>
      </c>
      <c r="I13" s="5"/>
      <c r="J13" s="32" t="s">
        <v>215</v>
      </c>
      <c r="K13" s="485">
        <v>74</v>
      </c>
      <c r="L13" s="485">
        <v>87</v>
      </c>
      <c r="N13" s="32" t="s">
        <v>215</v>
      </c>
      <c r="O13" s="485">
        <v>89</v>
      </c>
      <c r="P13" s="485">
        <v>89</v>
      </c>
      <c r="R13" s="32" t="s">
        <v>215</v>
      </c>
      <c r="S13" s="485">
        <f>+MAT.!G34</f>
        <v>75</v>
      </c>
      <c r="T13" s="485">
        <f>+MAT.!G50</f>
        <v>81</v>
      </c>
    </row>
    <row r="14" spans="2:44" x14ac:dyDescent="0.2">
      <c r="B14" s="32" t="s">
        <v>216</v>
      </c>
      <c r="C14" s="485">
        <v>67</v>
      </c>
      <c r="D14" s="485">
        <v>59</v>
      </c>
      <c r="F14" s="32" t="s">
        <v>216</v>
      </c>
      <c r="G14" s="485">
        <v>89</v>
      </c>
      <c r="H14" s="485">
        <v>68</v>
      </c>
      <c r="I14" s="5"/>
      <c r="J14" s="32" t="s">
        <v>216</v>
      </c>
      <c r="K14" s="485">
        <v>72</v>
      </c>
      <c r="L14" s="485">
        <v>73</v>
      </c>
      <c r="N14" s="32" t="s">
        <v>216</v>
      </c>
      <c r="O14" s="485">
        <v>89</v>
      </c>
      <c r="P14" s="485">
        <v>88</v>
      </c>
      <c r="R14" s="32" t="s">
        <v>216</v>
      </c>
      <c r="S14" s="485">
        <f>+MAT.!G35</f>
        <v>88</v>
      </c>
      <c r="T14" s="485">
        <f>+MAT.!G51</f>
        <v>76</v>
      </c>
    </row>
    <row r="15" spans="2:44" ht="13.5" thickBot="1" x14ac:dyDescent="0.25">
      <c r="B15" s="32" t="s">
        <v>217</v>
      </c>
      <c r="C15" s="485">
        <v>50</v>
      </c>
      <c r="D15" s="485">
        <v>66</v>
      </c>
      <c r="F15" s="32" t="s">
        <v>217</v>
      </c>
      <c r="G15" s="485">
        <v>59</v>
      </c>
      <c r="H15" s="485">
        <v>91</v>
      </c>
      <c r="I15" s="5"/>
      <c r="J15" s="32" t="s">
        <v>217</v>
      </c>
      <c r="K15" s="485">
        <v>66</v>
      </c>
      <c r="L15" s="485">
        <v>73</v>
      </c>
      <c r="N15" s="32" t="s">
        <v>217</v>
      </c>
      <c r="O15" s="485">
        <v>77</v>
      </c>
      <c r="P15" s="485">
        <v>88</v>
      </c>
      <c r="R15" s="32" t="s">
        <v>217</v>
      </c>
      <c r="S15" s="485">
        <f>+MAT.!G36</f>
        <v>88</v>
      </c>
      <c r="T15" s="485">
        <f>+MAT.!G52</f>
        <v>88</v>
      </c>
    </row>
    <row r="16" spans="2:44" ht="13.5" thickBot="1" x14ac:dyDescent="0.25">
      <c r="B16" s="33" t="s">
        <v>218</v>
      </c>
      <c r="C16" s="978">
        <f>SUM(C4:C15)</f>
        <v>985</v>
      </c>
      <c r="D16" s="979">
        <f>SUM(D4:D15)</f>
        <v>1026</v>
      </c>
      <c r="F16" s="33" t="s">
        <v>218</v>
      </c>
      <c r="G16" s="978">
        <f>SUM(G4:G15)</f>
        <v>1035</v>
      </c>
      <c r="H16" s="979">
        <f>SUM(H4:H15)</f>
        <v>1081</v>
      </c>
      <c r="J16" s="33" t="s">
        <v>218</v>
      </c>
      <c r="K16" s="978">
        <f>SUM(K4:K15)</f>
        <v>1085</v>
      </c>
      <c r="L16" s="979">
        <f>SUM(L4:L15)</f>
        <v>1095</v>
      </c>
      <c r="N16" s="33" t="s">
        <v>218</v>
      </c>
      <c r="O16" s="978">
        <f>SUM(O4:O15)</f>
        <v>1127</v>
      </c>
      <c r="P16" s="979">
        <f>SUM(P4:P15)</f>
        <v>1132</v>
      </c>
      <c r="R16" s="33" t="s">
        <v>218</v>
      </c>
      <c r="S16" s="978">
        <f>SUM(S4:S15)</f>
        <v>1108</v>
      </c>
      <c r="T16" s="979">
        <f>SUM(T4:T15)</f>
        <v>1131</v>
      </c>
    </row>
    <row r="18" spans="2:21" ht="13.5" thickBot="1" x14ac:dyDescent="0.25"/>
    <row r="19" spans="2:21" ht="18" x14ac:dyDescent="0.25">
      <c r="B19" s="68"/>
      <c r="C19" s="1138" t="s">
        <v>272</v>
      </c>
      <c r="D19" s="1138"/>
      <c r="E19" s="1138"/>
      <c r="F19" s="1138"/>
      <c r="G19" s="1138"/>
      <c r="H19" s="1138"/>
      <c r="I19" s="1138"/>
      <c r="J19" s="1138"/>
      <c r="K19" s="856"/>
      <c r="M19" s="68"/>
      <c r="N19" s="69"/>
      <c r="O19" s="1138" t="s">
        <v>274</v>
      </c>
      <c r="P19" s="1138"/>
      <c r="Q19" s="1138"/>
      <c r="R19" s="1138"/>
      <c r="S19" s="1138"/>
      <c r="T19" s="1138"/>
      <c r="U19" s="70"/>
    </row>
    <row r="20" spans="2:21" x14ac:dyDescent="0.2">
      <c r="B20" s="57"/>
      <c r="C20" s="1135" t="s">
        <v>206</v>
      </c>
      <c r="D20" s="27"/>
      <c r="E20" s="27"/>
      <c r="F20" s="27"/>
      <c r="G20" s="27"/>
      <c r="H20" s="27"/>
      <c r="I20" s="27"/>
      <c r="J20" s="58"/>
      <c r="K20" s="857"/>
      <c r="M20" s="57"/>
      <c r="N20" s="27"/>
      <c r="O20" s="1135" t="s">
        <v>206</v>
      </c>
      <c r="P20" s="27"/>
      <c r="Q20" s="27"/>
      <c r="R20" s="27"/>
      <c r="S20" s="27"/>
      <c r="T20" s="27"/>
      <c r="U20" s="59"/>
    </row>
    <row r="21" spans="2:21" ht="12.75" customHeight="1" x14ac:dyDescent="0.25">
      <c r="B21" s="60" t="s">
        <v>273</v>
      </c>
      <c r="C21" s="1135"/>
      <c r="D21" s="27"/>
      <c r="E21" s="27"/>
      <c r="F21" s="27"/>
      <c r="G21" s="27"/>
      <c r="H21" s="27"/>
      <c r="I21" s="27"/>
      <c r="J21" s="58"/>
      <c r="K21" s="857"/>
      <c r="M21" s="57"/>
      <c r="N21" s="66" t="s">
        <v>273</v>
      </c>
      <c r="O21" s="1135"/>
      <c r="P21" s="27"/>
      <c r="Q21" s="27"/>
      <c r="R21" s="27"/>
      <c r="S21" s="27"/>
      <c r="T21" s="27"/>
      <c r="U21" s="59"/>
    </row>
    <row r="22" spans="2:21" x14ac:dyDescent="0.2">
      <c r="B22" s="854"/>
      <c r="C22" s="855"/>
      <c r="D22" s="855"/>
      <c r="E22" s="855"/>
      <c r="F22" s="855"/>
      <c r="G22" s="855"/>
      <c r="H22" s="855"/>
      <c r="I22" s="852"/>
      <c r="J22" s="853"/>
      <c r="K22" s="858"/>
      <c r="L22" s="849"/>
      <c r="M22" s="57"/>
      <c r="N22" s="27"/>
      <c r="O22" s="27"/>
      <c r="P22" s="27"/>
      <c r="Q22" s="27"/>
      <c r="R22" s="27"/>
      <c r="S22" s="27"/>
      <c r="T22" s="27"/>
      <c r="U22" s="59"/>
    </row>
    <row r="23" spans="2:21" x14ac:dyDescent="0.2">
      <c r="B23" s="854"/>
      <c r="C23" s="855">
        <f>VLOOKUP($C$20,$B$4:$T$15,2,0)</f>
        <v>102</v>
      </c>
      <c r="D23" s="855">
        <f>VLOOKUP($C$20,$B$4:$T$15,6,0)</f>
        <v>106</v>
      </c>
      <c r="E23" s="855">
        <f>VLOOKUP($C$20,$B$4:$T$15,10,0)</f>
        <v>123</v>
      </c>
      <c r="F23" s="855">
        <f>VLOOKUP($C$20,$B$4:$T$15,14,0)</f>
        <v>119</v>
      </c>
      <c r="G23" s="855">
        <f>VLOOKUP($C$20,$B$4:$T$15,18,0)</f>
        <v>112</v>
      </c>
      <c r="H23" s="855"/>
      <c r="I23" s="852"/>
      <c r="J23" s="853"/>
      <c r="K23" s="858"/>
      <c r="L23" s="849"/>
      <c r="M23" s="67"/>
      <c r="N23" s="56"/>
      <c r="O23" s="56">
        <f>VLOOKUP($O$20,$B$4:$T$15,3,0)</f>
        <v>117</v>
      </c>
      <c r="P23" s="56">
        <f>VLOOKUP($O$20,$B$4:$T$15,7,0)</f>
        <v>122</v>
      </c>
      <c r="Q23" s="56">
        <f>VLOOKUP($O$20,$B$4:$T$15,11,0)</f>
        <v>115</v>
      </c>
      <c r="R23" s="56">
        <f>VLOOKUP($O$20,$B$4:$T$15,15,0)</f>
        <v>120</v>
      </c>
      <c r="S23" s="56">
        <f>VLOOKUP($O$20,$B$4:$T$15,19,0)</f>
        <v>120</v>
      </c>
      <c r="T23" s="56"/>
      <c r="U23" s="59"/>
    </row>
    <row r="24" spans="2:21" x14ac:dyDescent="0.2">
      <c r="B24" s="854"/>
      <c r="C24" s="855">
        <f>D2</f>
        <v>2014</v>
      </c>
      <c r="D24" s="855">
        <f>H2</f>
        <v>2015</v>
      </c>
      <c r="E24" s="855">
        <f>L2</f>
        <v>2016</v>
      </c>
      <c r="F24" s="855">
        <f>P2</f>
        <v>2017</v>
      </c>
      <c r="G24" s="855">
        <f>T2</f>
        <v>2018</v>
      </c>
      <c r="H24" s="855"/>
      <c r="I24" s="852"/>
      <c r="J24" s="853"/>
      <c r="K24" s="858"/>
      <c r="L24" s="849"/>
      <c r="M24" s="67"/>
      <c r="N24" s="56"/>
      <c r="O24" s="56">
        <f>D2</f>
        <v>2014</v>
      </c>
      <c r="P24" s="56">
        <f>H2</f>
        <v>2015</v>
      </c>
      <c r="Q24" s="56">
        <f>L2</f>
        <v>2016</v>
      </c>
      <c r="R24" s="56">
        <f>P2</f>
        <v>2017</v>
      </c>
      <c r="S24" s="56">
        <f>T2</f>
        <v>2018</v>
      </c>
      <c r="T24" s="56"/>
      <c r="U24" s="59"/>
    </row>
    <row r="25" spans="2:21" x14ac:dyDescent="0.2">
      <c r="B25" s="854"/>
      <c r="C25" s="855"/>
      <c r="D25" s="855"/>
      <c r="E25" s="855"/>
      <c r="F25" s="855"/>
      <c r="G25" s="855"/>
      <c r="H25" s="855"/>
      <c r="I25" s="852"/>
      <c r="J25" s="853"/>
      <c r="K25" s="858"/>
      <c r="L25" s="849"/>
      <c r="M25" s="67"/>
      <c r="N25" s="56"/>
      <c r="O25" s="56"/>
      <c r="P25" s="56"/>
      <c r="Q25" s="56"/>
      <c r="R25" s="56"/>
      <c r="S25" s="56"/>
      <c r="T25" s="56"/>
      <c r="U25" s="59"/>
    </row>
    <row r="26" spans="2:21" x14ac:dyDescent="0.2">
      <c r="B26" s="57"/>
      <c r="C26" s="56"/>
      <c r="D26" s="56"/>
      <c r="E26" s="56"/>
      <c r="F26" s="56"/>
      <c r="G26" s="56"/>
      <c r="H26" s="56"/>
      <c r="I26" s="56"/>
      <c r="J26" s="61"/>
      <c r="K26" s="856"/>
      <c r="L26" s="55"/>
      <c r="M26" s="67"/>
      <c r="N26" s="56"/>
      <c r="O26" s="56"/>
      <c r="P26" s="56"/>
      <c r="Q26" s="56"/>
      <c r="R26" s="56"/>
      <c r="S26" s="56"/>
      <c r="T26" s="56"/>
      <c r="U26" s="59"/>
    </row>
    <row r="27" spans="2:21" x14ac:dyDescent="0.2">
      <c r="B27" s="57"/>
      <c r="C27" s="56"/>
      <c r="D27" s="56"/>
      <c r="E27" s="56"/>
      <c r="F27" s="56"/>
      <c r="G27" s="56"/>
      <c r="H27" s="56"/>
      <c r="I27" s="56"/>
      <c r="J27" s="61"/>
      <c r="K27" s="856"/>
      <c r="L27" s="55"/>
      <c r="M27" s="67"/>
      <c r="N27" s="56"/>
      <c r="O27" s="56"/>
      <c r="P27" s="56"/>
      <c r="Q27" s="56"/>
      <c r="R27" s="56"/>
      <c r="S27" s="56"/>
      <c r="T27" s="56"/>
      <c r="U27" s="59"/>
    </row>
    <row r="28" spans="2:21" x14ac:dyDescent="0.2">
      <c r="B28" s="57"/>
      <c r="C28" s="56"/>
      <c r="D28" s="56"/>
      <c r="E28" s="56"/>
      <c r="F28" s="56"/>
      <c r="G28" s="56"/>
      <c r="H28" s="56"/>
      <c r="I28" s="56"/>
      <c r="J28" s="61"/>
      <c r="K28" s="856"/>
      <c r="L28" s="55"/>
      <c r="M28" s="67"/>
      <c r="N28" s="56"/>
      <c r="O28" s="56"/>
      <c r="P28" s="56"/>
      <c r="Q28" s="56"/>
      <c r="R28" s="56"/>
      <c r="S28" s="56"/>
      <c r="T28" s="56"/>
      <c r="U28" s="59"/>
    </row>
    <row r="29" spans="2:21" x14ac:dyDescent="0.2">
      <c r="B29" s="57"/>
      <c r="C29" s="56"/>
      <c r="D29" s="56"/>
      <c r="E29" s="56"/>
      <c r="F29" s="56"/>
      <c r="G29" s="56"/>
      <c r="H29" s="56"/>
      <c r="I29" s="56"/>
      <c r="J29" s="61"/>
      <c r="K29" s="856"/>
      <c r="L29" s="55"/>
      <c r="M29" s="67"/>
      <c r="N29" s="56"/>
      <c r="O29" s="56"/>
      <c r="P29" s="56"/>
      <c r="Q29" s="56"/>
      <c r="R29" s="56"/>
      <c r="S29" s="56"/>
      <c r="T29" s="56"/>
      <c r="U29" s="59"/>
    </row>
    <row r="30" spans="2:21" x14ac:dyDescent="0.2">
      <c r="B30" s="57"/>
      <c r="C30" s="56"/>
      <c r="D30" s="56"/>
      <c r="E30" s="56"/>
      <c r="F30" s="56"/>
      <c r="G30" s="56"/>
      <c r="H30" s="56"/>
      <c r="I30" s="56"/>
      <c r="J30" s="61"/>
      <c r="K30" s="856"/>
      <c r="L30" s="55"/>
      <c r="M30" s="67"/>
      <c r="N30" s="56"/>
      <c r="O30" s="56"/>
      <c r="P30" s="56"/>
      <c r="Q30" s="56"/>
      <c r="R30" s="56"/>
      <c r="S30" s="56"/>
      <c r="T30" s="56"/>
      <c r="U30" s="59"/>
    </row>
    <row r="31" spans="2:21" x14ac:dyDescent="0.2">
      <c r="B31" s="57"/>
      <c r="C31" s="27"/>
      <c r="D31" s="27"/>
      <c r="E31" s="27"/>
      <c r="F31" s="27"/>
      <c r="G31" s="27"/>
      <c r="H31" s="27"/>
      <c r="I31" s="27"/>
      <c r="J31" s="58"/>
      <c r="K31" s="857"/>
      <c r="M31" s="57"/>
      <c r="N31" s="27"/>
      <c r="O31" s="27"/>
      <c r="P31" s="27"/>
      <c r="Q31" s="27"/>
      <c r="R31" s="27"/>
      <c r="S31" s="27"/>
      <c r="T31" s="27"/>
      <c r="U31" s="59"/>
    </row>
    <row r="32" spans="2:21" x14ac:dyDescent="0.2">
      <c r="B32" s="57"/>
      <c r="C32" s="27"/>
      <c r="D32" s="27"/>
      <c r="E32" s="27"/>
      <c r="F32" s="27"/>
      <c r="G32" s="27"/>
      <c r="H32" s="27"/>
      <c r="I32" s="27"/>
      <c r="J32" s="58"/>
      <c r="K32" s="857"/>
      <c r="M32" s="57"/>
      <c r="N32" s="27"/>
      <c r="O32" s="27"/>
      <c r="P32" s="27"/>
      <c r="Q32" s="27"/>
      <c r="R32" s="27"/>
      <c r="S32" s="27"/>
      <c r="T32" s="27"/>
      <c r="U32" s="59"/>
    </row>
    <row r="33" spans="2:21" x14ac:dyDescent="0.2">
      <c r="B33" s="57"/>
      <c r="C33" s="27"/>
      <c r="D33" s="27"/>
      <c r="E33" s="27"/>
      <c r="F33" s="27"/>
      <c r="G33" s="27"/>
      <c r="H33" s="27"/>
      <c r="I33" s="27"/>
      <c r="J33" s="58"/>
      <c r="K33" s="857"/>
      <c r="M33" s="57"/>
      <c r="N33" s="27"/>
      <c r="O33" s="27"/>
      <c r="P33" s="27"/>
      <c r="Q33" s="27"/>
      <c r="R33" s="27"/>
      <c r="S33" s="27"/>
      <c r="T33" s="27"/>
      <c r="U33" s="59"/>
    </row>
    <row r="34" spans="2:21" x14ac:dyDescent="0.2">
      <c r="B34" s="57"/>
      <c r="C34" s="27"/>
      <c r="D34" s="27"/>
      <c r="E34" s="27"/>
      <c r="F34" s="27"/>
      <c r="G34" s="27"/>
      <c r="H34" s="27"/>
      <c r="I34" s="27"/>
      <c r="J34" s="58"/>
      <c r="K34" s="857"/>
      <c r="M34" s="57"/>
      <c r="N34" s="27"/>
      <c r="O34" s="27"/>
      <c r="P34" s="27"/>
      <c r="Q34" s="27"/>
      <c r="R34" s="27"/>
      <c r="S34" s="27"/>
      <c r="T34" s="27"/>
      <c r="U34" s="59"/>
    </row>
    <row r="35" spans="2:21" x14ac:dyDescent="0.2">
      <c r="B35" s="57"/>
      <c r="C35" s="27"/>
      <c r="D35" s="27"/>
      <c r="E35" s="27"/>
      <c r="F35" s="27"/>
      <c r="G35" s="27"/>
      <c r="H35" s="27"/>
      <c r="I35" s="27"/>
      <c r="J35" s="58"/>
      <c r="K35" s="857"/>
      <c r="M35" s="57"/>
      <c r="N35" s="27"/>
      <c r="O35" s="27"/>
      <c r="P35" s="27"/>
      <c r="Q35" s="27"/>
      <c r="R35" s="27"/>
      <c r="S35" s="27"/>
      <c r="T35" s="27"/>
      <c r="U35" s="59"/>
    </row>
    <row r="36" spans="2:21" x14ac:dyDescent="0.2">
      <c r="B36" s="57"/>
      <c r="C36" s="27"/>
      <c r="D36" s="27"/>
      <c r="E36" s="27"/>
      <c r="F36" s="27"/>
      <c r="G36" s="27"/>
      <c r="H36" s="27"/>
      <c r="I36" s="27"/>
      <c r="J36" s="58"/>
      <c r="K36" s="857"/>
      <c r="M36" s="57"/>
      <c r="N36" s="27"/>
      <c r="O36" s="27"/>
      <c r="P36" s="27"/>
      <c r="Q36" s="27"/>
      <c r="R36" s="27"/>
      <c r="S36" s="27"/>
      <c r="T36" s="27"/>
      <c r="U36" s="59"/>
    </row>
    <row r="37" spans="2:21" x14ac:dyDescent="0.2">
      <c r="B37" s="57"/>
      <c r="C37" s="27"/>
      <c r="D37" s="27"/>
      <c r="E37" s="27"/>
      <c r="F37" s="27"/>
      <c r="G37" s="27"/>
      <c r="H37" s="27"/>
      <c r="I37" s="27"/>
      <c r="J37" s="58"/>
      <c r="K37" s="857"/>
      <c r="M37" s="57"/>
      <c r="N37" s="27"/>
      <c r="O37" s="27"/>
      <c r="P37" s="27"/>
      <c r="Q37" s="27"/>
      <c r="R37" s="27"/>
      <c r="S37" s="27"/>
      <c r="T37" s="27"/>
      <c r="U37" s="59"/>
    </row>
    <row r="38" spans="2:21" x14ac:dyDescent="0.2">
      <c r="B38" s="57"/>
      <c r="C38" s="27"/>
      <c r="D38" s="27"/>
      <c r="E38" s="27"/>
      <c r="F38" s="27"/>
      <c r="G38" s="27"/>
      <c r="H38" s="27"/>
      <c r="I38" s="27"/>
      <c r="J38" s="58"/>
      <c r="K38" s="857"/>
      <c r="M38" s="57"/>
      <c r="N38" s="27"/>
      <c r="O38" s="27"/>
      <c r="P38" s="27"/>
      <c r="Q38" s="27"/>
      <c r="R38" s="27"/>
      <c r="S38" s="27"/>
      <c r="T38" s="27"/>
      <c r="U38" s="59"/>
    </row>
    <row r="39" spans="2:21" ht="13.5" thickBot="1" x14ac:dyDescent="0.25">
      <c r="B39" s="62"/>
      <c r="C39" s="63"/>
      <c r="D39" s="63"/>
      <c r="E39" s="63"/>
      <c r="F39" s="63"/>
      <c r="G39" s="63"/>
      <c r="H39" s="63"/>
      <c r="I39" s="63"/>
      <c r="J39" s="64"/>
      <c r="K39" s="857"/>
      <c r="M39" s="62"/>
      <c r="N39" s="63"/>
      <c r="O39" s="63"/>
      <c r="P39" s="63"/>
      <c r="Q39" s="63"/>
      <c r="R39" s="63"/>
      <c r="S39" s="63"/>
      <c r="T39" s="63"/>
      <c r="U39" s="65"/>
    </row>
  </sheetData>
  <protectedRanges>
    <protectedRange sqref="C14:D15 G14:H15 K14:L15 O14:P15 S14:S15" name="Rango1"/>
    <protectedRange sqref="C4:D13 G4:H13 K4:L13 O4:P13 S4:T9 S10:S13 T10:T15" name="Rango1_1"/>
  </protectedRanges>
  <mergeCells count="10">
    <mergeCell ref="R2:S2"/>
    <mergeCell ref="O20:O21"/>
    <mergeCell ref="O19:T19"/>
    <mergeCell ref="G1:P1"/>
    <mergeCell ref="N2:O2"/>
    <mergeCell ref="C20:C21"/>
    <mergeCell ref="B2:C2"/>
    <mergeCell ref="F2:G2"/>
    <mergeCell ref="J2:K2"/>
    <mergeCell ref="C19:J19"/>
  </mergeCells>
  <phoneticPr fontId="0" type="noConversion"/>
  <dataValidations disablePrompts="1" count="1">
    <dataValidation type="list" allowBlank="1" showInputMessage="1" showErrorMessage="1" sqref="C20:C21 O20:O21">
      <formula1>$B$4:$B$15</formula1>
    </dataValidation>
  </dataValidations>
  <pageMargins left="0.16" right="0.16" top="1" bottom="1" header="0" footer="0"/>
  <pageSetup scale="6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58"/>
  <sheetViews>
    <sheetView zoomScale="80" zoomScaleNormal="80" workbookViewId="0">
      <pane ySplit="20" topLeftCell="A21" activePane="bottomLeft" state="frozen"/>
      <selection activeCell="K44" sqref="K44"/>
      <selection pane="bottomLeft" activeCell="G25" sqref="G25"/>
    </sheetView>
  </sheetViews>
  <sheetFormatPr baseColWidth="10" defaultRowHeight="12.75" outlineLevelRow="1" x14ac:dyDescent="0.2"/>
  <cols>
    <col min="1" max="1" width="2.85546875" style="720" customWidth="1"/>
    <col min="2" max="2" width="11.7109375" style="720" customWidth="1"/>
    <col min="3" max="3" width="13.7109375" style="720" customWidth="1"/>
    <col min="4" max="4" width="13.85546875" style="720" customWidth="1"/>
    <col min="5" max="5" width="14.5703125" style="720" bestFit="1" customWidth="1"/>
    <col min="6" max="6" width="3.85546875" style="720" customWidth="1"/>
    <col min="7" max="7" width="13.7109375" style="720" customWidth="1"/>
    <col min="8" max="8" width="13.42578125" style="720" customWidth="1"/>
    <col min="9" max="9" width="14.5703125" style="720" bestFit="1" customWidth="1"/>
    <col min="10" max="10" width="3.5703125" style="720" customWidth="1"/>
    <col min="11" max="11" width="11.42578125" style="720"/>
    <col min="12" max="12" width="55.7109375" style="720" customWidth="1"/>
    <col min="13" max="13" width="1.42578125" style="720" customWidth="1"/>
    <col min="14" max="14" width="11.42578125" style="720"/>
    <col min="15" max="15" width="15.140625" style="720" bestFit="1" customWidth="1"/>
    <col min="16" max="16" width="15.42578125" style="720" bestFit="1" customWidth="1"/>
    <col min="17" max="17" width="13.85546875" style="720" bestFit="1" customWidth="1"/>
    <col min="18" max="18" width="11.42578125" style="720"/>
    <col min="19" max="16384" width="11.42578125" style="387"/>
  </cols>
  <sheetData>
    <row r="1" spans="1:18" hidden="1" outlineLevel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387"/>
    </row>
    <row r="2" spans="1:18" hidden="1" outlineLevel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387"/>
    </row>
    <row r="3" spans="1:18" hidden="1" outlineLevel="1" x14ac:dyDescent="0.2">
      <c r="A3" s="7"/>
      <c r="B3" s="7"/>
      <c r="C3" s="7"/>
      <c r="D3" s="7"/>
      <c r="E3" s="7"/>
      <c r="F3" s="7"/>
      <c r="G3" s="7"/>
      <c r="H3" s="719" t="e">
        <f>IF(#REF!&lt;0,#REF!," ")</f>
        <v>#REF!</v>
      </c>
      <c r="I3" s="7"/>
      <c r="J3" s="7"/>
      <c r="K3" s="7"/>
      <c r="L3" s="7"/>
      <c r="M3" s="7"/>
      <c r="N3" s="7"/>
      <c r="O3" s="7"/>
      <c r="P3" s="7"/>
      <c r="Q3" s="7"/>
      <c r="R3" s="387"/>
    </row>
    <row r="4" spans="1:18" hidden="1" outlineLevel="1" x14ac:dyDescent="0.2">
      <c r="A4" s="7"/>
      <c r="B4" s="7"/>
      <c r="C4" s="7"/>
      <c r="D4" s="7"/>
      <c r="E4" s="7"/>
      <c r="F4" s="7"/>
      <c r="G4" s="7"/>
      <c r="H4" s="719" t="e">
        <f>IF(#REF!&gt;0,#REF!," ")</f>
        <v>#REF!</v>
      </c>
      <c r="I4" s="7"/>
      <c r="J4" s="7"/>
      <c r="K4" s="7"/>
      <c r="L4" s="7"/>
      <c r="M4" s="7"/>
      <c r="N4" s="7"/>
      <c r="O4" s="7"/>
      <c r="P4" s="7"/>
      <c r="Q4" s="7"/>
      <c r="R4" s="387"/>
    </row>
    <row r="5" spans="1:18" hidden="1" outlineLevel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387"/>
    </row>
    <row r="6" spans="1:18" hidden="1" outlineLevel="1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387"/>
    </row>
    <row r="7" spans="1:18" hidden="1" outlineLevel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87"/>
    </row>
    <row r="8" spans="1:18" hidden="1" outlineLevel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387"/>
    </row>
    <row r="9" spans="1:18" hidden="1" outlineLevel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387"/>
    </row>
    <row r="10" spans="1:18" hidden="1" outlineLevel="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387"/>
    </row>
    <row r="11" spans="1:18" hidden="1" outlineLevel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387"/>
    </row>
    <row r="12" spans="1:18" hidden="1" outlineLevel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387"/>
    </row>
    <row r="13" spans="1:18" hidden="1" outlineLevel="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387"/>
    </row>
    <row r="14" spans="1:18" hidden="1" outlineLevel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387"/>
    </row>
    <row r="15" spans="1:18" hidden="1" outlineLevel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387"/>
    </row>
    <row r="16" spans="1:18" hidden="1" outlineLevel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387"/>
    </row>
    <row r="17" spans="1:18" hidden="1" outlineLevel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387"/>
    </row>
    <row r="18" spans="1:18" hidden="1" outlineLevel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387"/>
    </row>
    <row r="19" spans="1:18" hidden="1" outlineLevel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387"/>
    </row>
    <row r="20" spans="1:18" collapsed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13.5" thickBot="1" x14ac:dyDescent="0.25"/>
    <row r="22" spans="1:18" ht="13.5" thickBot="1" x14ac:dyDescent="0.25">
      <c r="A22" s="697"/>
      <c r="B22" s="1142" t="str">
        <f>+PRESUPUESTO!B2</f>
        <v>MEDICINA PREGRADO</v>
      </c>
      <c r="C22" s="1143"/>
      <c r="D22" s="1143"/>
      <c r="E22" s="1143"/>
      <c r="F22" s="1143"/>
      <c r="G22" s="1143"/>
      <c r="H22" s="1143"/>
      <c r="I22" s="1143"/>
      <c r="J22" s="1144"/>
    </row>
    <row r="23" spans="1:18" ht="13.5" thickBot="1" x14ac:dyDescent="0.25">
      <c r="B23" s="1145" t="s">
        <v>857</v>
      </c>
      <c r="C23" s="1146"/>
      <c r="D23" s="1146"/>
      <c r="E23" s="1147"/>
      <c r="F23" s="721"/>
      <c r="G23" s="1145" t="s">
        <v>858</v>
      </c>
      <c r="H23" s="1146"/>
      <c r="I23" s="1147"/>
      <c r="J23" s="708"/>
      <c r="K23" s="709"/>
      <c r="L23" s="722"/>
      <c r="O23" s="859" t="s">
        <v>276</v>
      </c>
      <c r="P23" s="859" t="s">
        <v>277</v>
      </c>
    </row>
    <row r="24" spans="1:18" s="728" customFormat="1" ht="26.25" thickBot="1" x14ac:dyDescent="0.25">
      <c r="A24" s="720"/>
      <c r="B24" s="723" t="s">
        <v>200</v>
      </c>
      <c r="C24" s="762" t="s">
        <v>201</v>
      </c>
      <c r="D24" s="724" t="s">
        <v>202</v>
      </c>
      <c r="E24" s="710" t="s">
        <v>203</v>
      </c>
      <c r="F24" s="712"/>
      <c r="G24" s="723" t="s">
        <v>201</v>
      </c>
      <c r="H24" s="724" t="s">
        <v>202</v>
      </c>
      <c r="I24" s="710" t="s">
        <v>205</v>
      </c>
      <c r="J24" s="712"/>
      <c r="K24" s="725" t="s">
        <v>155</v>
      </c>
      <c r="L24" s="726" t="s">
        <v>262</v>
      </c>
      <c r="M24" s="727"/>
      <c r="N24" s="727"/>
      <c r="O24" s="710" t="s">
        <v>2</v>
      </c>
      <c r="P24" s="710" t="s">
        <v>2</v>
      </c>
      <c r="Q24" s="727"/>
      <c r="R24" s="727"/>
    </row>
    <row r="25" spans="1:18" x14ac:dyDescent="0.2">
      <c r="B25" s="729" t="s">
        <v>206</v>
      </c>
      <c r="C25" s="976">
        <v>119</v>
      </c>
      <c r="D25" s="761">
        <v>18968000</v>
      </c>
      <c r="E25" s="694">
        <f>D25*C25</f>
        <v>2257192000</v>
      </c>
      <c r="F25" s="704"/>
      <c r="G25" s="698">
        <v>112</v>
      </c>
      <c r="H25" s="692">
        <f>+D25</f>
        <v>18968000</v>
      </c>
      <c r="I25" s="703">
        <f>H25*G25</f>
        <v>2124416000</v>
      </c>
      <c r="J25" s="704"/>
      <c r="K25" s="860">
        <v>7</v>
      </c>
      <c r="L25" s="732" t="s">
        <v>1403</v>
      </c>
      <c r="O25" s="715">
        <f>E41+E25</f>
        <v>4533352000</v>
      </c>
      <c r="P25" s="716">
        <f>I41+I25</f>
        <v>4400576000</v>
      </c>
    </row>
    <row r="26" spans="1:18" x14ac:dyDescent="0.2">
      <c r="B26" s="733" t="s">
        <v>207</v>
      </c>
      <c r="C26" s="977">
        <v>108</v>
      </c>
      <c r="D26" s="731">
        <v>18279000</v>
      </c>
      <c r="E26" s="695">
        <f t="shared" ref="E26:E36" si="0">D26*C26</f>
        <v>1974132000</v>
      </c>
      <c r="F26" s="704"/>
      <c r="G26" s="700">
        <v>102</v>
      </c>
      <c r="H26" s="693">
        <f>+D26</f>
        <v>18279000</v>
      </c>
      <c r="I26" s="699">
        <f t="shared" ref="I26:I36" si="1">H26*G26</f>
        <v>1864458000</v>
      </c>
      <c r="J26" s="704"/>
      <c r="K26" s="861">
        <v>6</v>
      </c>
      <c r="L26" s="734"/>
      <c r="O26" s="715">
        <f>E42+E26</f>
        <v>4041644000</v>
      </c>
      <c r="P26" s="716">
        <f>I42+I26</f>
        <v>3931970000</v>
      </c>
    </row>
    <row r="27" spans="1:18" x14ac:dyDescent="0.2">
      <c r="B27" s="733" t="s">
        <v>208</v>
      </c>
      <c r="C27" s="730">
        <v>104</v>
      </c>
      <c r="D27" s="731">
        <v>18279000</v>
      </c>
      <c r="E27" s="695">
        <f t="shared" si="0"/>
        <v>1901016000</v>
      </c>
      <c r="F27" s="704"/>
      <c r="G27" s="700">
        <f t="shared" ref="G27:G36" si="2">+C27</f>
        <v>104</v>
      </c>
      <c r="H27" s="693">
        <f t="shared" ref="H27:H36" si="3">+D27</f>
        <v>18279000</v>
      </c>
      <c r="I27" s="699">
        <f t="shared" si="1"/>
        <v>1901016000</v>
      </c>
      <c r="J27" s="704"/>
      <c r="K27" s="861">
        <f t="shared" ref="K27:K36" si="4">G27-C27</f>
        <v>0</v>
      </c>
      <c r="L27" s="734"/>
      <c r="O27" s="715">
        <f t="shared" ref="O27:O37" si="5">E43+E27</f>
        <v>3820311000</v>
      </c>
      <c r="P27" s="716">
        <f t="shared" ref="P27:P37" si="6">I43+I27</f>
        <v>3820311000</v>
      </c>
    </row>
    <row r="28" spans="1:18" x14ac:dyDescent="0.2">
      <c r="B28" s="733" t="s">
        <v>209</v>
      </c>
      <c r="C28" s="730">
        <v>103</v>
      </c>
      <c r="D28" s="731">
        <v>18279000</v>
      </c>
      <c r="E28" s="695">
        <f t="shared" si="0"/>
        <v>1882737000</v>
      </c>
      <c r="F28" s="704"/>
      <c r="G28" s="700">
        <f t="shared" si="2"/>
        <v>103</v>
      </c>
      <c r="H28" s="693">
        <f t="shared" si="3"/>
        <v>18279000</v>
      </c>
      <c r="I28" s="699">
        <f t="shared" si="1"/>
        <v>1882737000</v>
      </c>
      <c r="J28" s="704"/>
      <c r="K28" s="861">
        <f t="shared" si="4"/>
        <v>0</v>
      </c>
      <c r="L28" s="734"/>
      <c r="O28" s="715">
        <f t="shared" si="5"/>
        <v>3838590000</v>
      </c>
      <c r="P28" s="716">
        <f t="shared" si="6"/>
        <v>3838590000</v>
      </c>
    </row>
    <row r="29" spans="1:18" x14ac:dyDescent="0.2">
      <c r="B29" s="733" t="s">
        <v>210</v>
      </c>
      <c r="C29" s="730">
        <v>113</v>
      </c>
      <c r="D29" s="731">
        <v>18279000</v>
      </c>
      <c r="E29" s="695">
        <f t="shared" si="0"/>
        <v>2065527000</v>
      </c>
      <c r="F29" s="704"/>
      <c r="G29" s="700">
        <v>108</v>
      </c>
      <c r="H29" s="693">
        <f t="shared" si="3"/>
        <v>18279000</v>
      </c>
      <c r="I29" s="699">
        <f t="shared" si="1"/>
        <v>1974132000</v>
      </c>
      <c r="J29" s="704"/>
      <c r="K29" s="861">
        <v>5</v>
      </c>
      <c r="L29" s="734"/>
      <c r="O29" s="715">
        <f t="shared" si="5"/>
        <v>3948264000</v>
      </c>
      <c r="P29" s="716">
        <f t="shared" si="6"/>
        <v>3856869000</v>
      </c>
    </row>
    <row r="30" spans="1:18" x14ac:dyDescent="0.2">
      <c r="B30" s="733" t="s">
        <v>211</v>
      </c>
      <c r="C30" s="730">
        <v>94</v>
      </c>
      <c r="D30" s="731">
        <v>18279000</v>
      </c>
      <c r="E30" s="695">
        <f t="shared" si="0"/>
        <v>1718226000</v>
      </c>
      <c r="F30" s="704"/>
      <c r="G30" s="700">
        <v>104</v>
      </c>
      <c r="H30" s="693">
        <f t="shared" si="3"/>
        <v>18279000</v>
      </c>
      <c r="I30" s="699">
        <f t="shared" si="1"/>
        <v>1901016000</v>
      </c>
      <c r="J30" s="704"/>
      <c r="K30" s="861">
        <v>10</v>
      </c>
      <c r="L30" s="734"/>
      <c r="O30" s="715">
        <f t="shared" si="5"/>
        <v>3783753000</v>
      </c>
      <c r="P30" s="716">
        <f t="shared" si="6"/>
        <v>3966543000</v>
      </c>
    </row>
    <row r="31" spans="1:18" x14ac:dyDescent="0.2">
      <c r="B31" s="733" t="s">
        <v>212</v>
      </c>
      <c r="C31" s="730">
        <v>83</v>
      </c>
      <c r="D31" s="731">
        <v>18279000</v>
      </c>
      <c r="E31" s="695">
        <f t="shared" si="0"/>
        <v>1517157000</v>
      </c>
      <c r="F31" s="704"/>
      <c r="G31" s="700">
        <v>70</v>
      </c>
      <c r="H31" s="693">
        <f t="shared" si="3"/>
        <v>18279000</v>
      </c>
      <c r="I31" s="699">
        <f t="shared" si="1"/>
        <v>1279530000</v>
      </c>
      <c r="J31" s="704"/>
      <c r="K31" s="861">
        <v>13</v>
      </c>
      <c r="L31" s="734" t="s">
        <v>1404</v>
      </c>
      <c r="O31" s="715">
        <f t="shared" si="5"/>
        <v>2961198000</v>
      </c>
      <c r="P31" s="716">
        <f t="shared" si="6"/>
        <v>2723571000</v>
      </c>
    </row>
    <row r="32" spans="1:18" x14ac:dyDescent="0.2">
      <c r="B32" s="733" t="s">
        <v>213</v>
      </c>
      <c r="C32" s="730">
        <v>69</v>
      </c>
      <c r="D32" s="731">
        <v>17422000</v>
      </c>
      <c r="E32" s="695">
        <f t="shared" si="0"/>
        <v>1202118000</v>
      </c>
      <c r="F32" s="704"/>
      <c r="G32" s="700">
        <v>72</v>
      </c>
      <c r="H32" s="693">
        <f t="shared" si="3"/>
        <v>17422000</v>
      </c>
      <c r="I32" s="699">
        <f t="shared" si="1"/>
        <v>1254384000</v>
      </c>
      <c r="J32" s="704"/>
      <c r="K32" s="861">
        <f t="shared" si="4"/>
        <v>3</v>
      </c>
      <c r="L32" s="734"/>
      <c r="O32" s="715">
        <f t="shared" si="5"/>
        <v>2682717000</v>
      </c>
      <c r="P32" s="716">
        <f t="shared" si="6"/>
        <v>2734983000</v>
      </c>
    </row>
    <row r="33" spans="2:17" x14ac:dyDescent="0.2">
      <c r="B33" s="733" t="s">
        <v>214</v>
      </c>
      <c r="C33" s="730">
        <v>81</v>
      </c>
      <c r="D33" s="731">
        <v>17422000</v>
      </c>
      <c r="E33" s="695">
        <f t="shared" si="0"/>
        <v>1411182000</v>
      </c>
      <c r="F33" s="704"/>
      <c r="G33" s="700">
        <v>82</v>
      </c>
      <c r="H33" s="693">
        <f t="shared" si="3"/>
        <v>17422000</v>
      </c>
      <c r="I33" s="699">
        <f t="shared" si="1"/>
        <v>1428604000</v>
      </c>
      <c r="J33" s="704"/>
      <c r="K33" s="861">
        <f t="shared" si="4"/>
        <v>1</v>
      </c>
      <c r="L33" s="734"/>
      <c r="O33" s="715">
        <f t="shared" si="5"/>
        <v>2613300000</v>
      </c>
      <c r="P33" s="716">
        <f t="shared" si="6"/>
        <v>2630722000</v>
      </c>
    </row>
    <row r="34" spans="2:17" x14ac:dyDescent="0.2">
      <c r="B34" s="733" t="s">
        <v>215</v>
      </c>
      <c r="C34" s="730">
        <v>77</v>
      </c>
      <c r="D34" s="731">
        <v>16199000</v>
      </c>
      <c r="E34" s="695">
        <f t="shared" si="0"/>
        <v>1247323000</v>
      </c>
      <c r="F34" s="704"/>
      <c r="G34" s="700">
        <v>75</v>
      </c>
      <c r="H34" s="693">
        <f t="shared" si="3"/>
        <v>16199000</v>
      </c>
      <c r="I34" s="699">
        <f t="shared" si="1"/>
        <v>1214925000</v>
      </c>
      <c r="J34" s="704"/>
      <c r="K34" s="861">
        <f t="shared" si="4"/>
        <v>-2</v>
      </c>
      <c r="L34" s="734"/>
      <c r="O34" s="715">
        <f t="shared" si="5"/>
        <v>2658505000</v>
      </c>
      <c r="P34" s="716">
        <f t="shared" si="6"/>
        <v>2626107000</v>
      </c>
    </row>
    <row r="35" spans="2:17" x14ac:dyDescent="0.2">
      <c r="B35" s="733" t="s">
        <v>216</v>
      </c>
      <c r="C35" s="730">
        <v>88</v>
      </c>
      <c r="D35" s="731">
        <v>16199000</v>
      </c>
      <c r="E35" s="695">
        <f t="shared" si="0"/>
        <v>1425512000</v>
      </c>
      <c r="F35" s="704"/>
      <c r="G35" s="546">
        <f t="shared" si="2"/>
        <v>88</v>
      </c>
      <c r="H35" s="693">
        <f t="shared" si="3"/>
        <v>16199000</v>
      </c>
      <c r="I35" s="699">
        <f t="shared" si="1"/>
        <v>1425512000</v>
      </c>
      <c r="J35" s="704"/>
      <c r="K35" s="861">
        <f t="shared" si="4"/>
        <v>0</v>
      </c>
      <c r="L35" s="734" t="s">
        <v>169</v>
      </c>
      <c r="O35" s="715">
        <f t="shared" si="5"/>
        <v>2656636000</v>
      </c>
      <c r="P35" s="716">
        <f t="shared" si="6"/>
        <v>2656636000</v>
      </c>
    </row>
    <row r="36" spans="2:17" ht="13.5" thickBot="1" x14ac:dyDescent="0.25">
      <c r="B36" s="735" t="s">
        <v>217</v>
      </c>
      <c r="C36" s="730">
        <v>88</v>
      </c>
      <c r="D36" s="736">
        <v>16199000</v>
      </c>
      <c r="E36" s="737">
        <f t="shared" si="0"/>
        <v>1425512000</v>
      </c>
      <c r="F36" s="705"/>
      <c r="G36" s="547">
        <f t="shared" si="2"/>
        <v>88</v>
      </c>
      <c r="H36" s="693">
        <f t="shared" si="3"/>
        <v>16199000</v>
      </c>
      <c r="I36" s="701">
        <f t="shared" si="1"/>
        <v>1425512000</v>
      </c>
      <c r="J36" s="705"/>
      <c r="K36" s="862">
        <f t="shared" si="4"/>
        <v>0</v>
      </c>
      <c r="L36" s="738"/>
      <c r="O36" s="715">
        <f t="shared" si="5"/>
        <v>2851024000</v>
      </c>
      <c r="P36" s="716">
        <f t="shared" si="6"/>
        <v>2851024000</v>
      </c>
    </row>
    <row r="37" spans="2:17" ht="13.5" thickBot="1" x14ac:dyDescent="0.25">
      <c r="B37" s="33" t="s">
        <v>218</v>
      </c>
      <c r="C37" s="739">
        <f>SUM(C25:C36)</f>
        <v>1127</v>
      </c>
      <c r="D37" s="707"/>
      <c r="E37" s="740">
        <f>SUM(E25:E36)*0.955</f>
        <v>19126390470</v>
      </c>
      <c r="F37" s="704"/>
      <c r="G37" s="706">
        <f>SUM(G25:G36)</f>
        <v>1108</v>
      </c>
      <c r="H37" s="707"/>
      <c r="I37" s="740">
        <f>SUM(I25:I36)*0.955</f>
        <v>18790811110</v>
      </c>
      <c r="J37" s="704"/>
      <c r="K37" s="697"/>
      <c r="L37" s="697"/>
      <c r="O37" s="717">
        <f t="shared" si="5"/>
        <v>38571775770</v>
      </c>
      <c r="P37" s="718">
        <f t="shared" si="6"/>
        <v>38236196410</v>
      </c>
    </row>
    <row r="38" spans="2:17" ht="13.5" thickBot="1" x14ac:dyDescent="0.25">
      <c r="B38" s="741"/>
      <c r="C38" s="697"/>
      <c r="D38" s="704"/>
      <c r="E38" s="704"/>
      <c r="F38" s="704"/>
      <c r="G38" s="704"/>
      <c r="H38" s="704"/>
      <c r="I38" s="704"/>
      <c r="J38" s="704"/>
      <c r="K38" s="697"/>
      <c r="L38" s="697"/>
    </row>
    <row r="39" spans="2:17" ht="14.25" customHeight="1" thickBot="1" x14ac:dyDescent="0.25">
      <c r="B39" s="1145" t="s">
        <v>859</v>
      </c>
      <c r="C39" s="1146"/>
      <c r="D39" s="1146"/>
      <c r="E39" s="1147"/>
      <c r="F39" s="708"/>
      <c r="G39" s="1145" t="s">
        <v>860</v>
      </c>
      <c r="H39" s="1146"/>
      <c r="I39" s="1147"/>
      <c r="J39" s="708"/>
      <c r="K39" s="709"/>
      <c r="L39" s="722"/>
      <c r="N39" s="442"/>
      <c r="O39" s="1141" t="s">
        <v>278</v>
      </c>
      <c r="P39" s="1141"/>
      <c r="Q39" s="742"/>
    </row>
    <row r="40" spans="2:17" ht="26.25" thickBot="1" x14ac:dyDescent="0.25">
      <c r="B40" s="743" t="s">
        <v>200</v>
      </c>
      <c r="C40" s="710" t="s">
        <v>204</v>
      </c>
      <c r="D40" s="744" t="s">
        <v>202</v>
      </c>
      <c r="E40" s="745" t="s">
        <v>205</v>
      </c>
      <c r="F40" s="697"/>
      <c r="G40" s="710" t="s">
        <v>204</v>
      </c>
      <c r="H40" s="710" t="s">
        <v>202</v>
      </c>
      <c r="I40" s="711" t="s">
        <v>205</v>
      </c>
      <c r="J40" s="712"/>
      <c r="K40" s="713" t="s">
        <v>155</v>
      </c>
      <c r="L40" s="746" t="s">
        <v>262</v>
      </c>
      <c r="N40" s="443"/>
      <c r="O40" s="747"/>
      <c r="P40" s="747"/>
      <c r="Q40" s="748"/>
    </row>
    <row r="41" spans="2:17" x14ac:dyDescent="0.2">
      <c r="B41" s="729" t="s">
        <v>206</v>
      </c>
      <c r="C41" s="749">
        <v>120</v>
      </c>
      <c r="D41" s="692">
        <v>18968000</v>
      </c>
      <c r="E41" s="696">
        <f>D41*C41</f>
        <v>2276160000</v>
      </c>
      <c r="F41" s="697"/>
      <c r="G41" s="698">
        <f>+C41</f>
        <v>120</v>
      </c>
      <c r="H41" s="692">
        <f>+D41</f>
        <v>18968000</v>
      </c>
      <c r="I41" s="696">
        <f>H41*G41</f>
        <v>2276160000</v>
      </c>
      <c r="J41" s="704"/>
      <c r="K41" s="863">
        <f>G41-C41</f>
        <v>0</v>
      </c>
      <c r="L41" s="750"/>
      <c r="N41" s="443"/>
      <c r="O41" s="747"/>
      <c r="P41" s="747"/>
      <c r="Q41" s="748"/>
    </row>
    <row r="42" spans="2:17" x14ac:dyDescent="0.2">
      <c r="B42" s="733" t="s">
        <v>207</v>
      </c>
      <c r="C42" s="751">
        <v>109</v>
      </c>
      <c r="D42" s="692">
        <v>18968000</v>
      </c>
      <c r="E42" s="699">
        <f t="shared" ref="E42:E52" si="7">D42*C42</f>
        <v>2067512000</v>
      </c>
      <c r="F42" s="697"/>
      <c r="G42" s="700">
        <f t="shared" ref="G42:G52" si="8">+C42</f>
        <v>109</v>
      </c>
      <c r="H42" s="693">
        <f>+D42</f>
        <v>18968000</v>
      </c>
      <c r="I42" s="699">
        <f t="shared" ref="I42:I52" si="9">H42*G42</f>
        <v>2067512000</v>
      </c>
      <c r="J42" s="704"/>
      <c r="K42" s="864">
        <f t="shared" ref="K42:K52" si="10">G42-C42</f>
        <v>0</v>
      </c>
      <c r="L42" s="752"/>
      <c r="N42" s="443"/>
      <c r="O42" s="747"/>
      <c r="P42" s="747"/>
      <c r="Q42" s="748"/>
    </row>
    <row r="43" spans="2:17" x14ac:dyDescent="0.2">
      <c r="B43" s="733" t="s">
        <v>208</v>
      </c>
      <c r="C43" s="751">
        <v>105</v>
      </c>
      <c r="D43" s="692">
        <v>18279000</v>
      </c>
      <c r="E43" s="699">
        <f t="shared" si="7"/>
        <v>1919295000</v>
      </c>
      <c r="F43" s="697"/>
      <c r="G43" s="700">
        <f t="shared" si="8"/>
        <v>105</v>
      </c>
      <c r="H43" s="693">
        <f t="shared" ref="H43:H52" si="11">+D43</f>
        <v>18279000</v>
      </c>
      <c r="I43" s="699">
        <f t="shared" si="9"/>
        <v>1919295000</v>
      </c>
      <c r="J43" s="704"/>
      <c r="K43" s="864">
        <f t="shared" si="10"/>
        <v>0</v>
      </c>
      <c r="L43" s="752"/>
      <c r="N43" s="443"/>
      <c r="O43" s="747"/>
      <c r="P43" s="747"/>
      <c r="Q43" s="748"/>
    </row>
    <row r="44" spans="2:17" x14ac:dyDescent="0.2">
      <c r="B44" s="733" t="s">
        <v>209</v>
      </c>
      <c r="C44" s="751">
        <v>107</v>
      </c>
      <c r="D44" s="692">
        <v>18279000</v>
      </c>
      <c r="E44" s="699">
        <f t="shared" si="7"/>
        <v>1955853000</v>
      </c>
      <c r="F44" s="697"/>
      <c r="G44" s="700">
        <f t="shared" si="8"/>
        <v>107</v>
      </c>
      <c r="H44" s="693">
        <f t="shared" si="11"/>
        <v>18279000</v>
      </c>
      <c r="I44" s="699">
        <f t="shared" si="9"/>
        <v>1955853000</v>
      </c>
      <c r="J44" s="704"/>
      <c r="K44" s="864">
        <f t="shared" si="10"/>
        <v>0</v>
      </c>
      <c r="L44" s="752"/>
      <c r="N44" s="443"/>
      <c r="O44" s="747"/>
      <c r="P44" s="747"/>
      <c r="Q44" s="748"/>
    </row>
    <row r="45" spans="2:17" x14ac:dyDescent="0.2">
      <c r="B45" s="733" t="s">
        <v>210</v>
      </c>
      <c r="C45" s="751">
        <v>103</v>
      </c>
      <c r="D45" s="692">
        <v>18279000</v>
      </c>
      <c r="E45" s="699">
        <f t="shared" si="7"/>
        <v>1882737000</v>
      </c>
      <c r="F45" s="697"/>
      <c r="G45" s="700">
        <f t="shared" si="8"/>
        <v>103</v>
      </c>
      <c r="H45" s="693">
        <f t="shared" si="11"/>
        <v>18279000</v>
      </c>
      <c r="I45" s="699">
        <f t="shared" si="9"/>
        <v>1882737000</v>
      </c>
      <c r="J45" s="704"/>
      <c r="K45" s="864">
        <f t="shared" si="10"/>
        <v>0</v>
      </c>
      <c r="L45" s="752"/>
      <c r="N45" s="443"/>
      <c r="O45" s="747"/>
      <c r="P45" s="747"/>
      <c r="Q45" s="748"/>
    </row>
    <row r="46" spans="2:17" x14ac:dyDescent="0.2">
      <c r="B46" s="733" t="s">
        <v>211</v>
      </c>
      <c r="C46" s="751">
        <v>113</v>
      </c>
      <c r="D46" s="692">
        <v>18279000</v>
      </c>
      <c r="E46" s="699">
        <f t="shared" si="7"/>
        <v>2065527000</v>
      </c>
      <c r="F46" s="697"/>
      <c r="G46" s="700">
        <f t="shared" si="8"/>
        <v>113</v>
      </c>
      <c r="H46" s="693">
        <f t="shared" si="11"/>
        <v>18279000</v>
      </c>
      <c r="I46" s="699">
        <f t="shared" si="9"/>
        <v>2065527000</v>
      </c>
      <c r="J46" s="704"/>
      <c r="K46" s="864">
        <f t="shared" si="10"/>
        <v>0</v>
      </c>
      <c r="L46" s="752"/>
      <c r="N46" s="443"/>
      <c r="O46" s="747"/>
      <c r="P46" s="747"/>
      <c r="Q46" s="748"/>
    </row>
    <row r="47" spans="2:17" x14ac:dyDescent="0.2">
      <c r="B47" s="733" t="s">
        <v>212</v>
      </c>
      <c r="C47" s="751">
        <v>79</v>
      </c>
      <c r="D47" s="692">
        <v>18279000</v>
      </c>
      <c r="E47" s="699">
        <f t="shared" si="7"/>
        <v>1444041000</v>
      </c>
      <c r="F47" s="697"/>
      <c r="G47" s="700">
        <f t="shared" si="8"/>
        <v>79</v>
      </c>
      <c r="H47" s="693">
        <f t="shared" si="11"/>
        <v>18279000</v>
      </c>
      <c r="I47" s="699">
        <f t="shared" si="9"/>
        <v>1444041000</v>
      </c>
      <c r="J47" s="704"/>
      <c r="K47" s="864">
        <f t="shared" si="10"/>
        <v>0</v>
      </c>
      <c r="L47" s="752"/>
      <c r="N47" s="443"/>
      <c r="O47" s="747"/>
      <c r="P47" s="747"/>
      <c r="Q47" s="748"/>
    </row>
    <row r="48" spans="2:17" x14ac:dyDescent="0.2">
      <c r="B48" s="733" t="s">
        <v>213</v>
      </c>
      <c r="C48" s="751">
        <v>81</v>
      </c>
      <c r="D48" s="692">
        <v>18279000</v>
      </c>
      <c r="E48" s="699">
        <f t="shared" si="7"/>
        <v>1480599000</v>
      </c>
      <c r="F48" s="697"/>
      <c r="G48" s="700">
        <f t="shared" si="8"/>
        <v>81</v>
      </c>
      <c r="H48" s="693">
        <f t="shared" si="11"/>
        <v>18279000</v>
      </c>
      <c r="I48" s="699">
        <f t="shared" si="9"/>
        <v>1480599000</v>
      </c>
      <c r="J48" s="704"/>
      <c r="K48" s="864">
        <f t="shared" si="10"/>
        <v>0</v>
      </c>
      <c r="L48" s="752"/>
      <c r="N48" s="443"/>
      <c r="O48" s="747"/>
      <c r="P48" s="747"/>
      <c r="Q48" s="748"/>
    </row>
    <row r="49" spans="2:17" x14ac:dyDescent="0.2">
      <c r="B49" s="733" t="s">
        <v>214</v>
      </c>
      <c r="C49" s="751">
        <v>69</v>
      </c>
      <c r="D49" s="692">
        <v>17422000</v>
      </c>
      <c r="E49" s="699">
        <f t="shared" si="7"/>
        <v>1202118000</v>
      </c>
      <c r="F49" s="697"/>
      <c r="G49" s="700">
        <f t="shared" si="8"/>
        <v>69</v>
      </c>
      <c r="H49" s="693">
        <f t="shared" si="11"/>
        <v>17422000</v>
      </c>
      <c r="I49" s="699">
        <f t="shared" si="9"/>
        <v>1202118000</v>
      </c>
      <c r="J49" s="704"/>
      <c r="K49" s="864">
        <f t="shared" si="10"/>
        <v>0</v>
      </c>
      <c r="L49" s="752"/>
      <c r="N49" s="443"/>
      <c r="O49" s="747"/>
      <c r="P49" s="747"/>
      <c r="Q49" s="748"/>
    </row>
    <row r="50" spans="2:17" x14ac:dyDescent="0.2">
      <c r="B50" s="733" t="s">
        <v>215</v>
      </c>
      <c r="C50" s="751">
        <v>81</v>
      </c>
      <c r="D50" s="692">
        <v>17422000</v>
      </c>
      <c r="E50" s="699">
        <f t="shared" si="7"/>
        <v>1411182000</v>
      </c>
      <c r="F50" s="697"/>
      <c r="G50" s="700">
        <f t="shared" si="8"/>
        <v>81</v>
      </c>
      <c r="H50" s="693">
        <f t="shared" si="11"/>
        <v>17422000</v>
      </c>
      <c r="I50" s="699">
        <f t="shared" si="9"/>
        <v>1411182000</v>
      </c>
      <c r="J50" s="704"/>
      <c r="K50" s="864">
        <f t="shared" si="10"/>
        <v>0</v>
      </c>
      <c r="L50" s="752"/>
      <c r="N50" s="443"/>
      <c r="O50" s="747"/>
      <c r="P50" s="747"/>
      <c r="Q50" s="748"/>
    </row>
    <row r="51" spans="2:17" x14ac:dyDescent="0.2">
      <c r="B51" s="733" t="s">
        <v>216</v>
      </c>
      <c r="C51" s="517">
        <v>76</v>
      </c>
      <c r="D51" s="692">
        <v>16199000</v>
      </c>
      <c r="E51" s="699">
        <f t="shared" si="7"/>
        <v>1231124000</v>
      </c>
      <c r="F51" s="697"/>
      <c r="G51" s="546">
        <f t="shared" si="8"/>
        <v>76</v>
      </c>
      <c r="H51" s="693">
        <f t="shared" si="11"/>
        <v>16199000</v>
      </c>
      <c r="I51" s="699">
        <f t="shared" si="9"/>
        <v>1231124000</v>
      </c>
      <c r="J51" s="704"/>
      <c r="K51" s="864">
        <f t="shared" si="10"/>
        <v>0</v>
      </c>
      <c r="L51" s="752"/>
      <c r="N51" s="443"/>
      <c r="O51" s="747"/>
      <c r="P51" s="747"/>
      <c r="Q51" s="748"/>
    </row>
    <row r="52" spans="2:17" ht="13.5" thickBot="1" x14ac:dyDescent="0.25">
      <c r="B52" s="753" t="s">
        <v>217</v>
      </c>
      <c r="C52" s="518">
        <v>88</v>
      </c>
      <c r="D52" s="692">
        <v>16199000</v>
      </c>
      <c r="E52" s="701">
        <f t="shared" si="7"/>
        <v>1425512000</v>
      </c>
      <c r="F52" s="702"/>
      <c r="G52" s="547">
        <f t="shared" si="8"/>
        <v>88</v>
      </c>
      <c r="H52" s="693">
        <f t="shared" si="11"/>
        <v>16199000</v>
      </c>
      <c r="I52" s="701">
        <f t="shared" si="9"/>
        <v>1425512000</v>
      </c>
      <c r="J52" s="705"/>
      <c r="K52" s="865">
        <f t="shared" si="10"/>
        <v>0</v>
      </c>
      <c r="L52" s="754"/>
      <c r="N52" s="443"/>
      <c r="O52" s="747"/>
      <c r="P52" s="747"/>
      <c r="Q52" s="748"/>
    </row>
    <row r="53" spans="2:17" ht="13.5" thickBot="1" x14ac:dyDescent="0.25">
      <c r="B53" s="755" t="s">
        <v>218</v>
      </c>
      <c r="C53" s="756">
        <f>SUM(C41:C52)</f>
        <v>1131</v>
      </c>
      <c r="D53" s="757"/>
      <c r="E53" s="740">
        <f>SUM(E41:E52)*0.955</f>
        <v>19445385300</v>
      </c>
      <c r="G53" s="758">
        <f>SUM(G41:G52)</f>
        <v>1131</v>
      </c>
      <c r="H53" s="757"/>
      <c r="I53" s="740">
        <f>SUM(I41:I52)*0.955</f>
        <v>19445385300</v>
      </c>
      <c r="J53" s="704"/>
      <c r="N53" s="443"/>
      <c r="O53" s="747"/>
      <c r="P53" s="747"/>
      <c r="Q53" s="748"/>
    </row>
    <row r="54" spans="2:17" x14ac:dyDescent="0.2">
      <c r="N54" s="443"/>
      <c r="O54" s="747"/>
      <c r="P54" s="747"/>
      <c r="Q54" s="748"/>
    </row>
    <row r="55" spans="2:17" x14ac:dyDescent="0.2">
      <c r="N55" s="443"/>
      <c r="O55" s="747"/>
      <c r="P55" s="747"/>
      <c r="Q55" s="748"/>
    </row>
    <row r="56" spans="2:17" ht="21" customHeight="1" x14ac:dyDescent="0.2">
      <c r="B56" s="1140" t="s">
        <v>499</v>
      </c>
      <c r="C56" s="1140"/>
      <c r="D56" s="1140"/>
      <c r="E56" s="1140"/>
      <c r="F56" s="1140"/>
      <c r="G56" s="1140"/>
      <c r="H56" s="1140"/>
      <c r="I56" s="1140"/>
      <c r="N56" s="443"/>
      <c r="O56" s="747"/>
      <c r="P56" s="747"/>
      <c r="Q56" s="748"/>
    </row>
    <row r="57" spans="2:17" x14ac:dyDescent="0.2">
      <c r="N57" s="443"/>
      <c r="O57" s="747"/>
      <c r="P57" s="747"/>
      <c r="Q57" s="748"/>
    </row>
    <row r="58" spans="2:17" ht="13.5" thickBot="1" x14ac:dyDescent="0.25">
      <c r="N58" s="444"/>
      <c r="O58" s="759"/>
      <c r="P58" s="759"/>
      <c r="Q58" s="760"/>
    </row>
  </sheetData>
  <protectedRanges>
    <protectedRange sqref="L25:L36 L41:L52" name="Rango1"/>
  </protectedRanges>
  <mergeCells count="7">
    <mergeCell ref="B56:I56"/>
    <mergeCell ref="O39:P39"/>
    <mergeCell ref="B22:J22"/>
    <mergeCell ref="B23:E23"/>
    <mergeCell ref="B39:E39"/>
    <mergeCell ref="G23:I23"/>
    <mergeCell ref="G39:I39"/>
  </mergeCells>
  <phoneticPr fontId="0" type="noConversion"/>
  <pageMargins left="0.16" right="0.17" top="0.19" bottom="1" header="0" footer="0"/>
  <pageSetup paperSize="9" scale="6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N537"/>
  <sheetViews>
    <sheetView showGridLines="0" zoomScale="80" zoomScaleNormal="80" workbookViewId="0">
      <pane ySplit="20" topLeftCell="A246" activePane="bottomLeft" state="frozen"/>
      <selection activeCell="B1" sqref="B1"/>
      <selection pane="bottomLeft" activeCell="A261" sqref="A261:XFD261"/>
    </sheetView>
  </sheetViews>
  <sheetFormatPr baseColWidth="10" defaultRowHeight="12.75" outlineLevelRow="1" x14ac:dyDescent="0.2"/>
  <cols>
    <col min="1" max="1" width="4.85546875" style="369" hidden="1" customWidth="1"/>
    <col min="2" max="2" width="39.5703125" style="18" customWidth="1"/>
    <col min="3" max="3" width="15.42578125" style="17" customWidth="1"/>
    <col min="4" max="4" width="13" style="24" hidden="1" customWidth="1"/>
    <col min="5" max="5" width="16.7109375" style="18" customWidth="1"/>
    <col min="6" max="6" width="15.7109375" style="18" customWidth="1"/>
    <col min="7" max="7" width="6.5703125" style="18" hidden="1" customWidth="1"/>
    <col min="8" max="8" width="6.7109375" style="18" customWidth="1"/>
    <col min="9" max="9" width="9.140625" style="18" customWidth="1"/>
    <col min="10" max="14" width="6.85546875" style="18" customWidth="1"/>
    <col min="15" max="15" width="5.7109375" style="18" customWidth="1"/>
    <col min="16" max="16" width="8.140625" style="18" customWidth="1"/>
    <col min="17" max="17" width="8.7109375" style="18" customWidth="1"/>
    <col min="18" max="18" width="6.85546875" style="18" customWidth="1"/>
    <col min="19" max="19" width="7.42578125" style="18" customWidth="1"/>
    <col min="20" max="23" width="6.85546875" style="18" customWidth="1"/>
    <col min="24" max="24" width="9.42578125" style="18" customWidth="1"/>
    <col min="25" max="25" width="9.5703125" style="18" customWidth="1"/>
    <col min="26" max="26" width="8.85546875" style="18" customWidth="1"/>
    <col min="27" max="27" width="11" style="23" customWidth="1"/>
    <col min="28" max="28" width="9.7109375" style="23" customWidth="1"/>
    <col min="29" max="29" width="11.42578125" style="18" customWidth="1"/>
    <col min="30" max="30" width="13.85546875" style="18" customWidth="1"/>
    <col min="31" max="32" width="14.85546875" style="18" hidden="1" customWidth="1"/>
    <col min="33" max="35" width="14.85546875" style="23" hidden="1" customWidth="1"/>
    <col min="36" max="36" width="14.7109375" style="23" hidden="1" customWidth="1"/>
    <col min="37" max="37" width="19.7109375" style="23" hidden="1" customWidth="1"/>
    <col min="38" max="38" width="21.140625" style="23" hidden="1" customWidth="1"/>
    <col min="39" max="39" width="14.85546875" style="23" hidden="1" customWidth="1"/>
    <col min="40" max="40" width="17.5703125" style="23" hidden="1" customWidth="1"/>
    <col min="41" max="41" width="14.85546875" style="11" customWidth="1"/>
    <col min="42" max="42" width="16.28515625" style="18" customWidth="1"/>
    <col min="43" max="43" width="45.140625" style="18" customWidth="1"/>
    <col min="44" max="44" width="34" style="18" customWidth="1"/>
    <col min="45" max="85" width="11.42578125" style="28"/>
    <col min="86" max="86" width="7.28515625" style="28" customWidth="1"/>
    <col min="87" max="16384" width="11.42578125" style="28"/>
  </cols>
  <sheetData>
    <row r="1" spans="1:92" s="46" customFormat="1" ht="12.75" hidden="1" customHeight="1" outlineLevel="1" x14ac:dyDescent="0.2">
      <c r="A1" s="365"/>
      <c r="B1" s="37"/>
      <c r="C1" s="38"/>
      <c r="D1" s="42"/>
      <c r="E1" s="43"/>
      <c r="F1" s="43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44"/>
      <c r="AB1" s="44"/>
      <c r="AC1" s="41"/>
      <c r="AD1" s="41"/>
      <c r="AE1" s="41"/>
      <c r="AF1" s="41"/>
      <c r="AG1" s="44"/>
      <c r="AH1" s="44"/>
      <c r="AI1" s="44"/>
      <c r="AJ1" s="44"/>
      <c r="AK1" s="44"/>
      <c r="AL1" s="44"/>
      <c r="AM1" s="44"/>
      <c r="AN1" s="44"/>
      <c r="AO1" s="45"/>
      <c r="AP1" s="37"/>
      <c r="AQ1" s="37"/>
      <c r="AR1" s="37"/>
      <c r="CG1" s="28"/>
      <c r="CH1" s="28"/>
      <c r="CI1" s="28"/>
    </row>
    <row r="2" spans="1:92" s="46" customFormat="1" ht="12.75" hidden="1" customHeight="1" outlineLevel="1" x14ac:dyDescent="0.2">
      <c r="A2" s="366"/>
      <c r="B2" s="39"/>
      <c r="C2" s="40"/>
      <c r="D2" s="47"/>
      <c r="E2" s="48"/>
      <c r="F2" s="48"/>
      <c r="G2" s="3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50"/>
      <c r="AA2" s="8"/>
      <c r="AB2" s="360"/>
      <c r="AC2" s="9"/>
      <c r="AD2" s="9"/>
      <c r="AE2" s="9"/>
      <c r="AF2" s="9"/>
      <c r="AG2" s="8"/>
      <c r="AH2" s="8"/>
      <c r="AI2" s="8"/>
      <c r="AJ2" s="8"/>
      <c r="AK2" s="8"/>
      <c r="AL2" s="8"/>
      <c r="AM2" s="8"/>
      <c r="AN2" s="8"/>
      <c r="AO2" s="52"/>
      <c r="AP2" s="37"/>
      <c r="AQ2" s="37"/>
      <c r="AR2" s="37"/>
      <c r="CG2" s="179"/>
      <c r="CH2" s="179"/>
      <c r="CI2" s="179"/>
      <c r="CJ2" s="53"/>
      <c r="CK2" s="53"/>
      <c r="CL2" s="53"/>
      <c r="CM2" s="53"/>
      <c r="CN2" s="53"/>
    </row>
    <row r="3" spans="1:92" s="46" customFormat="1" ht="12.75" hidden="1" customHeight="1" outlineLevel="1" x14ac:dyDescent="0.2">
      <c r="A3" s="366"/>
      <c r="B3" s="39"/>
      <c r="C3" s="40"/>
      <c r="D3" s="47"/>
      <c r="E3" s="48"/>
      <c r="F3" s="48"/>
      <c r="G3" s="3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50"/>
      <c r="AA3" s="8"/>
      <c r="AB3" s="360"/>
      <c r="AC3" s="9"/>
      <c r="AD3" s="9"/>
      <c r="AE3" s="9"/>
      <c r="AF3" s="9"/>
      <c r="AG3" s="8"/>
      <c r="AH3" s="8"/>
      <c r="AI3" s="8"/>
      <c r="AJ3" s="8"/>
      <c r="AK3" s="8"/>
      <c r="AL3" s="8"/>
      <c r="AM3" s="8"/>
      <c r="AN3" s="8"/>
      <c r="AO3" s="52"/>
      <c r="AP3" s="37"/>
      <c r="AQ3" s="37"/>
      <c r="AR3" s="37"/>
      <c r="CG3" s="179"/>
      <c r="CH3" s="179"/>
      <c r="CI3" s="179"/>
      <c r="CJ3" s="53"/>
      <c r="CK3" s="53"/>
      <c r="CL3" s="53"/>
      <c r="CM3" s="53"/>
      <c r="CN3" s="53"/>
    </row>
    <row r="4" spans="1:92" s="46" customFormat="1" ht="12.75" hidden="1" customHeight="1" outlineLevel="1" x14ac:dyDescent="0.2">
      <c r="A4" s="366"/>
      <c r="B4" s="39"/>
      <c r="C4" s="40"/>
      <c r="D4" s="47"/>
      <c r="E4" s="39"/>
      <c r="F4" s="39"/>
      <c r="G4" s="3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50"/>
      <c r="AA4" s="8"/>
      <c r="AB4" s="360"/>
      <c r="AC4" s="9"/>
      <c r="AD4" s="9"/>
      <c r="AE4" s="9"/>
      <c r="AF4" s="9"/>
      <c r="AG4" s="8"/>
      <c r="AH4" s="8"/>
      <c r="AI4" s="8"/>
      <c r="AJ4" s="8"/>
      <c r="AK4" s="8"/>
      <c r="AL4" s="8"/>
      <c r="AM4" s="8"/>
      <c r="AN4" s="8"/>
      <c r="AO4" s="52"/>
      <c r="AP4" s="37"/>
      <c r="AQ4" s="37"/>
      <c r="AR4" s="37"/>
      <c r="CG4" s="179"/>
      <c r="CH4" s="179"/>
      <c r="CI4" s="179"/>
      <c r="CJ4" s="53"/>
      <c r="CK4" s="53"/>
      <c r="CL4" s="53"/>
      <c r="CM4" s="53"/>
      <c r="CN4" s="53"/>
    </row>
    <row r="5" spans="1:92" s="46" customFormat="1" ht="12.75" hidden="1" customHeight="1" outlineLevel="1" x14ac:dyDescent="0.2">
      <c r="A5" s="366"/>
      <c r="B5" s="39"/>
      <c r="C5" s="40"/>
      <c r="D5" s="47"/>
      <c r="E5" s="39"/>
      <c r="F5" s="39"/>
      <c r="G5" s="3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50"/>
      <c r="AA5" s="8"/>
      <c r="AB5" s="360"/>
      <c r="AC5" s="9"/>
      <c r="AD5" s="9"/>
      <c r="AE5" s="9"/>
      <c r="AF5" s="9"/>
      <c r="AG5" s="8"/>
      <c r="AH5" s="8"/>
      <c r="AI5" s="8"/>
      <c r="AJ5" s="8"/>
      <c r="AK5" s="8"/>
      <c r="AL5" s="8"/>
      <c r="AM5" s="8"/>
      <c r="AN5" s="8"/>
      <c r="AO5" s="52"/>
      <c r="AP5" s="37"/>
      <c r="AQ5" s="37"/>
      <c r="AR5" s="37"/>
      <c r="CG5" s="179"/>
      <c r="CH5" s="179"/>
      <c r="CI5" s="179"/>
      <c r="CJ5" s="53"/>
      <c r="CK5" s="53"/>
      <c r="CL5" s="53"/>
      <c r="CM5" s="53"/>
      <c r="CN5" s="53"/>
    </row>
    <row r="6" spans="1:92" s="46" customFormat="1" ht="12.75" hidden="1" customHeight="1" outlineLevel="1" x14ac:dyDescent="0.2">
      <c r="A6" s="366"/>
      <c r="B6" s="39"/>
      <c r="C6" s="40"/>
      <c r="D6" s="47"/>
      <c r="E6" s="39"/>
      <c r="F6" s="39"/>
      <c r="G6" s="3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50"/>
      <c r="AA6" s="8"/>
      <c r="AB6" s="360"/>
      <c r="AC6" s="9"/>
      <c r="AD6" s="9"/>
      <c r="AE6" s="9"/>
      <c r="AF6" s="9"/>
      <c r="AG6" s="8"/>
      <c r="AH6" s="8"/>
      <c r="AI6" s="8"/>
      <c r="AJ6" s="8"/>
      <c r="AK6" s="8"/>
      <c r="AL6" s="8"/>
      <c r="AM6" s="8"/>
      <c r="AN6" s="8"/>
      <c r="AO6" s="52"/>
      <c r="AP6" s="37"/>
      <c r="AQ6" s="37"/>
      <c r="AR6" s="37"/>
      <c r="CG6" s="179"/>
      <c r="CH6" s="179"/>
      <c r="CI6" s="179"/>
      <c r="CJ6" s="53"/>
      <c r="CK6" s="53"/>
      <c r="CL6" s="53"/>
      <c r="CM6" s="53"/>
      <c r="CN6" s="53"/>
    </row>
    <row r="7" spans="1:92" s="46" customFormat="1" ht="12.75" hidden="1" customHeight="1" outlineLevel="1" x14ac:dyDescent="0.2">
      <c r="A7" s="366"/>
      <c r="B7" s="39"/>
      <c r="C7" s="40"/>
      <c r="D7" s="47"/>
      <c r="E7" s="39"/>
      <c r="F7" s="39"/>
      <c r="G7" s="3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50"/>
      <c r="AA7" s="8"/>
      <c r="AB7" s="360"/>
      <c r="AC7" s="9"/>
      <c r="AD7" s="9"/>
      <c r="AE7" s="9"/>
      <c r="AF7" s="9"/>
      <c r="AG7" s="8"/>
      <c r="AH7" s="8"/>
      <c r="AI7" s="8"/>
      <c r="AJ7" s="8"/>
      <c r="AK7" s="8"/>
      <c r="AL7" s="8"/>
      <c r="AM7" s="8"/>
      <c r="AN7" s="8"/>
      <c r="AO7" s="52"/>
      <c r="AP7" s="37"/>
      <c r="AQ7" s="37"/>
      <c r="AR7" s="37"/>
      <c r="CG7" s="179"/>
      <c r="CH7" s="179"/>
      <c r="CI7" s="179"/>
      <c r="CJ7" s="53"/>
      <c r="CK7" s="53"/>
      <c r="CL7" s="53"/>
      <c r="CM7" s="53"/>
      <c r="CN7" s="53"/>
    </row>
    <row r="8" spans="1:92" s="46" customFormat="1" ht="12.75" hidden="1" customHeight="1" outlineLevel="1" x14ac:dyDescent="0.2">
      <c r="A8" s="366"/>
      <c r="B8" s="39"/>
      <c r="C8" s="40"/>
      <c r="D8" s="47"/>
      <c r="E8" s="39"/>
      <c r="F8" s="39"/>
      <c r="G8" s="3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50"/>
      <c r="AA8" s="8"/>
      <c r="AB8" s="360"/>
      <c r="AC8" s="9"/>
      <c r="AD8" s="9"/>
      <c r="AE8" s="9"/>
      <c r="AF8" s="9"/>
      <c r="AG8" s="8"/>
      <c r="AH8" s="8"/>
      <c r="AI8" s="8"/>
      <c r="AJ8" s="8"/>
      <c r="AK8" s="8"/>
      <c r="AL8" s="8"/>
      <c r="AM8" s="8"/>
      <c r="AN8" s="8"/>
      <c r="AO8" s="52"/>
      <c r="AP8" s="37"/>
      <c r="AQ8" s="37"/>
      <c r="AR8" s="37"/>
      <c r="CG8" s="179"/>
      <c r="CH8" s="179"/>
      <c r="CI8" s="179"/>
      <c r="CJ8" s="53"/>
      <c r="CK8" s="53"/>
      <c r="CL8" s="53"/>
      <c r="CM8" s="53"/>
      <c r="CN8" s="53"/>
    </row>
    <row r="9" spans="1:92" s="46" customFormat="1" ht="12.75" hidden="1" customHeight="1" outlineLevel="1" x14ac:dyDescent="0.2">
      <c r="A9" s="366"/>
      <c r="B9" s="39"/>
      <c r="C9" s="40"/>
      <c r="D9" s="47"/>
      <c r="E9" s="39"/>
      <c r="F9" s="39"/>
      <c r="G9" s="3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50"/>
      <c r="AA9" s="8"/>
      <c r="AB9" s="360"/>
      <c r="AC9" s="9"/>
      <c r="AD9" s="9"/>
      <c r="AE9" s="9"/>
      <c r="AF9" s="9"/>
      <c r="AG9" s="8"/>
      <c r="AH9" s="8"/>
      <c r="AI9" s="8"/>
      <c r="AJ9" s="8"/>
      <c r="AK9" s="8"/>
      <c r="AL9" s="8"/>
      <c r="AM9" s="8"/>
      <c r="AN9" s="8"/>
      <c r="AO9" s="52"/>
      <c r="AP9" s="37"/>
      <c r="AQ9" s="37"/>
      <c r="AR9" s="37"/>
      <c r="CG9" s="179"/>
      <c r="CH9" s="179"/>
      <c r="CI9" s="179"/>
      <c r="CJ9" s="53"/>
      <c r="CK9" s="53"/>
      <c r="CL9" s="53"/>
      <c r="CM9" s="53"/>
      <c r="CN9" s="53"/>
    </row>
    <row r="10" spans="1:92" s="46" customFormat="1" ht="12.75" hidden="1" customHeight="1" outlineLevel="1" x14ac:dyDescent="0.2">
      <c r="A10" s="366"/>
      <c r="B10" s="39"/>
      <c r="C10" s="40"/>
      <c r="D10" s="47"/>
      <c r="E10" s="39"/>
      <c r="F10" s="39"/>
      <c r="G10" s="3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50"/>
      <c r="AA10" s="8"/>
      <c r="AB10" s="360"/>
      <c r="AC10" s="9"/>
      <c r="AD10" s="9"/>
      <c r="AE10" s="9"/>
      <c r="AF10" s="9"/>
      <c r="AG10" s="8"/>
      <c r="AH10" s="8"/>
      <c r="AI10" s="8"/>
      <c r="AJ10" s="8"/>
      <c r="AK10" s="8"/>
      <c r="AL10" s="8"/>
      <c r="AM10" s="8"/>
      <c r="AN10" s="8"/>
      <c r="AO10" s="52"/>
      <c r="AP10" s="37"/>
      <c r="AQ10" s="37"/>
      <c r="AR10" s="37"/>
      <c r="CG10" s="179"/>
      <c r="CH10" s="179"/>
      <c r="CI10" s="179"/>
      <c r="CJ10" s="53"/>
      <c r="CK10" s="53"/>
      <c r="CL10" s="53"/>
      <c r="CM10" s="53"/>
      <c r="CN10" s="53"/>
    </row>
    <row r="11" spans="1:92" s="46" customFormat="1" ht="12.75" hidden="1" customHeight="1" outlineLevel="1" x14ac:dyDescent="0.2">
      <c r="A11" s="366"/>
      <c r="B11" s="39"/>
      <c r="C11" s="40"/>
      <c r="D11" s="47"/>
      <c r="E11" s="39"/>
      <c r="F11" s="39"/>
      <c r="G11" s="3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50"/>
      <c r="AA11" s="8"/>
      <c r="AB11" s="360"/>
      <c r="AC11" s="9"/>
      <c r="AD11" s="9"/>
      <c r="AE11" s="9"/>
      <c r="AF11" s="9"/>
      <c r="AG11" s="8"/>
      <c r="AH11" s="8"/>
      <c r="AI11" s="8"/>
      <c r="AJ11" s="8"/>
      <c r="AK11" s="8"/>
      <c r="AL11" s="8"/>
      <c r="AM11" s="8"/>
      <c r="AN11" s="8"/>
      <c r="AO11" s="52"/>
      <c r="AP11" s="37"/>
      <c r="AQ11" s="37"/>
      <c r="AR11" s="37"/>
      <c r="CG11" s="179"/>
      <c r="CH11" s="179"/>
      <c r="CI11" s="179"/>
      <c r="CJ11" s="53"/>
      <c r="CK11" s="53"/>
      <c r="CL11" s="53"/>
      <c r="CM11" s="53"/>
      <c r="CN11" s="53"/>
    </row>
    <row r="12" spans="1:92" s="46" customFormat="1" ht="12.75" hidden="1" customHeight="1" outlineLevel="1" x14ac:dyDescent="0.2">
      <c r="A12" s="366"/>
      <c r="B12" s="39"/>
      <c r="C12" s="40"/>
      <c r="D12" s="47"/>
      <c r="E12" s="39"/>
      <c r="F12" s="39"/>
      <c r="G12" s="3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50"/>
      <c r="AA12" s="8"/>
      <c r="AB12" s="360"/>
      <c r="AC12" s="9"/>
      <c r="AD12" s="9"/>
      <c r="AE12" s="9"/>
      <c r="AF12" s="9"/>
      <c r="AG12" s="8"/>
      <c r="AH12" s="8"/>
      <c r="AI12" s="8"/>
      <c r="AJ12" s="8"/>
      <c r="AK12" s="8"/>
      <c r="AL12" s="8"/>
      <c r="AM12" s="8"/>
      <c r="AN12" s="8"/>
      <c r="AO12" s="52"/>
      <c r="AP12" s="37"/>
      <c r="AQ12" s="37"/>
      <c r="AR12" s="37"/>
      <c r="CG12" s="179"/>
      <c r="CH12" s="179"/>
      <c r="CI12" s="179"/>
      <c r="CJ12" s="53"/>
      <c r="CK12" s="53"/>
      <c r="CL12" s="53"/>
      <c r="CM12" s="53"/>
      <c r="CN12" s="53"/>
    </row>
    <row r="13" spans="1:92" s="46" customFormat="1" ht="12.75" hidden="1" customHeight="1" outlineLevel="1" x14ac:dyDescent="0.2">
      <c r="A13" s="366"/>
      <c r="B13" s="39"/>
      <c r="C13" s="40"/>
      <c r="D13" s="47"/>
      <c r="E13" s="39"/>
      <c r="F13" s="39"/>
      <c r="G13" s="3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50"/>
      <c r="AA13" s="8"/>
      <c r="AB13" s="360"/>
      <c r="AC13" s="9"/>
      <c r="AD13" s="9"/>
      <c r="AE13" s="9"/>
      <c r="AF13" s="9"/>
      <c r="AG13" s="8"/>
      <c r="AH13" s="8"/>
      <c r="AI13" s="8"/>
      <c r="AJ13" s="8"/>
      <c r="AK13" s="8"/>
      <c r="AL13" s="8"/>
      <c r="AM13" s="8"/>
      <c r="AN13" s="8"/>
      <c r="AO13" s="52"/>
      <c r="AP13" s="37"/>
      <c r="AQ13" s="37"/>
      <c r="AR13" s="37"/>
      <c r="CG13" s="179"/>
      <c r="CH13" s="179"/>
      <c r="CI13" s="179"/>
      <c r="CJ13" s="53"/>
      <c r="CK13" s="53"/>
      <c r="CL13" s="53"/>
      <c r="CM13" s="53"/>
      <c r="CN13" s="53"/>
    </row>
    <row r="14" spans="1:92" s="46" customFormat="1" ht="12.75" hidden="1" customHeight="1" outlineLevel="1" x14ac:dyDescent="0.2">
      <c r="A14" s="366"/>
      <c r="B14" s="39"/>
      <c r="C14" s="40"/>
      <c r="D14" s="47"/>
      <c r="E14" s="39"/>
      <c r="F14" s="39"/>
      <c r="G14" s="3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50"/>
      <c r="AA14" s="8"/>
      <c r="AB14" s="360"/>
      <c r="AC14" s="9"/>
      <c r="AD14" s="9"/>
      <c r="AE14" s="9"/>
      <c r="AF14" s="9"/>
      <c r="AG14" s="8"/>
      <c r="AH14" s="8"/>
      <c r="AI14" s="8"/>
      <c r="AJ14" s="8"/>
      <c r="AK14" s="8"/>
      <c r="AL14" s="8"/>
      <c r="AM14" s="8"/>
      <c r="AN14" s="8"/>
      <c r="AO14" s="52"/>
      <c r="AP14" s="37"/>
      <c r="AQ14" s="37"/>
      <c r="AR14" s="37"/>
      <c r="CG14" s="179"/>
      <c r="CH14" s="179"/>
      <c r="CI14" s="179"/>
      <c r="CJ14" s="53"/>
      <c r="CK14" s="53"/>
      <c r="CL14" s="53"/>
      <c r="CM14" s="53"/>
      <c r="CN14" s="53"/>
    </row>
    <row r="15" spans="1:92" s="46" customFormat="1" ht="12.75" hidden="1" customHeight="1" outlineLevel="1" x14ac:dyDescent="0.2">
      <c r="A15" s="366"/>
      <c r="B15" s="39"/>
      <c r="C15" s="40"/>
      <c r="D15" s="47"/>
      <c r="E15" s="39"/>
      <c r="F15" s="39"/>
      <c r="G15" s="3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50"/>
      <c r="AA15" s="8"/>
      <c r="AB15" s="360"/>
      <c r="AC15" s="9"/>
      <c r="AD15" s="9"/>
      <c r="AE15" s="9"/>
      <c r="AF15" s="9"/>
      <c r="AG15" s="8"/>
      <c r="AH15" s="8"/>
      <c r="AI15" s="8"/>
      <c r="AJ15" s="8"/>
      <c r="AK15" s="8"/>
      <c r="AL15" s="8"/>
      <c r="AM15" s="8"/>
      <c r="AN15" s="8"/>
      <c r="AO15" s="52"/>
      <c r="AP15" s="37"/>
      <c r="AQ15" s="37"/>
      <c r="AR15" s="37"/>
      <c r="CG15" s="179"/>
      <c r="CH15" s="179"/>
      <c r="CI15" s="179"/>
      <c r="CJ15" s="53"/>
      <c r="CK15" s="53"/>
      <c r="CL15" s="53"/>
      <c r="CM15" s="53"/>
      <c r="CN15" s="53"/>
    </row>
    <row r="16" spans="1:92" s="46" customFormat="1" ht="12.75" hidden="1" customHeight="1" outlineLevel="1" x14ac:dyDescent="0.2">
      <c r="A16" s="366"/>
      <c r="B16" s="9"/>
      <c r="C16" s="54"/>
      <c r="D16" s="51"/>
      <c r="E16" s="9"/>
      <c r="F16" s="9"/>
      <c r="G16" s="9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8"/>
      <c r="AB16" s="360"/>
      <c r="AC16" s="9"/>
      <c r="AD16" s="9"/>
      <c r="AE16" s="9"/>
      <c r="AF16" s="9"/>
      <c r="AG16" s="8"/>
      <c r="AH16" s="8"/>
      <c r="AI16" s="8"/>
      <c r="AJ16" s="8"/>
      <c r="AK16" s="8"/>
      <c r="AL16" s="8"/>
      <c r="AM16" s="8"/>
      <c r="AN16" s="8"/>
      <c r="AO16" s="52"/>
      <c r="AP16" s="37"/>
      <c r="AQ16" s="37"/>
      <c r="AR16" s="37"/>
      <c r="CG16" s="180">
        <v>1</v>
      </c>
      <c r="CH16" s="180" t="s">
        <v>414</v>
      </c>
      <c r="CI16" s="180"/>
      <c r="CJ16" s="53"/>
      <c r="CK16" s="53"/>
      <c r="CL16" s="53"/>
      <c r="CM16" s="53"/>
      <c r="CN16" s="53"/>
    </row>
    <row r="17" spans="1:92" s="46" customFormat="1" ht="56.25" hidden="1" customHeight="1" outlineLevel="1" thickBot="1" x14ac:dyDescent="0.25">
      <c r="A17" s="367"/>
      <c r="B17" s="9"/>
      <c r="C17" s="54"/>
      <c r="D17" s="51"/>
      <c r="E17" s="9"/>
      <c r="F17" s="9"/>
      <c r="G17" s="9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8"/>
      <c r="AB17" s="360"/>
      <c r="AC17" s="9"/>
      <c r="AD17" s="9"/>
      <c r="AE17" s="9"/>
      <c r="AF17" s="9"/>
      <c r="AG17" s="8"/>
      <c r="AH17" s="8"/>
      <c r="AI17" s="8"/>
      <c r="AJ17" s="8"/>
      <c r="AK17" s="8"/>
      <c r="AL17" s="8"/>
      <c r="AM17" s="8"/>
      <c r="AN17" s="8"/>
      <c r="AO17" s="52"/>
      <c r="AP17" s="37"/>
      <c r="AQ17" s="37"/>
      <c r="AR17" s="37"/>
      <c r="CG17" s="180">
        <v>2</v>
      </c>
      <c r="CH17" s="180" t="s">
        <v>415</v>
      </c>
      <c r="CI17" s="180"/>
      <c r="CJ17" s="53"/>
      <c r="CK17" s="53"/>
      <c r="CL17" s="53"/>
      <c r="CM17" s="53"/>
      <c r="CN17" s="53"/>
    </row>
    <row r="18" spans="1:92" s="29" customFormat="1" ht="26.25" customHeight="1" collapsed="1" thickBot="1" x14ac:dyDescent="0.25">
      <c r="A18" s="1169" t="s">
        <v>633</v>
      </c>
      <c r="B18" s="390" t="s">
        <v>153</v>
      </c>
      <c r="C18" s="363" t="s">
        <v>557</v>
      </c>
      <c r="D18" s="1172" t="s">
        <v>634</v>
      </c>
      <c r="E18" s="1178" t="s">
        <v>154</v>
      </c>
      <c r="F18" s="1181" t="s">
        <v>186</v>
      </c>
      <c r="G18" s="1163" t="s">
        <v>636</v>
      </c>
      <c r="H18" s="483" t="s">
        <v>1220</v>
      </c>
      <c r="I18" s="483" t="s">
        <v>861</v>
      </c>
      <c r="J18" s="1166" t="s">
        <v>862</v>
      </c>
      <c r="K18" s="1166"/>
      <c r="L18" s="1166"/>
      <c r="M18" s="1166"/>
      <c r="N18" s="1166"/>
      <c r="O18" s="1166"/>
      <c r="P18" s="1166"/>
      <c r="Q18" s="1166"/>
      <c r="R18" s="1166"/>
      <c r="S18" s="1166"/>
      <c r="T18" s="1166"/>
      <c r="U18" s="1166"/>
      <c r="V18" s="1166"/>
      <c r="W18" s="1166"/>
      <c r="X18" s="372"/>
      <c r="Y18" s="372"/>
      <c r="Z18" s="172" t="s">
        <v>155</v>
      </c>
      <c r="AA18" s="866" t="s">
        <v>413</v>
      </c>
      <c r="AB18" s="866" t="s">
        <v>674</v>
      </c>
      <c r="AC18" s="483" t="s">
        <v>263</v>
      </c>
      <c r="AD18" s="483" t="s">
        <v>156</v>
      </c>
      <c r="AE18" s="612" t="s">
        <v>157</v>
      </c>
      <c r="AF18" s="612" t="s">
        <v>158</v>
      </c>
      <c r="AG18" s="643" t="s">
        <v>159</v>
      </c>
      <c r="AH18" s="643" t="s">
        <v>160</v>
      </c>
      <c r="AI18" s="643" t="s">
        <v>161</v>
      </c>
      <c r="AJ18" s="643" t="s">
        <v>162</v>
      </c>
      <c r="AK18" s="643" t="s">
        <v>163</v>
      </c>
      <c r="AL18" s="643" t="s">
        <v>164</v>
      </c>
      <c r="AM18" s="643" t="s">
        <v>165</v>
      </c>
      <c r="AN18" s="643" t="s">
        <v>166</v>
      </c>
      <c r="AO18" s="1161" t="s">
        <v>167</v>
      </c>
      <c r="AP18" s="1160" t="s">
        <v>784</v>
      </c>
      <c r="AQ18" s="1159" t="s">
        <v>262</v>
      </c>
      <c r="AR18" s="1159"/>
      <c r="CG18" s="30"/>
      <c r="CH18" s="30"/>
      <c r="CI18" s="30"/>
      <c r="CJ18" s="30"/>
      <c r="CK18" s="30"/>
      <c r="CL18" s="30"/>
      <c r="CM18" s="30"/>
      <c r="CN18" s="30"/>
    </row>
    <row r="19" spans="1:92" s="29" customFormat="1" ht="25.5" customHeight="1" x14ac:dyDescent="0.2">
      <c r="A19" s="1170"/>
      <c r="B19" s="1167" t="str">
        <f>+PRESUPUESTO!B2</f>
        <v>MEDICINA PREGRADO</v>
      </c>
      <c r="C19" s="1167"/>
      <c r="D19" s="1173"/>
      <c r="E19" s="1179"/>
      <c r="F19" s="1182"/>
      <c r="G19" s="1164"/>
      <c r="H19" s="1168" t="s">
        <v>169</v>
      </c>
      <c r="I19" s="1168" t="s">
        <v>169</v>
      </c>
      <c r="J19" s="1177" t="s">
        <v>283</v>
      </c>
      <c r="K19" s="1177"/>
      <c r="L19" s="1177"/>
      <c r="M19" s="1177"/>
      <c r="N19" s="576"/>
      <c r="O19" s="382"/>
      <c r="P19" s="1177" t="s">
        <v>630</v>
      </c>
      <c r="Q19" s="1177"/>
      <c r="R19" s="382"/>
      <c r="S19" s="1177" t="s">
        <v>631</v>
      </c>
      <c r="T19" s="1177"/>
      <c r="U19" s="1177"/>
      <c r="V19" s="382"/>
      <c r="W19" s="379" t="s">
        <v>632</v>
      </c>
      <c r="X19" s="389" t="s">
        <v>167</v>
      </c>
      <c r="Y19" s="389"/>
      <c r="Z19" s="1175"/>
      <c r="AA19" s="386"/>
      <c r="AB19" s="386"/>
      <c r="AC19" s="383"/>
      <c r="AD19" s="383"/>
      <c r="AE19" s="384"/>
      <c r="AF19" s="384"/>
      <c r="AG19" s="385"/>
      <c r="AH19" s="385"/>
      <c r="AI19" s="385"/>
      <c r="AJ19" s="385"/>
      <c r="AK19" s="385"/>
      <c r="AL19" s="385"/>
      <c r="AM19" s="385"/>
      <c r="AN19" s="385"/>
      <c r="AO19" s="1162"/>
      <c r="AP19" s="1160"/>
      <c r="AQ19" s="1159"/>
      <c r="AR19" s="1159"/>
      <c r="CG19" s="387"/>
      <c r="CH19" s="387"/>
      <c r="CI19" s="387"/>
      <c r="CJ19" s="30"/>
      <c r="CK19" s="30"/>
      <c r="CL19" s="30"/>
      <c r="CM19" s="30"/>
      <c r="CN19" s="30"/>
    </row>
    <row r="20" spans="1:92" s="29" customFormat="1" ht="20.25" customHeight="1" thickBot="1" x14ac:dyDescent="0.25">
      <c r="A20" s="1171"/>
      <c r="B20" s="388"/>
      <c r="C20" s="363" t="s">
        <v>169</v>
      </c>
      <c r="D20" s="1174"/>
      <c r="E20" s="1180"/>
      <c r="F20" s="1183"/>
      <c r="G20" s="1164"/>
      <c r="H20" s="1160"/>
      <c r="I20" s="1160"/>
      <c r="J20" s="380" t="s">
        <v>547</v>
      </c>
      <c r="K20" s="380" t="s">
        <v>548</v>
      </c>
      <c r="L20" s="380" t="s">
        <v>549</v>
      </c>
      <c r="M20" s="380" t="s">
        <v>550</v>
      </c>
      <c r="N20" s="575" t="s">
        <v>689</v>
      </c>
      <c r="O20" s="381" t="s">
        <v>551</v>
      </c>
      <c r="P20" s="380" t="s">
        <v>552</v>
      </c>
      <c r="Q20" s="380" t="s">
        <v>553</v>
      </c>
      <c r="R20" s="381" t="s">
        <v>551</v>
      </c>
      <c r="S20" s="380" t="s">
        <v>690</v>
      </c>
      <c r="T20" s="575" t="s">
        <v>554</v>
      </c>
      <c r="U20" s="380" t="s">
        <v>555</v>
      </c>
      <c r="V20" s="381" t="s">
        <v>551</v>
      </c>
      <c r="W20" s="379" t="s">
        <v>556</v>
      </c>
      <c r="X20" s="389" t="s">
        <v>659</v>
      </c>
      <c r="Y20" s="389"/>
      <c r="Z20" s="1176"/>
      <c r="AA20" s="386"/>
      <c r="AB20" s="386"/>
      <c r="AC20" s="383"/>
      <c r="AD20" s="383"/>
      <c r="AE20" s="384"/>
      <c r="AF20" s="384"/>
      <c r="AG20" s="385"/>
      <c r="AH20" s="385"/>
      <c r="AI20" s="385"/>
      <c r="AJ20" s="385"/>
      <c r="AK20" s="385"/>
      <c r="AL20" s="385"/>
      <c r="AM20" s="385"/>
      <c r="AN20" s="385"/>
      <c r="AO20" s="1162"/>
      <c r="AP20" s="1160"/>
      <c r="AQ20" s="1159"/>
      <c r="AR20" s="1159"/>
      <c r="CG20" s="364" t="s">
        <v>414</v>
      </c>
      <c r="CH20" s="387"/>
      <c r="CI20" s="387"/>
      <c r="CJ20" s="30"/>
      <c r="CK20" s="30"/>
      <c r="CL20" s="30"/>
      <c r="CM20" s="30"/>
      <c r="CN20" s="30"/>
    </row>
    <row r="21" spans="1:92" ht="13.5" customHeight="1" thickBot="1" x14ac:dyDescent="0.25">
      <c r="A21" s="398"/>
      <c r="B21" s="426" t="s">
        <v>1232</v>
      </c>
      <c r="C21" s="499"/>
      <c r="D21" s="500"/>
      <c r="E21" s="25"/>
      <c r="F21" s="501"/>
      <c r="G21" s="26"/>
      <c r="H21" s="25"/>
      <c r="I21" s="396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361"/>
      <c r="AA21" s="361"/>
      <c r="AB21" s="361"/>
      <c r="AC21" s="25"/>
      <c r="AD21" s="25"/>
      <c r="AE21" s="501"/>
      <c r="AF21" s="25"/>
      <c r="AG21" s="25"/>
      <c r="AH21" s="25"/>
      <c r="AI21" s="25"/>
      <c r="AJ21" s="25"/>
      <c r="AK21" s="25"/>
      <c r="AL21" s="25" t="s">
        <v>169</v>
      </c>
      <c r="AM21" s="25"/>
      <c r="AN21" s="26"/>
      <c r="AO21" s="846"/>
      <c r="AP21" s="604" t="str">
        <f t="shared" ref="AP21" si="0">IFERROR(AO21/AD21,"Sin datos")</f>
        <v>Sin datos</v>
      </c>
      <c r="AQ21" s="441"/>
      <c r="AR21" s="404"/>
    </row>
    <row r="22" spans="1:92" ht="13.5" customHeight="1" outlineLevel="1" x14ac:dyDescent="0.2">
      <c r="A22" s="368" t="s">
        <v>558</v>
      </c>
      <c r="B22" s="585" t="s">
        <v>972</v>
      </c>
      <c r="C22" s="488"/>
      <c r="D22" s="430">
        <f>IF(E22="","",VLOOKUP(E22,BASE!$F$20:$H$25,2,FALSE))</f>
        <v>3</v>
      </c>
      <c r="E22" s="972" t="s">
        <v>540</v>
      </c>
      <c r="F22" s="973" t="s">
        <v>258</v>
      </c>
      <c r="G22" s="490">
        <f>IF(F22="","",VLOOKUP(F22,BASE!$B$15:$C$18,2,FALSE))</f>
        <v>2</v>
      </c>
      <c r="H22" s="353">
        <v>3</v>
      </c>
      <c r="I22" s="423">
        <f>+H22</f>
        <v>3</v>
      </c>
      <c r="J22" s="352">
        <v>3</v>
      </c>
      <c r="K22" s="352"/>
      <c r="L22" s="352"/>
      <c r="M22" s="352"/>
      <c r="N22" s="352"/>
      <c r="O22" s="353">
        <f>+J22+K22+L22+M22+N22</f>
        <v>3</v>
      </c>
      <c r="P22" s="352"/>
      <c r="Q22" s="352"/>
      <c r="R22" s="353">
        <f>+P22+Q22</f>
        <v>0</v>
      </c>
      <c r="S22" s="352"/>
      <c r="T22" s="352"/>
      <c r="U22" s="352"/>
      <c r="V22" s="353">
        <f>+S22+T22+U22</f>
        <v>0</v>
      </c>
      <c r="W22" s="352"/>
      <c r="X22" s="487">
        <f t="shared" ref="X22" si="1">+O22+R22+V22+W22</f>
        <v>3</v>
      </c>
      <c r="Y22" s="192" t="str">
        <f t="shared" ref="Y22" si="2">IF(I22-X22=0,"OK ",IF(I22-X22&gt;0,"AJUSTE",IF(I22-X22&lt;0,"AJUSTE")))</f>
        <v xml:space="preserve">OK </v>
      </c>
      <c r="Z22" s="406" t="str">
        <f t="shared" ref="Z22" si="3">IF(H22-I22=0," ",IF(H22-I22&gt;0,"JUSTIFICAR","AJUSTE"))</f>
        <v xml:space="preserve"> </v>
      </c>
      <c r="AA22" s="491">
        <f>ROUND((IF(D22=1,(BASE!$G$51*I22),IF(D22=2,(BASE!$G$52*I22),IF(D22=3,(BASE!$G$53*I22),IF(D22=4,(BASE!$G$54*I22),IF(D22=5,(BASE!$G$55*I22),IF(D22=6,(BASE!$G$56*I22),0)))))))/1000,0)*1000</f>
        <v>410000</v>
      </c>
      <c r="AB22" s="492">
        <v>0</v>
      </c>
      <c r="AC22" s="491">
        <f>AA22+AB22</f>
        <v>410000</v>
      </c>
      <c r="AD22" s="491">
        <f>IF(G22=3,AC22*BASE!$I$62,IF(G22=1,AC22*(BASE!$I$61),IF(G22=2,AC22*(BASE!$I$63),AC22*BASE!$I$64)))</f>
        <v>4660333.333333334</v>
      </c>
      <c r="AE22" s="409">
        <f>IF(I22&lt;10,0,IF(AC22&lt;=BASE!$C$3*2,BASE!$C$2,0)*(AD22/AC22))</f>
        <v>0</v>
      </c>
      <c r="AF22" s="393">
        <v>0</v>
      </c>
      <c r="AG22" s="392">
        <f t="shared" ref="AG22:AG85" si="4">IF(I22=0,0,IF(G22=5,0,((AD22/12)+(AF22/12))/3*2))</f>
        <v>258907.40740740745</v>
      </c>
      <c r="AH22" s="392">
        <f>ROUND((AD22/12)+(AE22/12)+(AF22/12)+(AG22/12),0)</f>
        <v>409937</v>
      </c>
      <c r="AI22" s="392">
        <f>((AD22/12)+(AE22/12)+(AF22/12)+(AG22/12))</f>
        <v>409936.7283950618</v>
      </c>
      <c r="AJ22" s="392">
        <f t="shared" ref="AJ22:AJ85" si="5">IF(G22=3,(AI22*11%),IF(G22=4,(AI22*12%),IF(G22=2,(AI22*12%),IF(G22=1,(AI22*10%),0))))</f>
        <v>49192.407407407416</v>
      </c>
      <c r="AK22" s="392">
        <f>IF(I22=0,0,IF(G22=5,0,(AC22+AF22/12)*12*BASE!$C$5))</f>
        <v>418200.00000000006</v>
      </c>
      <c r="AL22" s="392">
        <f>IF(I22=0,0,IF(G22=5,0,(AC22+AF22/12)*12*BASE!$C$7))</f>
        <v>590400</v>
      </c>
      <c r="AM22" s="392">
        <f>IF(I22=0,0,IF(G22=5,0,(AC22+AF22/12)*12*BASE!$C$9))</f>
        <v>25682.399999999998</v>
      </c>
      <c r="AN22" s="410">
        <f>IF(I22=0,0,IF(G22=5,0,(AD22+AF22+AG22)*BASE!$C$10))</f>
        <v>442731.66666666674</v>
      </c>
      <c r="AO22" s="844">
        <f>+AD22+AE22+AF22+AG22+AH22+AI22+AJ22+AK22+AL22+AM22+AN22</f>
        <v>7265320.9432098782</v>
      </c>
      <c r="AP22" s="606">
        <f>IFERROR(AO22/AD22,"Sin datos")</f>
        <v>1.5589702331471018</v>
      </c>
      <c r="AQ22" s="1148"/>
      <c r="AR22" s="1149"/>
      <c r="CG22" s="179">
        <v>0</v>
      </c>
      <c r="CH22" s="181">
        <v>1</v>
      </c>
      <c r="CI22" s="182" t="s">
        <v>168</v>
      </c>
    </row>
    <row r="23" spans="1:92" ht="13.5" customHeight="1" outlineLevel="1" x14ac:dyDescent="0.2">
      <c r="A23" s="368" t="s">
        <v>559</v>
      </c>
      <c r="B23" s="586" t="s">
        <v>973</v>
      </c>
      <c r="C23" s="427"/>
      <c r="D23" s="431">
        <f>IF(E23="","",VLOOKUP(E23,BASE!$F$20:$H$25,2,FALSE))</f>
        <v>3</v>
      </c>
      <c r="E23" s="399" t="s">
        <v>540</v>
      </c>
      <c r="F23" s="436" t="s">
        <v>863</v>
      </c>
      <c r="G23" s="437">
        <f>IF(F23="","",VLOOKUP(F23,BASE!$B$15:$C$18,2,FALSE))</f>
        <v>4</v>
      </c>
      <c r="H23" s="355">
        <v>7</v>
      </c>
      <c r="I23" s="423">
        <f t="shared" ref="I23:I86" si="6">+H23</f>
        <v>7</v>
      </c>
      <c r="J23" s="354">
        <v>3</v>
      </c>
      <c r="K23" s="354">
        <v>2</v>
      </c>
      <c r="L23" s="399">
        <v>1</v>
      </c>
      <c r="M23" s="399">
        <v>1</v>
      </c>
      <c r="N23" s="354"/>
      <c r="O23" s="355">
        <f t="shared" ref="O23:O86" si="7">+J23+K23+L23+M23+N23</f>
        <v>7</v>
      </c>
      <c r="P23" s="354"/>
      <c r="Q23" s="354"/>
      <c r="R23" s="355">
        <f t="shared" ref="R23:R86" si="8">+P23+Q23</f>
        <v>0</v>
      </c>
      <c r="S23" s="354"/>
      <c r="T23" s="354"/>
      <c r="U23" s="354"/>
      <c r="V23" s="355">
        <f t="shared" ref="V23:V86" si="9">+S23+T23+U23</f>
        <v>0</v>
      </c>
      <c r="W23" s="354"/>
      <c r="X23" s="477">
        <f t="shared" ref="X23:X86" si="10">+O23+R23+V23+W23</f>
        <v>7</v>
      </c>
      <c r="Y23" s="19" t="str">
        <f t="shared" ref="Y23:Y86" si="11">IF(I23-X23=0,"OK ",IF(I23-X23&gt;0,"AJUSTE",IF(I23-X23&lt;0,"AJUSTE")))</f>
        <v xml:space="preserve">OK </v>
      </c>
      <c r="Z23" s="404" t="str">
        <f t="shared" ref="Z23:Z86" si="12">IF(H23-I23=0," ",IF(H23-I23&gt;0,"JUSTIFICAR","AJUSTE"))</f>
        <v xml:space="preserve"> </v>
      </c>
      <c r="AA23" s="478">
        <f>ROUND((IF(D23=1,(BASE!$G$51*I23),IF(D23=2,(BASE!$G$52*I23),IF(D23=3,(BASE!$G$53*I23),IF(D23=4,(BASE!$G$54*I23),IF(D23=5,(BASE!$G$55*I23),IF(D23=6,(BASE!$G$56*I23),0)))))))/1000,0)*1000</f>
        <v>958000</v>
      </c>
      <c r="AB23" s="408">
        <v>581000</v>
      </c>
      <c r="AC23" s="478">
        <f t="shared" ref="AC23:AC86" si="13">AA23+AB23</f>
        <v>1539000</v>
      </c>
      <c r="AD23" s="478">
        <f>IF(G23=3,AC23*BASE!$I$62,IF(G23=1,AC23*(BASE!$I$61),IF(G23=2,AC23*(BASE!$I$63),AC23*BASE!$I$64)))</f>
        <v>17493300</v>
      </c>
      <c r="AE23" s="411">
        <f>IF(I23&lt;10,0,IF(AC23&lt;=BASE!$C$3*2,BASE!$C$2,0)*(AD23/AC23))</f>
        <v>0</v>
      </c>
      <c r="AF23" s="13">
        <v>0</v>
      </c>
      <c r="AG23" s="14">
        <f t="shared" si="4"/>
        <v>971850</v>
      </c>
      <c r="AH23" s="14">
        <f t="shared" ref="AH23:AH86" si="14">ROUND((AD23/12)+(AE23/12)+(AF23/12)+(AG23/12),0)</f>
        <v>1538763</v>
      </c>
      <c r="AI23" s="14">
        <f t="shared" ref="AI23:AI86" si="15">((AD23/12)+(AE23/12)+(AF23/12)+(AG23/12))</f>
        <v>1538762.5</v>
      </c>
      <c r="AJ23" s="14">
        <f t="shared" si="5"/>
        <v>184651.5</v>
      </c>
      <c r="AK23" s="14">
        <f>IF(I23=0,0,IF(G23=5,0,(AC23+AF23/12)*12*BASE!$C$5))</f>
        <v>1569780</v>
      </c>
      <c r="AL23" s="14">
        <f>IF(I23=0,0,IF(G23=5,0,(AC23+AF23/12)*12*BASE!$C$7))</f>
        <v>2216160</v>
      </c>
      <c r="AM23" s="14">
        <f>IF(I23=0,0,IF(G23=5,0,(AC23+AF23/12)*12*BASE!$C$9))</f>
        <v>96402.959999999992</v>
      </c>
      <c r="AN23" s="412">
        <f>IF(I23=0,0,IF(G23=5,0,(AD23+AF23+AG23)*BASE!$C$10))</f>
        <v>1661863.5</v>
      </c>
      <c r="AO23" s="837">
        <f>+AD23+AE23+AF23+AG23+AH23+AI23+AJ23+AK23+AL23+AM23+AN23</f>
        <v>27271533.460000001</v>
      </c>
      <c r="AP23" s="606">
        <f t="shared" ref="AP23:AP86" si="16">IFERROR(AO23/AD23,"Sin datos")</f>
        <v>1.5589702034493207</v>
      </c>
      <c r="AQ23" s="1148"/>
      <c r="AR23" s="1149"/>
      <c r="CG23" s="179">
        <v>0</v>
      </c>
      <c r="CH23" s="181">
        <v>1</v>
      </c>
      <c r="CI23" s="182" t="s">
        <v>168</v>
      </c>
    </row>
    <row r="24" spans="1:92" ht="13.5" customHeight="1" outlineLevel="1" x14ac:dyDescent="0.2">
      <c r="A24" s="368" t="s">
        <v>560</v>
      </c>
      <c r="B24" s="477" t="s">
        <v>974</v>
      </c>
      <c r="C24" s="427"/>
      <c r="D24" s="431">
        <f>IF(E24="","",VLOOKUP(E24,BASE!$F$20:$H$25,2,FALSE))</f>
        <v>4</v>
      </c>
      <c r="E24" s="399" t="s">
        <v>539</v>
      </c>
      <c r="F24" s="436" t="s">
        <v>863</v>
      </c>
      <c r="G24" s="437">
        <f>IF(F24="","",VLOOKUP(F24,BASE!$B$15:$C$18,2,FALSE))</f>
        <v>4</v>
      </c>
      <c r="H24" s="355">
        <v>20</v>
      </c>
      <c r="I24" s="423">
        <f t="shared" si="6"/>
        <v>20</v>
      </c>
      <c r="J24" s="354">
        <v>10</v>
      </c>
      <c r="K24" s="354">
        <v>4</v>
      </c>
      <c r="L24" s="399">
        <v>3</v>
      </c>
      <c r="M24" s="399">
        <v>2</v>
      </c>
      <c r="N24" s="399">
        <v>1</v>
      </c>
      <c r="O24" s="355">
        <f t="shared" si="7"/>
        <v>20</v>
      </c>
      <c r="P24" s="354"/>
      <c r="Q24" s="354"/>
      <c r="R24" s="355">
        <f t="shared" si="8"/>
        <v>0</v>
      </c>
      <c r="S24" s="354"/>
      <c r="T24" s="354"/>
      <c r="U24" s="354"/>
      <c r="V24" s="355">
        <f t="shared" si="9"/>
        <v>0</v>
      </c>
      <c r="W24" s="354"/>
      <c r="X24" s="477">
        <f t="shared" si="10"/>
        <v>20</v>
      </c>
      <c r="Y24" s="19" t="str">
        <f t="shared" si="11"/>
        <v xml:space="preserve">OK </v>
      </c>
      <c r="Z24" s="404" t="str">
        <f t="shared" si="12"/>
        <v xml:space="preserve"> </v>
      </c>
      <c r="AA24" s="478">
        <f>ROUND((IF(D24=1,(BASE!$G$51*I24),IF(D24=2,(BASE!$G$52*I24),IF(D24=3,(BASE!$G$53*I24),IF(D24=4,(BASE!$G$54*I24),IF(D24=5,(BASE!$G$55*I24),IF(D24=6,(BASE!$G$56*I24),0)))))))/1000,0)*1000</f>
        <v>2228000</v>
      </c>
      <c r="AB24" s="408">
        <v>0</v>
      </c>
      <c r="AC24" s="478">
        <f t="shared" si="13"/>
        <v>2228000</v>
      </c>
      <c r="AD24" s="624">
        <f>IF(G24=3,AC24*BASE!$I$62,IF(G24=1,AC24*(BASE!$I$61),IF(G24=2,AC24*(BASE!$I$63),AC24*BASE!$I$64)))</f>
        <v>25324933.333333336</v>
      </c>
      <c r="AE24" s="14">
        <f>IF(I24&lt;10,0,IF(AC24&lt;=BASE!$C$3*2,BASE!$C$2,0)*(AD24/AC24))</f>
        <v>0</v>
      </c>
      <c r="AF24" s="13">
        <v>0</v>
      </c>
      <c r="AG24" s="14">
        <f t="shared" si="4"/>
        <v>1406940.7407407409</v>
      </c>
      <c r="AH24" s="14">
        <f t="shared" si="14"/>
        <v>2227656</v>
      </c>
      <c r="AI24" s="14">
        <f t="shared" si="15"/>
        <v>2227656.1728395065</v>
      </c>
      <c r="AJ24" s="14">
        <f t="shared" si="5"/>
        <v>267318.74074074079</v>
      </c>
      <c r="AK24" s="14">
        <f>IF(I24=0,0,IF(G24=5,0,(AC24+AF24/12)*12*BASE!$C$5))</f>
        <v>2272560</v>
      </c>
      <c r="AL24" s="14">
        <f>IF(I24=0,0,IF(G24=5,0,(AC24+AF24/12)*12*BASE!$C$7))</f>
        <v>3208320</v>
      </c>
      <c r="AM24" s="14">
        <f>IF(I24=0,0,IF(G24=5,0,(AC24+AF24/12)*12*BASE!$C$9))</f>
        <v>139561.91999999998</v>
      </c>
      <c r="AN24" s="412">
        <f>IF(I24=0,0,IF(G24=5,0,(AD24+AF24+AG24)*BASE!$C$10))</f>
        <v>2405868.666666667</v>
      </c>
      <c r="AO24" s="837">
        <f>+AD24+AE24+AF24+AG24+AH24+AI24+AJ24+AK24+AL24+AM24+AN24</f>
        <v>39480815.574320994</v>
      </c>
      <c r="AP24" s="606">
        <f t="shared" si="16"/>
        <v>1.558970168042074</v>
      </c>
      <c r="AQ24" s="1148"/>
      <c r="AR24" s="1149"/>
      <c r="CG24" s="179">
        <v>0</v>
      </c>
      <c r="CH24" s="181">
        <v>1</v>
      </c>
      <c r="CI24" s="182" t="s">
        <v>168</v>
      </c>
    </row>
    <row r="25" spans="1:92" ht="13.5" customHeight="1" outlineLevel="1" x14ac:dyDescent="0.2">
      <c r="A25" s="368" t="s">
        <v>560</v>
      </c>
      <c r="B25" s="586" t="s">
        <v>975</v>
      </c>
      <c r="C25" s="427"/>
      <c r="D25" s="431">
        <f>IF(E25="","",VLOOKUP(E25,BASE!$F$20:$H$25,2,FALSE))</f>
        <v>5</v>
      </c>
      <c r="E25" s="399" t="s">
        <v>538</v>
      </c>
      <c r="F25" s="436" t="s">
        <v>546</v>
      </c>
      <c r="G25" s="437">
        <f>IF(F25="","",VLOOKUP(F25,BASE!$B$15:$C$18,2,FALSE))</f>
        <v>3</v>
      </c>
      <c r="H25" s="355">
        <v>10</v>
      </c>
      <c r="I25" s="423">
        <f t="shared" si="6"/>
        <v>10</v>
      </c>
      <c r="J25" s="354">
        <v>4</v>
      </c>
      <c r="K25" s="354">
        <v>2</v>
      </c>
      <c r="L25" s="399">
        <v>2</v>
      </c>
      <c r="M25" s="399">
        <v>2</v>
      </c>
      <c r="N25" s="354"/>
      <c r="O25" s="355">
        <f t="shared" si="7"/>
        <v>10</v>
      </c>
      <c r="P25" s="354"/>
      <c r="Q25" s="354"/>
      <c r="R25" s="355">
        <f t="shared" si="8"/>
        <v>0</v>
      </c>
      <c r="S25" s="354"/>
      <c r="T25" s="354"/>
      <c r="U25" s="354"/>
      <c r="V25" s="355">
        <f t="shared" si="9"/>
        <v>0</v>
      </c>
      <c r="W25" s="354"/>
      <c r="X25" s="477">
        <f t="shared" si="10"/>
        <v>10</v>
      </c>
      <c r="Y25" s="19" t="str">
        <f t="shared" si="11"/>
        <v xml:space="preserve">OK </v>
      </c>
      <c r="Z25" s="404" t="str">
        <f t="shared" si="12"/>
        <v xml:space="preserve"> </v>
      </c>
      <c r="AA25" s="478">
        <f>ROUND((IF(D25=1,(BASE!$G$51*I25),IF(D25=2,(BASE!$G$52*I25),IF(D25=3,(BASE!$G$53*I25),IF(D25=4,(BASE!$G$54*I25),IF(D25=5,(BASE!$G$55*I25),IF(D25=6,(BASE!$G$56*I25),0)))))))/1000,0)*1000</f>
        <v>890000</v>
      </c>
      <c r="AB25" s="408">
        <v>0</v>
      </c>
      <c r="AC25" s="478">
        <f t="shared" si="13"/>
        <v>890000</v>
      </c>
      <c r="AD25" s="478">
        <f>IF(G25=3,AC25*BASE!$I$62,IF(G25=1,AC25*(BASE!$I$61),IF(G25=2,AC25*(BASE!$I$63),AC25*BASE!$I$64)))</f>
        <v>9523000</v>
      </c>
      <c r="AE25" s="411">
        <f>IF(I25&lt;10,0,IF(AC25&lt;=BASE!$C$3*2,BASE!$C$2,0)*(AD25/AC25))</f>
        <v>943857.7</v>
      </c>
      <c r="AF25" s="13">
        <v>0</v>
      </c>
      <c r="AG25" s="14">
        <f t="shared" si="4"/>
        <v>529055.55555555562</v>
      </c>
      <c r="AH25" s="14">
        <f t="shared" si="14"/>
        <v>916326</v>
      </c>
      <c r="AI25" s="14">
        <f t="shared" si="15"/>
        <v>916326.10462962964</v>
      </c>
      <c r="AJ25" s="14">
        <f t="shared" si="5"/>
        <v>100795.87150925926</v>
      </c>
      <c r="AK25" s="14">
        <f>IF(I25=0,0,IF(G25=5,0,(AC25+AF25/12)*12*BASE!$C$5))</f>
        <v>907800.00000000012</v>
      </c>
      <c r="AL25" s="14">
        <f>IF(I25=0,0,IF(G25=5,0,(AC25+AF25/12)*12*BASE!$C$7))</f>
        <v>1281600</v>
      </c>
      <c r="AM25" s="14">
        <f>IF(I25=0,0,IF(G25=5,0,(AC25+AF25/12)*12*BASE!$C$9))</f>
        <v>55749.599999999999</v>
      </c>
      <c r="AN25" s="412">
        <f>IF(I25=0,0,IF(G25=5,0,(AD25+AF25+AG25)*BASE!$C$10))</f>
        <v>904685</v>
      </c>
      <c r="AO25" s="837">
        <f t="shared" ref="AO25:AO63" si="17">+AD25+AE25+AF25+AG25+AH25+AI25+AJ25+AK25+AL25+AM25+AN25</f>
        <v>16079195.831694445</v>
      </c>
      <c r="AP25" s="606">
        <f t="shared" si="16"/>
        <v>1.6884590813498315</v>
      </c>
      <c r="AQ25" s="1148"/>
      <c r="AR25" s="1149"/>
      <c r="CG25" s="179">
        <v>0</v>
      </c>
      <c r="CH25" s="181">
        <v>1</v>
      </c>
      <c r="CI25" s="182" t="s">
        <v>168</v>
      </c>
    </row>
    <row r="26" spans="1:92" ht="13.5" customHeight="1" outlineLevel="1" x14ac:dyDescent="0.2">
      <c r="A26" s="368" t="s">
        <v>560</v>
      </c>
      <c r="B26" s="477" t="s">
        <v>976</v>
      </c>
      <c r="C26" s="427"/>
      <c r="D26" s="431">
        <f>IF(E26="","",VLOOKUP(E26,BASE!$F$20:$H$25,2,FALSE))</f>
        <v>5</v>
      </c>
      <c r="E26" s="599" t="s">
        <v>538</v>
      </c>
      <c r="F26" s="436" t="s">
        <v>863</v>
      </c>
      <c r="G26" s="437">
        <f>IF(F26="","",VLOOKUP(F26,BASE!$B$15:$C$18,2,FALSE))</f>
        <v>4</v>
      </c>
      <c r="H26" s="355">
        <v>40</v>
      </c>
      <c r="I26" s="423">
        <f t="shared" si="6"/>
        <v>40</v>
      </c>
      <c r="J26" s="399">
        <v>6</v>
      </c>
      <c r="K26" s="399">
        <v>2</v>
      </c>
      <c r="L26" s="399">
        <v>2</v>
      </c>
      <c r="M26" s="399">
        <v>1</v>
      </c>
      <c r="N26" s="399">
        <v>2</v>
      </c>
      <c r="O26" s="355">
        <f t="shared" si="7"/>
        <v>13</v>
      </c>
      <c r="P26" s="354"/>
      <c r="Q26" s="354"/>
      <c r="R26" s="355">
        <f t="shared" si="8"/>
        <v>0</v>
      </c>
      <c r="S26" s="354">
        <v>15</v>
      </c>
      <c r="T26" s="354">
        <v>6</v>
      </c>
      <c r="U26" s="354">
        <v>6</v>
      </c>
      <c r="V26" s="355">
        <f t="shared" si="9"/>
        <v>27</v>
      </c>
      <c r="W26" s="354"/>
      <c r="X26" s="477">
        <f t="shared" si="10"/>
        <v>40</v>
      </c>
      <c r="Y26" s="19" t="str">
        <f t="shared" si="11"/>
        <v xml:space="preserve">OK </v>
      </c>
      <c r="Z26" s="404" t="str">
        <f t="shared" si="12"/>
        <v xml:space="preserve"> </v>
      </c>
      <c r="AA26" s="478">
        <f>ROUND((IF(D26=1,(BASE!$G$51*I26),IF(D26=2,(BASE!$G$52*I26),IF(D26=3,(BASE!$G$53*I26),IF(D26=4,(BASE!$G$54*I26),IF(D26=5,(BASE!$G$55*I26),IF(D26=6,(BASE!$G$56*I26),0)))))))/1000,0)*1000</f>
        <v>3560000</v>
      </c>
      <c r="AB26" s="408">
        <v>0</v>
      </c>
      <c r="AC26" s="478">
        <f t="shared" si="13"/>
        <v>3560000</v>
      </c>
      <c r="AD26" s="478">
        <f>IF(G26=3,AC26*BASE!$I$62,IF(G26=1,AC26*(BASE!$I$61),IF(G26=2,AC26*(BASE!$I$63),AC26*BASE!$I$64)))</f>
        <v>40465333.333333336</v>
      </c>
      <c r="AE26" s="411">
        <f>IF(I26&lt;10,0,IF(AC26&lt;=BASE!$C$3*2,BASE!$C$2,0)*(AD26/AC26))</f>
        <v>0</v>
      </c>
      <c r="AF26" s="13">
        <v>0</v>
      </c>
      <c r="AG26" s="14">
        <f t="shared" si="4"/>
        <v>2248074.0740740742</v>
      </c>
      <c r="AH26" s="14">
        <f t="shared" si="14"/>
        <v>3559451</v>
      </c>
      <c r="AI26" s="14">
        <f t="shared" si="15"/>
        <v>3559450.617283951</v>
      </c>
      <c r="AJ26" s="14">
        <f t="shared" si="5"/>
        <v>427134.0740740741</v>
      </c>
      <c r="AK26" s="14">
        <f>IF(I26=0,0,IF(G26=5,0,(AC26+AF26/12)*12*BASE!$C$5))</f>
        <v>3631200.0000000005</v>
      </c>
      <c r="AL26" s="14">
        <f>IF(I26=0,0,IF(G26=5,0,(AC26+AF26/12)*12*BASE!$C$7))</f>
        <v>5126400</v>
      </c>
      <c r="AM26" s="14">
        <f>IF(I26=0,0,IF(G26=5,0,(AC26+AF26/12)*12*BASE!$C$9))</f>
        <v>222998.39999999999</v>
      </c>
      <c r="AN26" s="412">
        <f>IF(I26=0,0,IF(G26=5,0,(AD26+AF26+AG26)*BASE!$C$10))</f>
        <v>3844206.666666667</v>
      </c>
      <c r="AO26" s="837">
        <f t="shared" si="17"/>
        <v>63084248.165432096</v>
      </c>
      <c r="AP26" s="677">
        <f t="shared" si="16"/>
        <v>1.5589701843248236</v>
      </c>
      <c r="AQ26" s="1148"/>
      <c r="AR26" s="1149"/>
      <c r="CG26" s="179">
        <v>0</v>
      </c>
      <c r="CH26" s="181">
        <v>1</v>
      </c>
      <c r="CI26" s="182" t="s">
        <v>168</v>
      </c>
    </row>
    <row r="27" spans="1:92" ht="13.5" customHeight="1" outlineLevel="1" x14ac:dyDescent="0.2">
      <c r="A27" s="368" t="s">
        <v>560</v>
      </c>
      <c r="B27" s="586" t="s">
        <v>977</v>
      </c>
      <c r="C27" s="427"/>
      <c r="D27" s="431">
        <f>IF(E27="","",VLOOKUP(E27,BASE!$F$20:$H$25,2,FALSE))</f>
        <v>4</v>
      </c>
      <c r="E27" s="399" t="s">
        <v>539</v>
      </c>
      <c r="F27" s="436" t="s">
        <v>546</v>
      </c>
      <c r="G27" s="437">
        <f>IF(F27="","",VLOOKUP(F27,BASE!$B$15:$C$18,2,FALSE))</f>
        <v>3</v>
      </c>
      <c r="H27" s="355">
        <v>10</v>
      </c>
      <c r="I27" s="423">
        <f t="shared" si="6"/>
        <v>10</v>
      </c>
      <c r="J27" s="399">
        <v>1</v>
      </c>
      <c r="K27" s="399">
        <v>1</v>
      </c>
      <c r="L27" s="399">
        <v>1</v>
      </c>
      <c r="M27" s="399">
        <v>1</v>
      </c>
      <c r="N27" s="354"/>
      <c r="O27" s="355">
        <f t="shared" si="7"/>
        <v>4</v>
      </c>
      <c r="P27" s="354"/>
      <c r="Q27" s="354"/>
      <c r="R27" s="355">
        <f t="shared" si="8"/>
        <v>0</v>
      </c>
      <c r="S27" s="354">
        <v>4</v>
      </c>
      <c r="T27" s="354"/>
      <c r="U27" s="354"/>
      <c r="V27" s="355">
        <f t="shared" si="9"/>
        <v>4</v>
      </c>
      <c r="W27" s="354">
        <v>2</v>
      </c>
      <c r="X27" s="477">
        <f t="shared" si="10"/>
        <v>10</v>
      </c>
      <c r="Y27" s="19" t="str">
        <f t="shared" si="11"/>
        <v xml:space="preserve">OK </v>
      </c>
      <c r="Z27" s="404" t="str">
        <f t="shared" si="12"/>
        <v xml:space="preserve"> </v>
      </c>
      <c r="AA27" s="478">
        <f>ROUND((IF(D27=1,(BASE!$G$51*I27),IF(D27=2,(BASE!$G$52*I27),IF(D27=3,(BASE!$G$53*I27),IF(D27=4,(BASE!$G$54*I27),IF(D27=5,(BASE!$G$55*I27),IF(D27=6,(BASE!$G$56*I27),0)))))))/1000,0)*1000</f>
        <v>1114000</v>
      </c>
      <c r="AB27" s="408">
        <v>0</v>
      </c>
      <c r="AC27" s="478">
        <f t="shared" si="13"/>
        <v>1114000</v>
      </c>
      <c r="AD27" s="478">
        <f>IF(G27=3,AC27*BASE!$I$62,IF(G27=1,AC27*(BASE!$I$61),IF(G27=2,AC27*(BASE!$I$63),AC27*BASE!$I$64)))</f>
        <v>11919800</v>
      </c>
      <c r="AE27" s="411">
        <f>IF(I27&lt;10,0,IF(AC27&lt;=BASE!$C$3*2,BASE!$C$2,0)*(AD27/AC27))</f>
        <v>943857.7</v>
      </c>
      <c r="AF27" s="13">
        <v>0</v>
      </c>
      <c r="AG27" s="14">
        <f t="shared" si="4"/>
        <v>662211.11111111112</v>
      </c>
      <c r="AH27" s="14">
        <f t="shared" si="14"/>
        <v>1127156</v>
      </c>
      <c r="AI27" s="14">
        <f t="shared" si="15"/>
        <v>1127155.7342592592</v>
      </c>
      <c r="AJ27" s="14">
        <f t="shared" si="5"/>
        <v>123987.13076851852</v>
      </c>
      <c r="AK27" s="14">
        <f>IF(I27=0,0,IF(G27=5,0,(AC27+AF27/12)*12*BASE!$C$5))</f>
        <v>1136280</v>
      </c>
      <c r="AL27" s="14">
        <f>IF(I27=0,0,IF(G27=5,0,(AC27+AF27/12)*12*BASE!$C$7))</f>
        <v>1604160</v>
      </c>
      <c r="AM27" s="14">
        <f>IF(I27=0,0,IF(G27=5,0,(AC27+AF27/12)*12*BASE!$C$9))</f>
        <v>69780.959999999992</v>
      </c>
      <c r="AN27" s="412">
        <f>IF(I27=0,0,IF(G27=5,0,(AD27+AF27+AG27)*BASE!$C$10))</f>
        <v>1132381</v>
      </c>
      <c r="AO27" s="837">
        <f t="shared" si="17"/>
        <v>19846769.63613889</v>
      </c>
      <c r="AP27" s="677">
        <f t="shared" si="16"/>
        <v>1.6650253893638223</v>
      </c>
      <c r="AQ27" s="1148"/>
      <c r="AR27" s="1149"/>
      <c r="CG27" s="179">
        <v>0</v>
      </c>
      <c r="CH27" s="181">
        <v>1</v>
      </c>
      <c r="CI27" s="182" t="s">
        <v>168</v>
      </c>
    </row>
    <row r="28" spans="1:92" ht="13.5" customHeight="1" outlineLevel="1" x14ac:dyDescent="0.2">
      <c r="A28" s="368" t="s">
        <v>560</v>
      </c>
      <c r="B28" s="477" t="s">
        <v>978</v>
      </c>
      <c r="C28" s="427"/>
      <c r="D28" s="431">
        <f>IF(E28="","",VLOOKUP(E28,BASE!$F$20:$H$25,2,FALSE))</f>
        <v>4</v>
      </c>
      <c r="E28" s="399" t="s">
        <v>539</v>
      </c>
      <c r="F28" s="436" t="s">
        <v>546</v>
      </c>
      <c r="G28" s="437">
        <f>IF(F28="","",VLOOKUP(F28,BASE!$B$15:$C$18,2,FALSE))</f>
        <v>3</v>
      </c>
      <c r="H28" s="355">
        <v>10</v>
      </c>
      <c r="I28" s="423">
        <v>20</v>
      </c>
      <c r="J28" s="354">
        <v>2</v>
      </c>
      <c r="K28" s="354">
        <v>2</v>
      </c>
      <c r="L28" s="399">
        <v>2</v>
      </c>
      <c r="M28" s="399">
        <v>2</v>
      </c>
      <c r="N28" s="399">
        <v>2</v>
      </c>
      <c r="O28" s="355">
        <f t="shared" si="7"/>
        <v>10</v>
      </c>
      <c r="P28" s="354"/>
      <c r="Q28" s="354"/>
      <c r="R28" s="355">
        <f t="shared" si="8"/>
        <v>0</v>
      </c>
      <c r="S28" s="354">
        <v>2</v>
      </c>
      <c r="T28" s="354"/>
      <c r="U28" s="354"/>
      <c r="V28" s="355">
        <f t="shared" si="9"/>
        <v>2</v>
      </c>
      <c r="W28" s="354">
        <v>8</v>
      </c>
      <c r="X28" s="477">
        <f t="shared" si="10"/>
        <v>20</v>
      </c>
      <c r="Y28" s="19" t="str">
        <f t="shared" si="11"/>
        <v xml:space="preserve">OK </v>
      </c>
      <c r="Z28" s="404" t="str">
        <f t="shared" si="12"/>
        <v>AJUSTE</v>
      </c>
      <c r="AA28" s="478">
        <f>ROUND((IF(D28=1,(BASE!$G$51*I28),IF(D28=2,(BASE!$G$52*I28),IF(D28=3,(BASE!$G$53*I28),IF(D28=4,(BASE!$G$54*I28),IF(D28=5,(BASE!$G$55*I28),IF(D28=6,(BASE!$G$56*I28),0)))))))/1000,0)*1000</f>
        <v>2228000</v>
      </c>
      <c r="AB28" s="408">
        <v>0</v>
      </c>
      <c r="AC28" s="478">
        <f t="shared" si="13"/>
        <v>2228000</v>
      </c>
      <c r="AD28" s="478">
        <f>IF(G28=3,AC28*BASE!$I$62,IF(G28=1,AC28*(BASE!$I$61),IF(G28=2,AC28*(BASE!$I$63),AC28*BASE!$I$64)))</f>
        <v>23839600</v>
      </c>
      <c r="AE28" s="411">
        <f>IF(I28&lt;10,0,IF(AC28&lt;=BASE!$C$3*2,BASE!$C$2,0)*(AD28/AC28))</f>
        <v>0</v>
      </c>
      <c r="AF28" s="13">
        <v>0</v>
      </c>
      <c r="AG28" s="14">
        <f t="shared" si="4"/>
        <v>1324422.2222222222</v>
      </c>
      <c r="AH28" s="14">
        <f t="shared" si="14"/>
        <v>2097002</v>
      </c>
      <c r="AI28" s="14">
        <f t="shared" si="15"/>
        <v>2097001.8518518517</v>
      </c>
      <c r="AJ28" s="14">
        <f t="shared" si="5"/>
        <v>230670.20370370368</v>
      </c>
      <c r="AK28" s="14">
        <f>IF(I28=0,0,IF(G28=5,0,(AC28+AF28/12)*12*BASE!$C$5))</f>
        <v>2272560</v>
      </c>
      <c r="AL28" s="14">
        <f>IF(I28=0,0,IF(G28=5,0,(AC28+AF28/12)*12*BASE!$C$7))</f>
        <v>3208320</v>
      </c>
      <c r="AM28" s="14">
        <f>IF(I28=0,0,IF(G28=5,0,(AC28+AF28/12)*12*BASE!$C$9))</f>
        <v>139561.91999999998</v>
      </c>
      <c r="AN28" s="412">
        <f>IF(I28=0,0,IF(G28=5,0,(AD28+AF28+AG28)*BASE!$C$10))</f>
        <v>2264762</v>
      </c>
      <c r="AO28" s="837">
        <f t="shared" si="17"/>
        <v>37473900.197777778</v>
      </c>
      <c r="AP28" s="677">
        <f t="shared" si="16"/>
        <v>1.571918161285331</v>
      </c>
      <c r="AQ28" s="1150" t="s">
        <v>1419</v>
      </c>
      <c r="AR28" s="1149"/>
      <c r="CG28" s="179">
        <v>0</v>
      </c>
      <c r="CH28" s="181">
        <v>1</v>
      </c>
      <c r="CI28" s="182" t="s">
        <v>168</v>
      </c>
    </row>
    <row r="29" spans="1:92" ht="13.5" customHeight="1" outlineLevel="1" x14ac:dyDescent="0.2">
      <c r="A29" s="368" t="s">
        <v>560</v>
      </c>
      <c r="B29" s="477" t="s">
        <v>979</v>
      </c>
      <c r="C29" s="427"/>
      <c r="D29" s="431">
        <f>IF(E29="","",VLOOKUP(E29,BASE!$F$20:$H$25,2,FALSE))</f>
        <v>5</v>
      </c>
      <c r="E29" s="399" t="s">
        <v>538</v>
      </c>
      <c r="F29" s="436" t="s">
        <v>546</v>
      </c>
      <c r="G29" s="437">
        <f>IF(F29="","",VLOOKUP(F29,BASE!$B$15:$C$18,2,FALSE))</f>
        <v>3</v>
      </c>
      <c r="H29" s="355">
        <v>10</v>
      </c>
      <c r="I29" s="423">
        <f t="shared" si="6"/>
        <v>10</v>
      </c>
      <c r="J29" s="399">
        <v>4</v>
      </c>
      <c r="K29" s="399">
        <v>2</v>
      </c>
      <c r="L29" s="399">
        <v>1</v>
      </c>
      <c r="M29" s="354"/>
      <c r="N29" s="354"/>
      <c r="O29" s="355">
        <f t="shared" si="7"/>
        <v>7</v>
      </c>
      <c r="P29" s="354"/>
      <c r="Q29" s="354"/>
      <c r="R29" s="355">
        <f t="shared" si="8"/>
        <v>0</v>
      </c>
      <c r="S29" s="399">
        <v>3</v>
      </c>
      <c r="T29" s="354"/>
      <c r="U29" s="354"/>
      <c r="V29" s="355">
        <f t="shared" si="9"/>
        <v>3</v>
      </c>
      <c r="W29" s="354"/>
      <c r="X29" s="477">
        <f t="shared" si="10"/>
        <v>10</v>
      </c>
      <c r="Y29" s="19" t="str">
        <f t="shared" si="11"/>
        <v xml:space="preserve">OK </v>
      </c>
      <c r="Z29" s="404" t="str">
        <f t="shared" si="12"/>
        <v xml:space="preserve"> </v>
      </c>
      <c r="AA29" s="478">
        <f>ROUND((IF(D29=1,(BASE!$G$51*I29),IF(D29=2,(BASE!$G$52*I29),IF(D29=3,(BASE!$G$53*I29),IF(D29=4,(BASE!$G$54*I29),IF(D29=5,(BASE!$G$55*I29),IF(D29=6,(BASE!$G$56*I29),0)))))))/1000,0)*1000</f>
        <v>890000</v>
      </c>
      <c r="AB29" s="408">
        <v>0</v>
      </c>
      <c r="AC29" s="478">
        <f t="shared" si="13"/>
        <v>890000</v>
      </c>
      <c r="AD29" s="478">
        <f>IF(G29=3,AC29*BASE!$I$62,IF(G29=1,AC29*(BASE!$I$61),IF(G29=2,AC29*(BASE!$I$63),AC29*BASE!$I$64)))</f>
        <v>9523000</v>
      </c>
      <c r="AE29" s="411">
        <f>IF(I29&lt;10,0,IF(AC29&lt;=BASE!$C$3*2,BASE!$C$2,0)*(AD29/AC29))</f>
        <v>943857.7</v>
      </c>
      <c r="AF29" s="13">
        <v>0</v>
      </c>
      <c r="AG29" s="14">
        <f t="shared" si="4"/>
        <v>529055.55555555562</v>
      </c>
      <c r="AH29" s="14">
        <f t="shared" si="14"/>
        <v>916326</v>
      </c>
      <c r="AI29" s="14">
        <f t="shared" si="15"/>
        <v>916326.10462962964</v>
      </c>
      <c r="AJ29" s="14">
        <f t="shared" si="5"/>
        <v>100795.87150925926</v>
      </c>
      <c r="AK29" s="14">
        <f>IF(I29=0,0,IF(G29=5,0,(AC29+AF29/12)*12*BASE!$C$5))</f>
        <v>907800.00000000012</v>
      </c>
      <c r="AL29" s="14">
        <f>IF(I29=0,0,IF(G29=5,0,(AC29+AF29/12)*12*BASE!$C$7))</f>
        <v>1281600</v>
      </c>
      <c r="AM29" s="14">
        <f>IF(I29=0,0,IF(G29=5,0,(AC29+AF29/12)*12*BASE!$C$9))</f>
        <v>55749.599999999999</v>
      </c>
      <c r="AN29" s="412">
        <f>IF(I29=0,0,IF(G29=5,0,(AD29+AF29+AG29)*BASE!$C$10))</f>
        <v>904685</v>
      </c>
      <c r="AO29" s="837">
        <f t="shared" si="17"/>
        <v>16079195.831694445</v>
      </c>
      <c r="AP29" s="677">
        <f t="shared" si="16"/>
        <v>1.6884590813498315</v>
      </c>
      <c r="AQ29" s="1148"/>
      <c r="AR29" s="1149"/>
      <c r="CG29" s="179">
        <v>0</v>
      </c>
      <c r="CH29" s="181">
        <v>1</v>
      </c>
      <c r="CI29" s="182" t="s">
        <v>168</v>
      </c>
    </row>
    <row r="30" spans="1:92" ht="13.5" customHeight="1" outlineLevel="1" x14ac:dyDescent="0.2">
      <c r="A30" s="368" t="s">
        <v>560</v>
      </c>
      <c r="B30" s="477" t="s">
        <v>980</v>
      </c>
      <c r="C30" s="427"/>
      <c r="D30" s="431">
        <f>IF(E30="","",VLOOKUP(E30,BASE!$F$20:$H$25,2,FALSE))</f>
        <v>5</v>
      </c>
      <c r="E30" s="399" t="s">
        <v>538</v>
      </c>
      <c r="F30" s="436" t="s">
        <v>546</v>
      </c>
      <c r="G30" s="437">
        <f>IF(F30="","",VLOOKUP(F30,BASE!$B$15:$C$18,2,FALSE))</f>
        <v>3</v>
      </c>
      <c r="H30" s="355">
        <v>20</v>
      </c>
      <c r="I30" s="423">
        <f t="shared" si="6"/>
        <v>20</v>
      </c>
      <c r="J30" s="399">
        <v>10</v>
      </c>
      <c r="K30" s="399">
        <v>4</v>
      </c>
      <c r="L30" s="399">
        <v>4</v>
      </c>
      <c r="M30" s="399">
        <v>2</v>
      </c>
      <c r="N30" s="354"/>
      <c r="O30" s="355">
        <f t="shared" si="7"/>
        <v>20</v>
      </c>
      <c r="P30" s="354"/>
      <c r="Q30" s="354"/>
      <c r="R30" s="355">
        <f t="shared" si="8"/>
        <v>0</v>
      </c>
      <c r="S30" s="354"/>
      <c r="T30" s="354"/>
      <c r="U30" s="354"/>
      <c r="V30" s="355">
        <f t="shared" si="9"/>
        <v>0</v>
      </c>
      <c r="W30" s="354"/>
      <c r="X30" s="477">
        <f t="shared" si="10"/>
        <v>20</v>
      </c>
      <c r="Y30" s="19" t="str">
        <f t="shared" si="11"/>
        <v xml:space="preserve">OK </v>
      </c>
      <c r="Z30" s="404" t="str">
        <f t="shared" si="12"/>
        <v xml:space="preserve"> </v>
      </c>
      <c r="AA30" s="478">
        <f>ROUND((IF(D30=1,(BASE!$G$51*I30),IF(D30=2,(BASE!$G$52*I30),IF(D30=3,(BASE!$G$53*I30),IF(D30=4,(BASE!$G$54*I30),IF(D30=5,(BASE!$G$55*I30),IF(D30=6,(BASE!$G$56*I30),0)))))))/1000,0)*1000</f>
        <v>1780000</v>
      </c>
      <c r="AB30" s="408">
        <v>0</v>
      </c>
      <c r="AC30" s="478">
        <f t="shared" si="13"/>
        <v>1780000</v>
      </c>
      <c r="AD30" s="478">
        <f>IF(G30=3,AC30*BASE!$I$62,IF(G30=1,AC30*(BASE!$I$61),IF(G30=2,AC30*(BASE!$I$63),AC30*BASE!$I$64)))</f>
        <v>19046000</v>
      </c>
      <c r="AE30" s="411">
        <f>IF(I30&lt;10,0,IF(AC30&lt;=BASE!$C$3*2,BASE!$C$2,0)*(AD30/AC30))</f>
        <v>0</v>
      </c>
      <c r="AF30" s="13">
        <v>0</v>
      </c>
      <c r="AG30" s="14">
        <f t="shared" si="4"/>
        <v>1058111.1111111112</v>
      </c>
      <c r="AH30" s="14">
        <f t="shared" si="14"/>
        <v>1675343</v>
      </c>
      <c r="AI30" s="14">
        <f t="shared" si="15"/>
        <v>1675342.5925925926</v>
      </c>
      <c r="AJ30" s="14">
        <f t="shared" si="5"/>
        <v>184287.6851851852</v>
      </c>
      <c r="AK30" s="14">
        <f>IF(I30=0,0,IF(G30=5,0,(AC30+AF30/12)*12*BASE!$C$5))</f>
        <v>1815600.0000000002</v>
      </c>
      <c r="AL30" s="14">
        <f>IF(I30=0,0,IF(G30=5,0,(AC30+AF30/12)*12*BASE!$C$7))</f>
        <v>2563200</v>
      </c>
      <c r="AM30" s="14">
        <f>IF(I30=0,0,IF(G30=5,0,(AC30+AF30/12)*12*BASE!$C$9))</f>
        <v>111499.2</v>
      </c>
      <c r="AN30" s="412">
        <f>IF(I30=0,0,IF(G30=5,0,(AD30+AF30+AG30)*BASE!$C$10))</f>
        <v>1809370</v>
      </c>
      <c r="AO30" s="837">
        <f t="shared" si="17"/>
        <v>29938753.588888891</v>
      </c>
      <c r="AP30" s="677">
        <f t="shared" si="16"/>
        <v>1.5719181764616661</v>
      </c>
      <c r="AQ30" s="1148"/>
      <c r="AR30" s="1149"/>
      <c r="CG30" s="179">
        <v>0</v>
      </c>
      <c r="CH30" s="181">
        <v>1</v>
      </c>
      <c r="CI30" s="182" t="s">
        <v>168</v>
      </c>
    </row>
    <row r="31" spans="1:92" ht="13.5" customHeight="1" outlineLevel="1" x14ac:dyDescent="0.2">
      <c r="A31" s="368" t="s">
        <v>560</v>
      </c>
      <c r="B31" s="477" t="s">
        <v>981</v>
      </c>
      <c r="C31" s="427"/>
      <c r="D31" s="431">
        <f>IF(E31="","",VLOOKUP(E31,BASE!$F$20:$H$25,2,FALSE))</f>
        <v>4</v>
      </c>
      <c r="E31" s="399" t="s">
        <v>539</v>
      </c>
      <c r="F31" s="436" t="s">
        <v>863</v>
      </c>
      <c r="G31" s="437">
        <f>IF(F31="","",VLOOKUP(F31,BASE!$B$15:$C$18,2,FALSE))</f>
        <v>4</v>
      </c>
      <c r="H31" s="355">
        <v>40</v>
      </c>
      <c r="I31" s="423">
        <v>20</v>
      </c>
      <c r="J31" s="399">
        <v>10</v>
      </c>
      <c r="K31" s="399">
        <v>4</v>
      </c>
      <c r="L31" s="399">
        <v>2</v>
      </c>
      <c r="M31" s="399">
        <v>2</v>
      </c>
      <c r="N31" s="399">
        <v>2</v>
      </c>
      <c r="O31" s="355">
        <f t="shared" si="7"/>
        <v>20</v>
      </c>
      <c r="P31" s="354"/>
      <c r="Q31" s="354"/>
      <c r="R31" s="355">
        <f t="shared" si="8"/>
        <v>0</v>
      </c>
      <c r="S31" s="354"/>
      <c r="T31" s="354"/>
      <c r="U31" s="354"/>
      <c r="V31" s="355">
        <f t="shared" si="9"/>
        <v>0</v>
      </c>
      <c r="W31" s="354"/>
      <c r="X31" s="477">
        <f t="shared" si="10"/>
        <v>20</v>
      </c>
      <c r="Y31" s="19" t="str">
        <f t="shared" si="11"/>
        <v xml:space="preserve">OK </v>
      </c>
      <c r="Z31" s="404" t="str">
        <f t="shared" si="12"/>
        <v>JUSTIFICAR</v>
      </c>
      <c r="AA31" s="478">
        <f>ROUND((IF(D31=1,(BASE!$G$51*I31),IF(D31=2,(BASE!$G$52*I31),IF(D31=3,(BASE!$G$53*I31),IF(D31=4,(BASE!$G$54*I31),IF(D31=5,(BASE!$G$55*I31),IF(D31=6,(BASE!$G$56*I31),0)))))))/1000,0)*1000</f>
        <v>2228000</v>
      </c>
      <c r="AB31" s="408">
        <v>0</v>
      </c>
      <c r="AC31" s="478">
        <f t="shared" si="13"/>
        <v>2228000</v>
      </c>
      <c r="AD31" s="478">
        <f>IF(G31=3,AC31*BASE!$I$62,IF(G31=1,AC31*(BASE!$I$61),IF(G31=2,AC31*(BASE!$I$63),AC31*BASE!$I$64)))</f>
        <v>25324933.333333336</v>
      </c>
      <c r="AE31" s="411">
        <f>IF(I31&lt;10,0,IF(AC31&lt;=BASE!$C$3*2,BASE!$C$2,0)*(AD31/AC31))</f>
        <v>0</v>
      </c>
      <c r="AF31" s="13">
        <v>0</v>
      </c>
      <c r="AG31" s="14">
        <f t="shared" si="4"/>
        <v>1406940.7407407409</v>
      </c>
      <c r="AH31" s="14">
        <f t="shared" si="14"/>
        <v>2227656</v>
      </c>
      <c r="AI31" s="14">
        <f t="shared" si="15"/>
        <v>2227656.1728395065</v>
      </c>
      <c r="AJ31" s="14">
        <f t="shared" si="5"/>
        <v>267318.74074074079</v>
      </c>
      <c r="AK31" s="14">
        <f>IF(I31=0,0,IF(G31=5,0,(AC31+AF31/12)*12*BASE!$C$5))</f>
        <v>2272560</v>
      </c>
      <c r="AL31" s="14">
        <f>IF(I31=0,0,IF(G31=5,0,(AC31+AF31/12)*12*BASE!$C$7))</f>
        <v>3208320</v>
      </c>
      <c r="AM31" s="14">
        <f>IF(I31=0,0,IF(G31=5,0,(AC31+AF31/12)*12*BASE!$C$9))</f>
        <v>139561.91999999998</v>
      </c>
      <c r="AN31" s="412">
        <f>IF(I31=0,0,IF(G31=5,0,(AD31+AF31+AG31)*BASE!$C$10))</f>
        <v>2405868.666666667</v>
      </c>
      <c r="AO31" s="837">
        <f t="shared" si="17"/>
        <v>39480815.574320994</v>
      </c>
      <c r="AP31" s="677">
        <f t="shared" si="16"/>
        <v>1.558970168042074</v>
      </c>
      <c r="AQ31" s="1150" t="s">
        <v>1314</v>
      </c>
      <c r="AR31" s="1149"/>
      <c r="CG31" s="179">
        <v>0</v>
      </c>
      <c r="CH31" s="181">
        <v>1</v>
      </c>
      <c r="CI31" s="182" t="s">
        <v>168</v>
      </c>
    </row>
    <row r="32" spans="1:92" ht="13.5" customHeight="1" outlineLevel="1" x14ac:dyDescent="0.2">
      <c r="A32" s="368" t="s">
        <v>560</v>
      </c>
      <c r="B32" s="477" t="s">
        <v>982</v>
      </c>
      <c r="C32" s="427"/>
      <c r="D32" s="431">
        <f>IF(E32="","",VLOOKUP(E32,BASE!$F$20:$H$25,2,FALSE))</f>
        <v>2</v>
      </c>
      <c r="E32" s="399" t="s">
        <v>541</v>
      </c>
      <c r="F32" s="436" t="s">
        <v>863</v>
      </c>
      <c r="G32" s="437">
        <f>IF(F32="","",VLOOKUP(F32,BASE!$B$15:$C$18,2,FALSE))</f>
        <v>4</v>
      </c>
      <c r="H32" s="355">
        <v>40</v>
      </c>
      <c r="I32" s="423">
        <f t="shared" si="6"/>
        <v>40</v>
      </c>
      <c r="J32" s="354">
        <v>8</v>
      </c>
      <c r="K32" s="354">
        <v>4</v>
      </c>
      <c r="L32" s="399">
        <v>4</v>
      </c>
      <c r="M32" s="399">
        <v>4</v>
      </c>
      <c r="N32" s="399">
        <v>2</v>
      </c>
      <c r="O32" s="355">
        <f t="shared" si="7"/>
        <v>22</v>
      </c>
      <c r="P32" s="354"/>
      <c r="Q32" s="399">
        <v>1</v>
      </c>
      <c r="R32" s="355">
        <f t="shared" si="8"/>
        <v>1</v>
      </c>
      <c r="S32" s="354">
        <v>5</v>
      </c>
      <c r="T32" s="354"/>
      <c r="U32" s="354"/>
      <c r="V32" s="355">
        <f t="shared" si="9"/>
        <v>5</v>
      </c>
      <c r="W32" s="354">
        <v>12</v>
      </c>
      <c r="X32" s="477">
        <f t="shared" si="10"/>
        <v>40</v>
      </c>
      <c r="Y32" s="19" t="str">
        <f t="shared" si="11"/>
        <v xml:space="preserve">OK </v>
      </c>
      <c r="Z32" s="404" t="str">
        <f t="shared" si="12"/>
        <v xml:space="preserve"> </v>
      </c>
      <c r="AA32" s="478">
        <f>ROUND((IF(D32=1,(BASE!$G$51*I32),IF(D32=2,(BASE!$G$52*I32),IF(D32=3,(BASE!$G$53*I32),IF(D32=4,(BASE!$G$54*I32),IF(D32=5,(BASE!$G$55*I32),IF(D32=6,(BASE!$G$56*I32),0)))))))/1000,0)*1000</f>
        <v>8016000</v>
      </c>
      <c r="AB32" s="408">
        <v>3412000</v>
      </c>
      <c r="AC32" s="478">
        <f t="shared" si="13"/>
        <v>11428000</v>
      </c>
      <c r="AD32" s="478">
        <f>IF(G32=3,AC32*BASE!$I$62,IF(G32=1,AC32*(BASE!$I$61),IF(G32=2,AC32*(BASE!$I$63),AC32*BASE!$I$64)))</f>
        <v>129898266.66666667</v>
      </c>
      <c r="AE32" s="411">
        <f>IF(I32&lt;10,0,IF(AC32&lt;=BASE!$C$3*2,BASE!$C$2,0)*(AD32/AC32))</f>
        <v>0</v>
      </c>
      <c r="AF32" s="13">
        <v>0</v>
      </c>
      <c r="AG32" s="14">
        <f t="shared" si="4"/>
        <v>7216570.3703703703</v>
      </c>
      <c r="AH32" s="14">
        <f t="shared" si="14"/>
        <v>11426236</v>
      </c>
      <c r="AI32" s="14">
        <f t="shared" si="15"/>
        <v>11426236.419753088</v>
      </c>
      <c r="AJ32" s="14">
        <f t="shared" si="5"/>
        <v>1371148.3703703706</v>
      </c>
      <c r="AK32" s="14">
        <f>IF(I32=0,0,IF(G32=5,0,(AC32+AF32/12)*12*BASE!$C$5))</f>
        <v>11656560</v>
      </c>
      <c r="AL32" s="14">
        <f>IF(I32=0,0,IF(G32=5,0,(AC32+AF32/12)*12*BASE!$C$7))</f>
        <v>16456320</v>
      </c>
      <c r="AM32" s="14">
        <f>IF(I32=0,0,IF(G32=5,0,(AC32+AF32/12)*12*BASE!$C$9))</f>
        <v>715849.91999999993</v>
      </c>
      <c r="AN32" s="412">
        <f>IF(I32=0,0,IF(G32=5,0,(AD32+AF32+AG32)*BASE!$C$10))</f>
        <v>12340335.333333334</v>
      </c>
      <c r="AO32" s="837">
        <f t="shared" si="17"/>
        <v>202507523.08049381</v>
      </c>
      <c r="AP32" s="677">
        <f t="shared" si="16"/>
        <v>1.5589701716355502</v>
      </c>
      <c r="AQ32" s="1148"/>
      <c r="AR32" s="1149"/>
      <c r="CG32" s="179">
        <v>0</v>
      </c>
      <c r="CH32" s="181">
        <v>1</v>
      </c>
      <c r="CI32" s="182" t="s">
        <v>168</v>
      </c>
    </row>
    <row r="33" spans="1:87" ht="13.5" customHeight="1" outlineLevel="1" x14ac:dyDescent="0.2">
      <c r="A33" s="368" t="s">
        <v>560</v>
      </c>
      <c r="B33" s="477" t="s">
        <v>983</v>
      </c>
      <c r="C33" s="427"/>
      <c r="D33" s="431">
        <f>IF(E33="","",VLOOKUP(E33,BASE!$F$20:$H$25,2,FALSE))</f>
        <v>2</v>
      </c>
      <c r="E33" s="399" t="s">
        <v>541</v>
      </c>
      <c r="F33" s="436" t="s">
        <v>258</v>
      </c>
      <c r="G33" s="437">
        <f>IF(F33="","",VLOOKUP(F33,BASE!$B$15:$C$18,2,FALSE))</f>
        <v>2</v>
      </c>
      <c r="H33" s="355">
        <v>20</v>
      </c>
      <c r="I33" s="423">
        <f t="shared" si="6"/>
        <v>20</v>
      </c>
      <c r="J33" s="399">
        <v>10</v>
      </c>
      <c r="K33" s="399">
        <v>4</v>
      </c>
      <c r="L33" s="399">
        <v>4</v>
      </c>
      <c r="M33" s="399">
        <v>2</v>
      </c>
      <c r="N33" s="354"/>
      <c r="O33" s="355">
        <f t="shared" si="7"/>
        <v>20</v>
      </c>
      <c r="P33" s="354"/>
      <c r="Q33" s="354"/>
      <c r="R33" s="355">
        <f t="shared" si="8"/>
        <v>0</v>
      </c>
      <c r="S33" s="354"/>
      <c r="T33" s="354"/>
      <c r="U33" s="354"/>
      <c r="V33" s="355">
        <f t="shared" si="9"/>
        <v>0</v>
      </c>
      <c r="W33" s="354"/>
      <c r="X33" s="477">
        <f t="shared" si="10"/>
        <v>20</v>
      </c>
      <c r="Y33" s="19" t="str">
        <f t="shared" si="11"/>
        <v xml:space="preserve">OK </v>
      </c>
      <c r="Z33" s="404" t="str">
        <f t="shared" si="12"/>
        <v xml:space="preserve"> </v>
      </c>
      <c r="AA33" s="478">
        <f>ROUND((IF(D33=1,(BASE!$G$51*I33),IF(D33=2,(BASE!$G$52*I33),IF(D33=3,(BASE!$G$53*I33),IF(D33=4,(BASE!$G$54*I33),IF(D33=5,(BASE!$G$55*I33),IF(D33=6,(BASE!$G$56*I33),0)))))))/1000,0)*1000</f>
        <v>4008000</v>
      </c>
      <c r="AB33" s="408">
        <v>0</v>
      </c>
      <c r="AC33" s="478">
        <f t="shared" si="13"/>
        <v>4008000</v>
      </c>
      <c r="AD33" s="478">
        <f>IF(G33=3,AC33*BASE!$I$62,IF(G33=1,AC33*(BASE!$I$61),IF(G33=2,AC33*(BASE!$I$63),AC33*BASE!$I$64)))</f>
        <v>45557600</v>
      </c>
      <c r="AE33" s="411">
        <f>IF(I33&lt;10,0,IF(AC33&lt;=BASE!$C$3*2,BASE!$C$2,0)*(AD33/AC33))</f>
        <v>0</v>
      </c>
      <c r="AF33" s="13">
        <v>0</v>
      </c>
      <c r="AG33" s="14">
        <f t="shared" si="4"/>
        <v>2530977.7777777775</v>
      </c>
      <c r="AH33" s="14">
        <f t="shared" si="14"/>
        <v>4007381</v>
      </c>
      <c r="AI33" s="14">
        <f t="shared" si="15"/>
        <v>4007381.4814814813</v>
      </c>
      <c r="AJ33" s="14">
        <f t="shared" si="5"/>
        <v>480885.77777777775</v>
      </c>
      <c r="AK33" s="14">
        <f>IF(I33=0,0,IF(G33=5,0,(AC33+AF33/12)*12*BASE!$C$5))</f>
        <v>4088160.0000000005</v>
      </c>
      <c r="AL33" s="14">
        <f>IF(I33=0,0,IF(G33=5,0,(AC33+AF33/12)*12*BASE!$C$7))</f>
        <v>5771520</v>
      </c>
      <c r="AM33" s="14">
        <f>IF(I33=0,0,IF(G33=5,0,(AC33+AF33/12)*12*BASE!$C$9))</f>
        <v>251061.12</v>
      </c>
      <c r="AN33" s="412">
        <f>IF(I33=0,0,IF(G33=5,0,(AD33+AF33+AG33)*BASE!$C$10))</f>
        <v>4327972</v>
      </c>
      <c r="AO33" s="837">
        <f t="shared" si="17"/>
        <v>71022939.15703702</v>
      </c>
      <c r="AP33" s="677">
        <f t="shared" si="16"/>
        <v>1.5589701642983174</v>
      </c>
      <c r="AQ33" s="1148"/>
      <c r="AR33" s="1149"/>
      <c r="CG33" s="179">
        <v>0</v>
      </c>
      <c r="CH33" s="181">
        <v>1</v>
      </c>
      <c r="CI33" s="182" t="s">
        <v>168</v>
      </c>
    </row>
    <row r="34" spans="1:87" ht="13.5" customHeight="1" outlineLevel="1" x14ac:dyDescent="0.2">
      <c r="A34" s="368" t="s">
        <v>560</v>
      </c>
      <c r="B34" s="477" t="s">
        <v>984</v>
      </c>
      <c r="C34" s="427"/>
      <c r="D34" s="431">
        <f>IF(E34="","",VLOOKUP(E34,BASE!$F$20:$H$25,2,FALSE))</f>
        <v>5</v>
      </c>
      <c r="E34" s="399" t="s">
        <v>538</v>
      </c>
      <c r="F34" s="436" t="s">
        <v>546</v>
      </c>
      <c r="G34" s="437">
        <f>IF(F34="","",VLOOKUP(F34,BASE!$B$15:$C$18,2,FALSE))</f>
        <v>3</v>
      </c>
      <c r="H34" s="355">
        <v>10</v>
      </c>
      <c r="I34" s="423">
        <f t="shared" si="6"/>
        <v>10</v>
      </c>
      <c r="J34" s="399">
        <v>6</v>
      </c>
      <c r="K34" s="399">
        <v>2</v>
      </c>
      <c r="L34" s="399">
        <v>2</v>
      </c>
      <c r="M34" s="354"/>
      <c r="N34" s="354"/>
      <c r="O34" s="355">
        <f t="shared" si="7"/>
        <v>10</v>
      </c>
      <c r="P34" s="354"/>
      <c r="Q34" s="354"/>
      <c r="R34" s="355">
        <f t="shared" si="8"/>
        <v>0</v>
      </c>
      <c r="S34" s="354"/>
      <c r="T34" s="354"/>
      <c r="U34" s="354"/>
      <c r="V34" s="355">
        <f t="shared" si="9"/>
        <v>0</v>
      </c>
      <c r="W34" s="354"/>
      <c r="X34" s="477">
        <f t="shared" si="10"/>
        <v>10</v>
      </c>
      <c r="Y34" s="19" t="str">
        <f t="shared" si="11"/>
        <v xml:space="preserve">OK </v>
      </c>
      <c r="Z34" s="404" t="str">
        <f t="shared" si="12"/>
        <v xml:space="preserve"> </v>
      </c>
      <c r="AA34" s="478">
        <f>ROUND((IF(D34=1,(BASE!$G$51*I34),IF(D34=2,(BASE!$G$52*I34),IF(D34=3,(BASE!$G$53*I34),IF(D34=4,(BASE!$G$54*I34),IF(D34=5,(BASE!$G$55*I34),IF(D34=6,(BASE!$G$56*I34),0)))))))/1000,0)*1000</f>
        <v>890000</v>
      </c>
      <c r="AB34" s="408">
        <v>0</v>
      </c>
      <c r="AC34" s="478">
        <f t="shared" si="13"/>
        <v>890000</v>
      </c>
      <c r="AD34" s="478">
        <f>IF(G34=3,AC34*BASE!$I$62,IF(G34=1,AC34*(BASE!$I$61),IF(G34=2,AC34*(BASE!$I$63),AC34*BASE!$I$64)))</f>
        <v>9523000</v>
      </c>
      <c r="AE34" s="411">
        <f>IF(I34&lt;10,0,IF(AC34&lt;=BASE!$C$3*2,BASE!$C$2,0)*(AD34/AC34))</f>
        <v>943857.7</v>
      </c>
      <c r="AF34" s="13">
        <v>0</v>
      </c>
      <c r="AG34" s="14">
        <f t="shared" si="4"/>
        <v>529055.55555555562</v>
      </c>
      <c r="AH34" s="14">
        <f t="shared" si="14"/>
        <v>916326</v>
      </c>
      <c r="AI34" s="14">
        <f t="shared" si="15"/>
        <v>916326.10462962964</v>
      </c>
      <c r="AJ34" s="14">
        <f t="shared" si="5"/>
        <v>100795.87150925926</v>
      </c>
      <c r="AK34" s="14">
        <f>IF(I34=0,0,IF(G34=5,0,(AC34+AF34/12)*12*BASE!$C$5))</f>
        <v>907800.00000000012</v>
      </c>
      <c r="AL34" s="14">
        <f>IF(I34=0,0,IF(G34=5,0,(AC34+AF34/12)*12*BASE!$C$7))</f>
        <v>1281600</v>
      </c>
      <c r="AM34" s="14">
        <f>IF(I34=0,0,IF(G34=5,0,(AC34+AF34/12)*12*BASE!$C$9))</f>
        <v>55749.599999999999</v>
      </c>
      <c r="AN34" s="412">
        <f>IF(I34=0,0,IF(G34=5,0,(AD34+AF34+AG34)*BASE!$C$10))</f>
        <v>904685</v>
      </c>
      <c r="AO34" s="837">
        <f t="shared" si="17"/>
        <v>16079195.831694445</v>
      </c>
      <c r="AP34" s="677">
        <f t="shared" si="16"/>
        <v>1.6884590813498315</v>
      </c>
      <c r="AQ34" s="1148"/>
      <c r="AR34" s="1149"/>
      <c r="CG34" s="179">
        <v>0</v>
      </c>
      <c r="CH34" s="181">
        <v>1</v>
      </c>
      <c r="CI34" s="182" t="s">
        <v>168</v>
      </c>
    </row>
    <row r="35" spans="1:87" ht="13.5" customHeight="1" outlineLevel="1" x14ac:dyDescent="0.2">
      <c r="A35" s="368" t="s">
        <v>560</v>
      </c>
      <c r="B35" s="586" t="s">
        <v>985</v>
      </c>
      <c r="C35" s="427"/>
      <c r="D35" s="431">
        <f>IF(E35="","",VLOOKUP(E35,BASE!$F$20:$H$25,2,FALSE))</f>
        <v>4</v>
      </c>
      <c r="E35" s="399" t="s">
        <v>539</v>
      </c>
      <c r="F35" s="436" t="s">
        <v>258</v>
      </c>
      <c r="G35" s="437">
        <f>IF(F35="","",VLOOKUP(F35,BASE!$B$15:$C$18,2,FALSE))</f>
        <v>2</v>
      </c>
      <c r="H35" s="355">
        <v>20</v>
      </c>
      <c r="I35" s="423">
        <f t="shared" si="6"/>
        <v>20</v>
      </c>
      <c r="J35" s="399"/>
      <c r="K35" s="354"/>
      <c r="L35" s="354"/>
      <c r="M35" s="354"/>
      <c r="N35" s="354"/>
      <c r="O35" s="355">
        <f t="shared" si="7"/>
        <v>0</v>
      </c>
      <c r="P35" s="354"/>
      <c r="Q35" s="354">
        <v>20</v>
      </c>
      <c r="R35" s="355">
        <f t="shared" si="8"/>
        <v>20</v>
      </c>
      <c r="S35" s="354"/>
      <c r="T35" s="354"/>
      <c r="U35" s="354"/>
      <c r="V35" s="355">
        <f t="shared" si="9"/>
        <v>0</v>
      </c>
      <c r="W35" s="354"/>
      <c r="X35" s="477">
        <f t="shared" si="10"/>
        <v>20</v>
      </c>
      <c r="Y35" s="19" t="str">
        <f t="shared" si="11"/>
        <v xml:space="preserve">OK </v>
      </c>
      <c r="Z35" s="404" t="str">
        <f t="shared" si="12"/>
        <v xml:space="preserve"> </v>
      </c>
      <c r="AA35" s="478">
        <f>ROUND((IF(D35=1,(BASE!$G$51*I35),IF(D35=2,(BASE!$G$52*I35),IF(D35=3,(BASE!$G$53*I35),IF(D35=4,(BASE!$G$54*I35),IF(D35=5,(BASE!$G$55*I35),IF(D35=6,(BASE!$G$56*I35),0)))))))/1000,0)*1000</f>
        <v>2228000</v>
      </c>
      <c r="AB35" s="408">
        <v>0</v>
      </c>
      <c r="AC35" s="478">
        <f t="shared" si="13"/>
        <v>2228000</v>
      </c>
      <c r="AD35" s="478">
        <f>IF(G35=3,AC35*BASE!$I$62,IF(G35=1,AC35*(BASE!$I$61),IF(G35=2,AC35*(BASE!$I$63),AC35*BASE!$I$64)))</f>
        <v>25324933.333333336</v>
      </c>
      <c r="AE35" s="411">
        <f>IF(I35&lt;10,0,IF(AC35&lt;=BASE!$C$3*2,BASE!$C$2,0)*(AD35/AC35))</f>
        <v>0</v>
      </c>
      <c r="AF35" s="13">
        <v>0</v>
      </c>
      <c r="AG35" s="14">
        <f t="shared" si="4"/>
        <v>1406940.7407407409</v>
      </c>
      <c r="AH35" s="14">
        <f t="shared" si="14"/>
        <v>2227656</v>
      </c>
      <c r="AI35" s="14">
        <f t="shared" si="15"/>
        <v>2227656.1728395065</v>
      </c>
      <c r="AJ35" s="14">
        <f t="shared" si="5"/>
        <v>267318.74074074079</v>
      </c>
      <c r="AK35" s="14">
        <f>IF(I35=0,0,IF(G35=5,0,(AC35+AF35/12)*12*BASE!$C$5))</f>
        <v>2272560</v>
      </c>
      <c r="AL35" s="14">
        <f>IF(I35=0,0,IF(G35=5,0,(AC35+AF35/12)*12*BASE!$C$7))</f>
        <v>3208320</v>
      </c>
      <c r="AM35" s="14">
        <f>IF(I35=0,0,IF(G35=5,0,(AC35+AF35/12)*12*BASE!$C$9))</f>
        <v>139561.91999999998</v>
      </c>
      <c r="AN35" s="412">
        <f>IF(I35=0,0,IF(G35=5,0,(AD35+AF35+AG35)*BASE!$C$10))</f>
        <v>2405868.666666667</v>
      </c>
      <c r="AO35" s="837">
        <f t="shared" si="17"/>
        <v>39480815.574320994</v>
      </c>
      <c r="AP35" s="677">
        <f t="shared" si="16"/>
        <v>1.558970168042074</v>
      </c>
      <c r="AQ35" s="1148"/>
      <c r="AR35" s="1149"/>
      <c r="CG35" s="179">
        <v>0</v>
      </c>
      <c r="CH35" s="181">
        <v>1</v>
      </c>
      <c r="CI35" s="182" t="s">
        <v>168</v>
      </c>
    </row>
    <row r="36" spans="1:87" ht="13.5" customHeight="1" outlineLevel="1" x14ac:dyDescent="0.2">
      <c r="A36" s="368" t="s">
        <v>560</v>
      </c>
      <c r="B36" s="477" t="s">
        <v>986</v>
      </c>
      <c r="C36" s="427"/>
      <c r="D36" s="431">
        <f>IF(E36="","",VLOOKUP(E36,BASE!$F$20:$H$25,2,FALSE))</f>
        <v>2</v>
      </c>
      <c r="E36" s="399" t="s">
        <v>541</v>
      </c>
      <c r="F36" s="436" t="s">
        <v>258</v>
      </c>
      <c r="G36" s="437">
        <f>IF(F36="","",VLOOKUP(F36,BASE!$B$15:$C$18,2,FALSE))</f>
        <v>2</v>
      </c>
      <c r="H36" s="355">
        <v>20</v>
      </c>
      <c r="I36" s="423">
        <f t="shared" si="6"/>
        <v>20</v>
      </c>
      <c r="J36" s="354">
        <v>3</v>
      </c>
      <c r="K36" s="354">
        <v>1</v>
      </c>
      <c r="L36" s="399">
        <v>1</v>
      </c>
      <c r="M36" s="399"/>
      <c r="N36" s="354"/>
      <c r="O36" s="355">
        <f t="shared" si="7"/>
        <v>5</v>
      </c>
      <c r="P36" s="354"/>
      <c r="Q36" s="354"/>
      <c r="R36" s="355">
        <f t="shared" si="8"/>
        <v>0</v>
      </c>
      <c r="S36" s="354">
        <v>2</v>
      </c>
      <c r="T36" s="354"/>
      <c r="U36" s="354"/>
      <c r="V36" s="355">
        <f t="shared" si="9"/>
        <v>2</v>
      </c>
      <c r="W36" s="354">
        <v>13</v>
      </c>
      <c r="X36" s="477">
        <f t="shared" si="10"/>
        <v>20</v>
      </c>
      <c r="Y36" s="19" t="str">
        <f t="shared" si="11"/>
        <v xml:space="preserve">OK </v>
      </c>
      <c r="Z36" s="404" t="str">
        <f t="shared" si="12"/>
        <v xml:space="preserve"> </v>
      </c>
      <c r="AA36" s="478">
        <f>ROUND((IF(D36=1,(BASE!$G$51*I36),IF(D36=2,(BASE!$G$52*I36),IF(D36=3,(BASE!$G$53*I36),IF(D36=4,(BASE!$G$54*I36),IF(D36=5,(BASE!$G$55*I36),IF(D36=6,(BASE!$G$56*I36),0)))))))/1000,0)*1000</f>
        <v>4008000</v>
      </c>
      <c r="AB36" s="408">
        <v>0</v>
      </c>
      <c r="AC36" s="478">
        <f t="shared" si="13"/>
        <v>4008000</v>
      </c>
      <c r="AD36" s="478">
        <f>IF(G36=3,AC36*BASE!$I$62,IF(G36=1,AC36*(BASE!$I$61),IF(G36=2,AC36*(BASE!$I$63),AC36*BASE!$I$64)))</f>
        <v>45557600</v>
      </c>
      <c r="AE36" s="411">
        <f>IF(I36&lt;10,0,IF(AC36&lt;=BASE!$C$3*2,BASE!$C$2,0)*(AD36/AC36))</f>
        <v>0</v>
      </c>
      <c r="AF36" s="13">
        <v>0</v>
      </c>
      <c r="AG36" s="14">
        <f t="shared" si="4"/>
        <v>2530977.7777777775</v>
      </c>
      <c r="AH36" s="14">
        <f t="shared" si="14"/>
        <v>4007381</v>
      </c>
      <c r="AI36" s="14">
        <f t="shared" si="15"/>
        <v>4007381.4814814813</v>
      </c>
      <c r="AJ36" s="14">
        <f t="shared" si="5"/>
        <v>480885.77777777775</v>
      </c>
      <c r="AK36" s="14">
        <f>IF(I36=0,0,IF(G36=5,0,(AC36+AF36/12)*12*BASE!$C$5))</f>
        <v>4088160.0000000005</v>
      </c>
      <c r="AL36" s="14">
        <v>0</v>
      </c>
      <c r="AM36" s="14">
        <f>IF(I36=0,0,IF(G36=5,0,(AC36+AF36/12)*12*BASE!$C$9))</f>
        <v>251061.12</v>
      </c>
      <c r="AN36" s="412">
        <f>IF(I36=0,0,IF(G36=5,0,(AD36+AF36+AG36)*BASE!$C$10))</f>
        <v>4327972</v>
      </c>
      <c r="AO36" s="837">
        <f t="shared" si="17"/>
        <v>65251419.157037027</v>
      </c>
      <c r="AP36" s="677">
        <f t="shared" si="16"/>
        <v>1.4322839472895197</v>
      </c>
      <c r="AQ36" s="1148"/>
      <c r="AR36" s="1149"/>
      <c r="CG36" s="179">
        <v>0</v>
      </c>
      <c r="CH36" s="181">
        <v>1</v>
      </c>
      <c r="CI36" s="182" t="s">
        <v>168</v>
      </c>
    </row>
    <row r="37" spans="1:87" ht="13.5" customHeight="1" outlineLevel="1" x14ac:dyDescent="0.2">
      <c r="A37" s="368" t="s">
        <v>560</v>
      </c>
      <c r="B37" s="477" t="s">
        <v>987</v>
      </c>
      <c r="C37" s="427"/>
      <c r="D37" s="431">
        <f>IF(E37="","",VLOOKUP(E37,BASE!$F$20:$H$25,2,FALSE))</f>
        <v>1</v>
      </c>
      <c r="E37" s="399" t="s">
        <v>168</v>
      </c>
      <c r="F37" s="436" t="s">
        <v>258</v>
      </c>
      <c r="G37" s="437">
        <f>IF(F37="","",VLOOKUP(F37,BASE!$B$15:$C$18,2,FALSE))</f>
        <v>2</v>
      </c>
      <c r="H37" s="355">
        <v>40</v>
      </c>
      <c r="I37" s="423">
        <v>0</v>
      </c>
      <c r="J37" s="354"/>
      <c r="K37" s="354"/>
      <c r="L37" s="354"/>
      <c r="M37" s="354"/>
      <c r="N37" s="354"/>
      <c r="O37" s="355">
        <f t="shared" si="7"/>
        <v>0</v>
      </c>
      <c r="P37" s="354"/>
      <c r="Q37" s="354">
        <v>0</v>
      </c>
      <c r="R37" s="355">
        <f t="shared" si="8"/>
        <v>0</v>
      </c>
      <c r="S37" s="354"/>
      <c r="T37" s="354"/>
      <c r="U37" s="354"/>
      <c r="V37" s="355">
        <f t="shared" si="9"/>
        <v>0</v>
      </c>
      <c r="W37" s="354"/>
      <c r="X37" s="477">
        <f t="shared" si="10"/>
        <v>0</v>
      </c>
      <c r="Y37" s="19" t="str">
        <f t="shared" si="11"/>
        <v xml:space="preserve">OK </v>
      </c>
      <c r="Z37" s="404" t="str">
        <f t="shared" si="12"/>
        <v>JUSTIFICAR</v>
      </c>
      <c r="AA37" s="478">
        <v>2346000</v>
      </c>
      <c r="AB37" s="408">
        <v>0</v>
      </c>
      <c r="AC37" s="478">
        <f t="shared" si="13"/>
        <v>2346000</v>
      </c>
      <c r="AD37" s="478">
        <f>IF(G37=3,AC37*BASE!$I$62,IF(G37=1,AC37*(BASE!$I$61),IF(G37=2,AC37*(BASE!$I$63),AC37*BASE!$I$64)))</f>
        <v>26666200</v>
      </c>
      <c r="AE37" s="411">
        <f>IF(I37&lt;10,0,IF(AC37&lt;=BASE!$C$3*2,BASE!$C$2,0)*(AD37/AC37))</f>
        <v>0</v>
      </c>
      <c r="AF37" s="13">
        <v>0</v>
      </c>
      <c r="AG37" s="14">
        <f t="shared" si="4"/>
        <v>0</v>
      </c>
      <c r="AH37" s="14">
        <f t="shared" si="14"/>
        <v>2222183</v>
      </c>
      <c r="AI37" s="14">
        <f t="shared" si="15"/>
        <v>2222183.3333333335</v>
      </c>
      <c r="AJ37" s="14">
        <f t="shared" si="5"/>
        <v>266662</v>
      </c>
      <c r="AK37" s="14">
        <f>IF(I37=0,0,IF(G37=5,0,(AC37+AF37/12)*12*BASE!$C$5))</f>
        <v>0</v>
      </c>
      <c r="AL37" s="14">
        <f>IF(I37=0,0,IF(G37=5,0,(AC37+AF37/12)*12*BASE!$C$7))</f>
        <v>0</v>
      </c>
      <c r="AM37" s="14">
        <f>IF(I37=0,0,IF(G37=5,0,(AC37+AF37/12)*12*BASE!$C$9))</f>
        <v>0</v>
      </c>
      <c r="AN37" s="412">
        <f>IF(I37=0,0,IF(G37=5,0,(AD37+AF37+AG37)*BASE!$C$10))</f>
        <v>0</v>
      </c>
      <c r="AO37" s="837">
        <f t="shared" si="17"/>
        <v>31377228.333333332</v>
      </c>
      <c r="AP37" s="677">
        <f t="shared" si="16"/>
        <v>1.1766666541664479</v>
      </c>
      <c r="AQ37" s="1150" t="s">
        <v>1242</v>
      </c>
      <c r="AR37" s="1149"/>
      <c r="CG37" s="179">
        <v>0</v>
      </c>
      <c r="CH37" s="181">
        <v>1</v>
      </c>
      <c r="CI37" s="182" t="s">
        <v>168</v>
      </c>
    </row>
    <row r="38" spans="1:87" ht="13.5" customHeight="1" outlineLevel="1" x14ac:dyDescent="0.2">
      <c r="A38" s="368" t="s">
        <v>560</v>
      </c>
      <c r="B38" s="477" t="s">
        <v>988</v>
      </c>
      <c r="C38" s="427"/>
      <c r="D38" s="431">
        <f>IF(E38="","",VLOOKUP(E38,BASE!$F$20:$H$25,2,FALSE))</f>
        <v>5</v>
      </c>
      <c r="E38" s="399" t="s">
        <v>538</v>
      </c>
      <c r="F38" s="436" t="s">
        <v>546</v>
      </c>
      <c r="G38" s="437">
        <f>IF(F38="","",VLOOKUP(F38,BASE!$B$15:$C$18,2,FALSE))</f>
        <v>3</v>
      </c>
      <c r="H38" s="355">
        <v>5</v>
      </c>
      <c r="I38" s="423">
        <f t="shared" si="6"/>
        <v>5</v>
      </c>
      <c r="J38" s="399">
        <v>3</v>
      </c>
      <c r="K38" s="354"/>
      <c r="L38" s="354"/>
      <c r="M38" s="354"/>
      <c r="N38" s="354"/>
      <c r="O38" s="355">
        <f t="shared" si="7"/>
        <v>3</v>
      </c>
      <c r="P38" s="354"/>
      <c r="Q38" s="354"/>
      <c r="R38" s="355">
        <f t="shared" si="8"/>
        <v>0</v>
      </c>
      <c r="S38" s="354"/>
      <c r="T38" s="354"/>
      <c r="U38" s="354"/>
      <c r="V38" s="355">
        <f t="shared" si="9"/>
        <v>0</v>
      </c>
      <c r="W38" s="354">
        <v>2</v>
      </c>
      <c r="X38" s="477">
        <f t="shared" si="10"/>
        <v>5</v>
      </c>
      <c r="Y38" s="19" t="str">
        <f t="shared" si="11"/>
        <v xml:space="preserve">OK </v>
      </c>
      <c r="Z38" s="404" t="str">
        <f t="shared" si="12"/>
        <v xml:space="preserve"> </v>
      </c>
      <c r="AA38" s="478">
        <f>ROUND((IF(D38=1,(BASE!$G$51*I38),IF(D38=2,(BASE!$G$52*I38),IF(D38=3,(BASE!$G$53*I38),IF(D38=4,(BASE!$G$54*I38),IF(D38=5,(BASE!$G$55*I38),IF(D38=6,(BASE!$G$56*I38),0)))))))/1000,0)*1000</f>
        <v>445000</v>
      </c>
      <c r="AB38" s="408">
        <v>0</v>
      </c>
      <c r="AC38" s="478">
        <f t="shared" si="13"/>
        <v>445000</v>
      </c>
      <c r="AD38" s="478">
        <f>IF(G38=3,AC38*BASE!$I$62,IF(G38=1,AC38*(BASE!$I$61),IF(G38=2,AC38*(BASE!$I$63),AC38*BASE!$I$64)))</f>
        <v>4761500</v>
      </c>
      <c r="AE38" s="411">
        <f>IF(I38&lt;10,0,IF(AC38&lt;=BASE!$C$3*2,BASE!$C$2,0)*(AD38/AC38))</f>
        <v>0</v>
      </c>
      <c r="AF38" s="13">
        <v>0</v>
      </c>
      <c r="AG38" s="14">
        <f t="shared" si="4"/>
        <v>264527.77777777781</v>
      </c>
      <c r="AH38" s="14">
        <f t="shared" si="14"/>
        <v>418836</v>
      </c>
      <c r="AI38" s="14">
        <f t="shared" si="15"/>
        <v>418835.64814814815</v>
      </c>
      <c r="AJ38" s="14">
        <f t="shared" si="5"/>
        <v>46071.921296296299</v>
      </c>
      <c r="AK38" s="14">
        <f>IF(I38=0,0,IF(G38=5,0,(AC38+AF38/12)*12*BASE!$C$5))</f>
        <v>453900.00000000006</v>
      </c>
      <c r="AL38" s="14">
        <f>IF(I38=0,0,IF(G38=5,0,(AC38+AF38/12)*12*BASE!$C$7))</f>
        <v>640800</v>
      </c>
      <c r="AM38" s="14">
        <f>IF(I38=0,0,IF(G38=5,0,(AC38+AF38/12)*12*BASE!$C$9))</f>
        <v>27874.799999999999</v>
      </c>
      <c r="AN38" s="412">
        <f>IF(I38=0,0,IF(G38=5,0,(AD38+AF38+AG38)*BASE!$C$10))</f>
        <v>452342.5</v>
      </c>
      <c r="AO38" s="837">
        <f t="shared" si="17"/>
        <v>7484688.6472222228</v>
      </c>
      <c r="AP38" s="677">
        <f t="shared" si="16"/>
        <v>1.5719182289661289</v>
      </c>
      <c r="AQ38" s="1148"/>
      <c r="AR38" s="1149"/>
      <c r="CG38" s="179">
        <v>0</v>
      </c>
      <c r="CH38" s="181">
        <v>1</v>
      </c>
      <c r="CI38" s="182" t="s">
        <v>168</v>
      </c>
    </row>
    <row r="39" spans="1:87" ht="13.5" customHeight="1" outlineLevel="1" x14ac:dyDescent="0.2">
      <c r="A39" s="368" t="s">
        <v>560</v>
      </c>
      <c r="B39" s="477" t="s">
        <v>989</v>
      </c>
      <c r="C39" s="427"/>
      <c r="D39" s="431">
        <f>IF(E39="","",VLOOKUP(E39,BASE!$F$20:$H$25,2,FALSE))</f>
        <v>5</v>
      </c>
      <c r="E39" s="399" t="s">
        <v>538</v>
      </c>
      <c r="F39" s="436" t="s">
        <v>546</v>
      </c>
      <c r="G39" s="437">
        <f>IF(F39="","",VLOOKUP(F39,BASE!$B$15:$C$18,2,FALSE))</f>
        <v>3</v>
      </c>
      <c r="H39" s="355">
        <v>10</v>
      </c>
      <c r="I39" s="423">
        <f t="shared" si="6"/>
        <v>10</v>
      </c>
      <c r="J39" s="354">
        <v>4</v>
      </c>
      <c r="K39" s="354">
        <v>2</v>
      </c>
      <c r="L39" s="399">
        <v>2</v>
      </c>
      <c r="M39" s="399">
        <v>2</v>
      </c>
      <c r="N39" s="354"/>
      <c r="O39" s="355">
        <f t="shared" si="7"/>
        <v>10</v>
      </c>
      <c r="P39" s="354"/>
      <c r="Q39" s="354"/>
      <c r="R39" s="355">
        <f t="shared" si="8"/>
        <v>0</v>
      </c>
      <c r="S39" s="354"/>
      <c r="T39" s="354"/>
      <c r="U39" s="354"/>
      <c r="V39" s="355">
        <f t="shared" si="9"/>
        <v>0</v>
      </c>
      <c r="W39" s="354"/>
      <c r="X39" s="477">
        <f t="shared" si="10"/>
        <v>10</v>
      </c>
      <c r="Y39" s="19" t="str">
        <f t="shared" si="11"/>
        <v xml:space="preserve">OK </v>
      </c>
      <c r="Z39" s="404" t="str">
        <f t="shared" si="12"/>
        <v xml:space="preserve"> </v>
      </c>
      <c r="AA39" s="478">
        <f>ROUND((IF(D39=1,(BASE!$G$51*I39),IF(D39=2,(BASE!$G$52*I39),IF(D39=3,(BASE!$G$53*I39),IF(D39=4,(BASE!$G$54*I39),IF(D39=5,(BASE!$G$55*I39),IF(D39=6,(BASE!$G$56*I39),0)))))))/1000,0)*1000</f>
        <v>890000</v>
      </c>
      <c r="AB39" s="408">
        <v>0</v>
      </c>
      <c r="AC39" s="478">
        <f t="shared" si="13"/>
        <v>890000</v>
      </c>
      <c r="AD39" s="478">
        <f>IF(G39=3,AC39*BASE!$I$62,IF(G39=1,AC39*(BASE!$I$61),IF(G39=2,AC39*(BASE!$I$63),AC39*BASE!$I$64)))</f>
        <v>9523000</v>
      </c>
      <c r="AE39" s="411">
        <f>IF(I39&lt;10,0,IF(AC39&lt;=BASE!$C$3*2,BASE!$C$2,0)*(AD39/AC39))</f>
        <v>943857.7</v>
      </c>
      <c r="AF39" s="13">
        <v>0</v>
      </c>
      <c r="AG39" s="14">
        <f t="shared" si="4"/>
        <v>529055.55555555562</v>
      </c>
      <c r="AH39" s="14">
        <f t="shared" si="14"/>
        <v>916326</v>
      </c>
      <c r="AI39" s="14">
        <f t="shared" si="15"/>
        <v>916326.10462962964</v>
      </c>
      <c r="AJ39" s="14">
        <f t="shared" si="5"/>
        <v>100795.87150925926</v>
      </c>
      <c r="AK39" s="14">
        <f>IF(I39=0,0,IF(G39=5,0,(AC39+AF39/12)*12*BASE!$C$5))</f>
        <v>907800.00000000012</v>
      </c>
      <c r="AL39" s="14">
        <f>IF(I39=0,0,IF(G39=5,0,(AC39+AF39/12)*12*BASE!$C$7))</f>
        <v>1281600</v>
      </c>
      <c r="AM39" s="14">
        <f>IF(I39=0,0,IF(G39=5,0,(AC39+AF39/12)*12*BASE!$C$9))</f>
        <v>55749.599999999999</v>
      </c>
      <c r="AN39" s="412">
        <f>IF(I39=0,0,IF(G39=5,0,(AD39+AF39+AG39)*BASE!$C$10))</f>
        <v>904685</v>
      </c>
      <c r="AO39" s="837">
        <f t="shared" si="17"/>
        <v>16079195.831694445</v>
      </c>
      <c r="AP39" s="677">
        <f t="shared" si="16"/>
        <v>1.6884590813498315</v>
      </c>
      <c r="AQ39" s="1148"/>
      <c r="AR39" s="1149"/>
      <c r="CG39" s="179">
        <v>0</v>
      </c>
      <c r="CH39" s="181">
        <v>1</v>
      </c>
      <c r="CI39" s="182" t="s">
        <v>168</v>
      </c>
    </row>
    <row r="40" spans="1:87" ht="13.5" customHeight="1" outlineLevel="1" x14ac:dyDescent="0.2">
      <c r="A40" s="368" t="s">
        <v>560</v>
      </c>
      <c r="B40" s="477" t="s">
        <v>990</v>
      </c>
      <c r="C40" s="427"/>
      <c r="D40" s="431">
        <f>IF(E40="","",VLOOKUP(E40,BASE!$F$20:$H$25,2,FALSE))</f>
        <v>3</v>
      </c>
      <c r="E40" s="399" t="s">
        <v>540</v>
      </c>
      <c r="F40" s="436" t="s">
        <v>863</v>
      </c>
      <c r="G40" s="437">
        <f>IF(F40="","",VLOOKUP(F40,BASE!$B$15:$C$18,2,FALSE))</f>
        <v>4</v>
      </c>
      <c r="H40" s="355">
        <v>20</v>
      </c>
      <c r="I40" s="423">
        <f t="shared" si="6"/>
        <v>20</v>
      </c>
      <c r="J40" s="399"/>
      <c r="K40" s="354"/>
      <c r="L40" s="399"/>
      <c r="M40" s="399"/>
      <c r="N40" s="354"/>
      <c r="O40" s="355">
        <f t="shared" si="7"/>
        <v>0</v>
      </c>
      <c r="P40" s="399">
        <v>5</v>
      </c>
      <c r="Q40" s="399">
        <v>10</v>
      </c>
      <c r="R40" s="355">
        <f t="shared" si="8"/>
        <v>15</v>
      </c>
      <c r="S40" s="354"/>
      <c r="T40" s="354"/>
      <c r="U40" s="354"/>
      <c r="V40" s="355">
        <f t="shared" si="9"/>
        <v>0</v>
      </c>
      <c r="W40" s="354">
        <v>5</v>
      </c>
      <c r="X40" s="477">
        <f t="shared" si="10"/>
        <v>20</v>
      </c>
      <c r="Y40" s="19" t="str">
        <f t="shared" si="11"/>
        <v xml:space="preserve">OK </v>
      </c>
      <c r="Z40" s="404" t="str">
        <f t="shared" si="12"/>
        <v xml:space="preserve"> </v>
      </c>
      <c r="AA40" s="478">
        <f>ROUND((IF(D40=1,(BASE!$G$51*I40),IF(D40=2,(BASE!$G$52*I40),IF(D40=3,(BASE!$G$53*I40),IF(D40=4,(BASE!$G$54*I40),IF(D40=5,(BASE!$G$55*I40),IF(D40=6,(BASE!$G$56*I40),0)))))))/1000,0)*1000</f>
        <v>2736000</v>
      </c>
      <c r="AB40" s="408">
        <v>0</v>
      </c>
      <c r="AC40" s="478">
        <f t="shared" si="13"/>
        <v>2736000</v>
      </c>
      <c r="AD40" s="478">
        <f>IF(G40=3,AC40*BASE!$I$62,IF(G40=1,AC40*(BASE!$I$61),IF(G40=2,AC40*(BASE!$I$63),AC40*BASE!$I$64)))</f>
        <v>31099200</v>
      </c>
      <c r="AE40" s="411">
        <f>IF(I40&lt;10,0,IF(AC40&lt;=BASE!$C$3*2,BASE!$C$2,0)*(AD40/AC40))</f>
        <v>0</v>
      </c>
      <c r="AF40" s="13">
        <v>0</v>
      </c>
      <c r="AG40" s="14">
        <f t="shared" si="4"/>
        <v>1727733.3333333333</v>
      </c>
      <c r="AH40" s="14">
        <f t="shared" si="14"/>
        <v>2735578</v>
      </c>
      <c r="AI40" s="14">
        <f t="shared" si="15"/>
        <v>2735577.777777778</v>
      </c>
      <c r="AJ40" s="14">
        <f t="shared" si="5"/>
        <v>328269.33333333337</v>
      </c>
      <c r="AK40" s="14">
        <f>IF(I40=0,0,IF(G40=5,0,(AC40+AF40/12)*12*BASE!$C$5))</f>
        <v>2790720</v>
      </c>
      <c r="AL40" s="14">
        <f>IF(I40=0,0,IF(G40=5,0,(AC40+AF40/12)*12*BASE!$C$7))</f>
        <v>3939840</v>
      </c>
      <c r="AM40" s="14">
        <f>IF(I40=0,0,IF(G40=5,0,(AC40+AF40/12)*12*BASE!$C$9))</f>
        <v>171383.04000000001</v>
      </c>
      <c r="AN40" s="412">
        <f>IF(I40=0,0,IF(G40=5,0,(AD40+AF40+AG40)*BASE!$C$10))</f>
        <v>2954424</v>
      </c>
      <c r="AO40" s="837">
        <f t="shared" si="17"/>
        <v>48482725.484444439</v>
      </c>
      <c r="AP40" s="677">
        <f t="shared" si="16"/>
        <v>1.5589701820125417</v>
      </c>
      <c r="AQ40" s="1148"/>
      <c r="AR40" s="1149"/>
      <c r="CG40" s="179">
        <v>0</v>
      </c>
      <c r="CH40" s="181">
        <v>1</v>
      </c>
      <c r="CI40" s="182" t="s">
        <v>168</v>
      </c>
    </row>
    <row r="41" spans="1:87" ht="13.5" customHeight="1" outlineLevel="1" x14ac:dyDescent="0.2">
      <c r="A41" s="368" t="s">
        <v>560</v>
      </c>
      <c r="B41" s="477" t="s">
        <v>991</v>
      </c>
      <c r="C41" s="427"/>
      <c r="D41" s="431">
        <f>IF(E41="","",VLOOKUP(E41,BASE!$F$20:$H$25,2,FALSE))</f>
        <v>5</v>
      </c>
      <c r="E41" s="399" t="s">
        <v>538</v>
      </c>
      <c r="F41" s="1056" t="s">
        <v>546</v>
      </c>
      <c r="G41" s="437">
        <f>IF(F41="","",VLOOKUP(F41,BASE!$B$15:$C$18,2,FALSE))</f>
        <v>3</v>
      </c>
      <c r="H41" s="355">
        <v>20</v>
      </c>
      <c r="I41" s="423">
        <f t="shared" si="6"/>
        <v>20</v>
      </c>
      <c r="J41" s="354">
        <v>4</v>
      </c>
      <c r="K41" s="354">
        <v>2</v>
      </c>
      <c r="L41" s="399">
        <v>2</v>
      </c>
      <c r="M41" s="399">
        <v>2</v>
      </c>
      <c r="N41" s="399">
        <v>2</v>
      </c>
      <c r="O41" s="355">
        <f t="shared" si="7"/>
        <v>12</v>
      </c>
      <c r="P41" s="399">
        <v>2</v>
      </c>
      <c r="Q41" s="399">
        <v>6</v>
      </c>
      <c r="R41" s="355">
        <f t="shared" si="8"/>
        <v>8</v>
      </c>
      <c r="S41" s="354"/>
      <c r="T41" s="354"/>
      <c r="U41" s="354"/>
      <c r="V41" s="355">
        <f t="shared" si="9"/>
        <v>0</v>
      </c>
      <c r="W41" s="354"/>
      <c r="X41" s="477">
        <f t="shared" si="10"/>
        <v>20</v>
      </c>
      <c r="Y41" s="19" t="str">
        <f t="shared" si="11"/>
        <v xml:space="preserve">OK </v>
      </c>
      <c r="Z41" s="404" t="str">
        <f t="shared" si="12"/>
        <v xml:space="preserve"> </v>
      </c>
      <c r="AA41" s="478">
        <f>ROUND((IF(D41=1,(BASE!$G$51*I41),IF(D41=2,(BASE!$G$52*I41),IF(D41=3,(BASE!$G$53*I41),IF(D41=4,(BASE!$G$54*I41),IF(D41=5,(BASE!$G$55*I41),IF(D41=6,(BASE!$G$56*I41),0)))))))/1000,0)*1000</f>
        <v>1780000</v>
      </c>
      <c r="AB41" s="408">
        <v>969000</v>
      </c>
      <c r="AC41" s="478">
        <f t="shared" si="13"/>
        <v>2749000</v>
      </c>
      <c r="AD41" s="478">
        <f>IF(G41=3,AC41*BASE!$I$62,IF(G41=1,AC41*(BASE!$I$61),IF(G41=2,AC41*(BASE!$I$63),AC41*BASE!$I$64)))</f>
        <v>29414299.999999996</v>
      </c>
      <c r="AE41" s="411">
        <f>IF(I41&lt;10,0,IF(AC41&lt;=BASE!$C$3*2,BASE!$C$2,0)*(AD41/AC41))</f>
        <v>0</v>
      </c>
      <c r="AF41" s="13">
        <v>0</v>
      </c>
      <c r="AG41" s="14">
        <f t="shared" si="4"/>
        <v>1634127.7777777778</v>
      </c>
      <c r="AH41" s="14">
        <f t="shared" si="14"/>
        <v>2587369</v>
      </c>
      <c r="AI41" s="14">
        <f t="shared" si="15"/>
        <v>2587368.9814814813</v>
      </c>
      <c r="AJ41" s="14">
        <f t="shared" si="5"/>
        <v>284610.58796296298</v>
      </c>
      <c r="AK41" s="14">
        <f>IF(I41=0,0,IF(G41=5,0,(AC41+AF41/12)*12*BASE!$C$5))</f>
        <v>2803980</v>
      </c>
      <c r="AL41" s="14">
        <f>IF(I41=0,0,IF(G41=5,0,(AC41+AF41/12)*12*BASE!$C$7))</f>
        <v>3958560</v>
      </c>
      <c r="AM41" s="14">
        <f>IF(I41=0,0,IF(G41=5,0,(AC41+AF41/12)*12*BASE!$C$9))</f>
        <v>172197.36</v>
      </c>
      <c r="AN41" s="412">
        <f>IF(I41=0,0,IF(G41=5,0,(AD41+AF41+AG41)*BASE!$C$10))</f>
        <v>2794358.4999999995</v>
      </c>
      <c r="AO41" s="837">
        <f t="shared" si="17"/>
        <v>46236872.207222216</v>
      </c>
      <c r="AP41" s="677">
        <f t="shared" si="16"/>
        <v>1.5719181557005342</v>
      </c>
      <c r="AQ41" s="1150" t="s">
        <v>1243</v>
      </c>
      <c r="AR41" s="1149"/>
      <c r="CG41" s="179">
        <v>0</v>
      </c>
      <c r="CH41" s="181">
        <v>1</v>
      </c>
      <c r="CI41" s="182" t="s">
        <v>168</v>
      </c>
    </row>
    <row r="42" spans="1:87" ht="13.5" customHeight="1" outlineLevel="1" x14ac:dyDescent="0.2">
      <c r="A42" s="368" t="s">
        <v>560</v>
      </c>
      <c r="B42" s="477" t="s">
        <v>992</v>
      </c>
      <c r="C42" s="427"/>
      <c r="D42" s="431">
        <f>IF(E42="","",VLOOKUP(E42,BASE!$F$20:$H$25,2,FALSE))</f>
        <v>5</v>
      </c>
      <c r="E42" s="399" t="s">
        <v>538</v>
      </c>
      <c r="F42" s="436" t="s">
        <v>546</v>
      </c>
      <c r="G42" s="437">
        <f>IF(F42="","",VLOOKUP(F42,BASE!$B$15:$C$18,2,FALSE))</f>
        <v>3</v>
      </c>
      <c r="H42" s="355">
        <v>10</v>
      </c>
      <c r="I42" s="423">
        <f t="shared" si="6"/>
        <v>10</v>
      </c>
      <c r="J42" s="399">
        <v>5</v>
      </c>
      <c r="K42" s="399">
        <v>2</v>
      </c>
      <c r="L42" s="399">
        <v>3</v>
      </c>
      <c r="M42" s="354"/>
      <c r="N42" s="354"/>
      <c r="O42" s="355">
        <f t="shared" si="7"/>
        <v>10</v>
      </c>
      <c r="P42" s="354"/>
      <c r="Q42" s="354"/>
      <c r="R42" s="355">
        <f t="shared" si="8"/>
        <v>0</v>
      </c>
      <c r="S42" s="354"/>
      <c r="T42" s="354"/>
      <c r="U42" s="354"/>
      <c r="V42" s="355">
        <f t="shared" si="9"/>
        <v>0</v>
      </c>
      <c r="W42" s="354"/>
      <c r="X42" s="477">
        <f t="shared" si="10"/>
        <v>10</v>
      </c>
      <c r="Y42" s="19" t="str">
        <f t="shared" si="11"/>
        <v xml:space="preserve">OK </v>
      </c>
      <c r="Z42" s="404" t="str">
        <f t="shared" si="12"/>
        <v xml:space="preserve"> </v>
      </c>
      <c r="AA42" s="478">
        <f>ROUND((IF(D42=1,(BASE!$G$51*I42),IF(D42=2,(BASE!$G$52*I42),IF(D42=3,(BASE!$G$53*I42),IF(D42=4,(BASE!$G$54*I42),IF(D42=5,(BASE!$G$55*I42),IF(D42=6,(BASE!$G$56*I42),0)))))))/1000,0)*1000</f>
        <v>890000</v>
      </c>
      <c r="AB42" s="408">
        <v>0</v>
      </c>
      <c r="AC42" s="478">
        <f t="shared" si="13"/>
        <v>890000</v>
      </c>
      <c r="AD42" s="478">
        <f>IF(G42=3,AC42*BASE!$I$62,IF(G42=1,AC42*(BASE!$I$61),IF(G42=2,AC42*(BASE!$I$63),AC42*BASE!$I$64)))</f>
        <v>9523000</v>
      </c>
      <c r="AE42" s="411">
        <f>IF(I42&lt;10,0,IF(AC42&lt;=BASE!$C$3*2,BASE!$C$2,0)*(AD42/AC42))</f>
        <v>943857.7</v>
      </c>
      <c r="AF42" s="13">
        <v>0</v>
      </c>
      <c r="AG42" s="14">
        <f t="shared" si="4"/>
        <v>529055.55555555562</v>
      </c>
      <c r="AH42" s="14">
        <f t="shared" si="14"/>
        <v>916326</v>
      </c>
      <c r="AI42" s="14">
        <f t="shared" si="15"/>
        <v>916326.10462962964</v>
      </c>
      <c r="AJ42" s="14">
        <f t="shared" si="5"/>
        <v>100795.87150925926</v>
      </c>
      <c r="AK42" s="14">
        <f>IF(I42=0,0,IF(G42=5,0,(AC42+AF42/12)*12*BASE!$C$5))</f>
        <v>907800.00000000012</v>
      </c>
      <c r="AL42" s="14">
        <f>IF(I42=0,0,IF(G42=5,0,(AC42+AF42/12)*12*BASE!$C$7))</f>
        <v>1281600</v>
      </c>
      <c r="AM42" s="14">
        <f>IF(I42=0,0,IF(G42=5,0,(AC42+AF42/12)*12*BASE!$C$9))</f>
        <v>55749.599999999999</v>
      </c>
      <c r="AN42" s="412">
        <f>IF(I42=0,0,IF(G42=5,0,(AD42+AF42+AG42)*BASE!$C$10))</f>
        <v>904685</v>
      </c>
      <c r="AO42" s="837">
        <f t="shared" si="17"/>
        <v>16079195.831694445</v>
      </c>
      <c r="AP42" s="677">
        <f t="shared" si="16"/>
        <v>1.6884590813498315</v>
      </c>
      <c r="AQ42" s="1148"/>
      <c r="AR42" s="1149"/>
      <c r="CG42" s="179">
        <v>0</v>
      </c>
      <c r="CH42" s="181">
        <v>1</v>
      </c>
      <c r="CI42" s="182" t="s">
        <v>168</v>
      </c>
    </row>
    <row r="43" spans="1:87" ht="13.5" customHeight="1" outlineLevel="1" x14ac:dyDescent="0.2">
      <c r="A43" s="368" t="s">
        <v>560</v>
      </c>
      <c r="B43" s="477" t="s">
        <v>993</v>
      </c>
      <c r="C43" s="427"/>
      <c r="D43" s="431">
        <f>IF(E43="","",VLOOKUP(E43,BASE!$F$20:$H$25,2,FALSE))</f>
        <v>5</v>
      </c>
      <c r="E43" s="399" t="s">
        <v>538</v>
      </c>
      <c r="F43" s="436" t="s">
        <v>546</v>
      </c>
      <c r="G43" s="437">
        <f>IF(F43="","",VLOOKUP(F43,BASE!$B$15:$C$18,2,FALSE))</f>
        <v>3</v>
      </c>
      <c r="H43" s="355">
        <v>10</v>
      </c>
      <c r="I43" s="423">
        <f t="shared" si="6"/>
        <v>10</v>
      </c>
      <c r="J43" s="354">
        <v>2</v>
      </c>
      <c r="K43" s="354">
        <v>2</v>
      </c>
      <c r="L43" s="399">
        <v>2</v>
      </c>
      <c r="M43" s="399">
        <v>2</v>
      </c>
      <c r="N43" s="399">
        <v>2</v>
      </c>
      <c r="O43" s="355">
        <f t="shared" si="7"/>
        <v>10</v>
      </c>
      <c r="P43" s="354"/>
      <c r="Q43" s="354"/>
      <c r="R43" s="355">
        <f t="shared" si="8"/>
        <v>0</v>
      </c>
      <c r="S43" s="354"/>
      <c r="T43" s="354"/>
      <c r="U43" s="354"/>
      <c r="V43" s="355">
        <f t="shared" si="9"/>
        <v>0</v>
      </c>
      <c r="W43" s="354"/>
      <c r="X43" s="477">
        <f t="shared" si="10"/>
        <v>10</v>
      </c>
      <c r="Y43" s="19" t="str">
        <f t="shared" si="11"/>
        <v xml:space="preserve">OK </v>
      </c>
      <c r="Z43" s="404" t="str">
        <f t="shared" si="12"/>
        <v xml:space="preserve"> </v>
      </c>
      <c r="AA43" s="478">
        <f>ROUND((IF(D43=1,(BASE!$G$51*I43),IF(D43=2,(BASE!$G$52*I43),IF(D43=3,(BASE!$G$53*I43),IF(D43=4,(BASE!$G$54*I43),IF(D43=5,(BASE!$G$55*I43),IF(D43=6,(BASE!$G$56*I43),0)))))))/1000,0)*1000</f>
        <v>890000</v>
      </c>
      <c r="AB43" s="408">
        <v>0</v>
      </c>
      <c r="AC43" s="478">
        <f t="shared" si="13"/>
        <v>890000</v>
      </c>
      <c r="AD43" s="478">
        <f>IF(G43=3,AC43*BASE!$I$62,IF(G43=1,AC43*(BASE!$I$61),IF(G43=2,AC43*(BASE!$I$63),AC43*BASE!$I$64)))</f>
        <v>9523000</v>
      </c>
      <c r="AE43" s="411">
        <f>IF(I43&lt;10,0,IF(AC43&lt;=BASE!$C$3*2,BASE!$C$2,0)*(AD43/AC43))</f>
        <v>943857.7</v>
      </c>
      <c r="AF43" s="13">
        <v>0</v>
      </c>
      <c r="AG43" s="14">
        <f t="shared" si="4"/>
        <v>529055.55555555562</v>
      </c>
      <c r="AH43" s="14">
        <f t="shared" si="14"/>
        <v>916326</v>
      </c>
      <c r="AI43" s="14">
        <f t="shared" si="15"/>
        <v>916326.10462962964</v>
      </c>
      <c r="AJ43" s="14">
        <f t="shared" si="5"/>
        <v>100795.87150925926</v>
      </c>
      <c r="AK43" s="14">
        <f>IF(I43=0,0,IF(G43=5,0,(AC43+AF43/12)*12*BASE!$C$5))</f>
        <v>907800.00000000012</v>
      </c>
      <c r="AL43" s="14">
        <f>IF(I43=0,0,IF(G43=5,0,(AC43+AF43/12)*12*BASE!$C$7))</f>
        <v>1281600</v>
      </c>
      <c r="AM43" s="14">
        <f>IF(I43=0,0,IF(G43=5,0,(AC43+AF43/12)*12*BASE!$C$9))</f>
        <v>55749.599999999999</v>
      </c>
      <c r="AN43" s="412">
        <f>IF(I43=0,0,IF(G43=5,0,(AD43+AF43+AG43)*BASE!$C$10))</f>
        <v>904685</v>
      </c>
      <c r="AO43" s="837">
        <f t="shared" si="17"/>
        <v>16079195.831694445</v>
      </c>
      <c r="AP43" s="677">
        <f t="shared" si="16"/>
        <v>1.6884590813498315</v>
      </c>
      <c r="AQ43" s="1148"/>
      <c r="AR43" s="1149"/>
      <c r="CG43" s="179">
        <v>0</v>
      </c>
      <c r="CH43" s="181">
        <v>1</v>
      </c>
      <c r="CI43" s="182" t="s">
        <v>168</v>
      </c>
    </row>
    <row r="44" spans="1:87" ht="13.5" customHeight="1" outlineLevel="1" x14ac:dyDescent="0.2">
      <c r="A44" s="368" t="s">
        <v>560</v>
      </c>
      <c r="B44" s="477" t="s">
        <v>994</v>
      </c>
      <c r="C44" s="427"/>
      <c r="D44" s="431">
        <f>IF(E44="","",VLOOKUP(E44,BASE!$F$20:$H$25,2,FALSE))</f>
        <v>5</v>
      </c>
      <c r="E44" s="399" t="s">
        <v>538</v>
      </c>
      <c r="F44" s="436" t="s">
        <v>546</v>
      </c>
      <c r="G44" s="437">
        <f>IF(F44="","",VLOOKUP(F44,BASE!$B$15:$C$18,2,FALSE))</f>
        <v>3</v>
      </c>
      <c r="H44" s="355">
        <v>10</v>
      </c>
      <c r="I44" s="423">
        <v>15</v>
      </c>
      <c r="J44" s="399">
        <v>8</v>
      </c>
      <c r="K44" s="399">
        <v>2</v>
      </c>
      <c r="L44" s="399">
        <v>3</v>
      </c>
      <c r="M44" s="354"/>
      <c r="N44" s="399">
        <v>2</v>
      </c>
      <c r="O44" s="355">
        <f t="shared" si="7"/>
        <v>15</v>
      </c>
      <c r="P44" s="354"/>
      <c r="Q44" s="354"/>
      <c r="R44" s="355">
        <f t="shared" si="8"/>
        <v>0</v>
      </c>
      <c r="S44" s="354"/>
      <c r="T44" s="354"/>
      <c r="U44" s="354"/>
      <c r="V44" s="355">
        <f t="shared" si="9"/>
        <v>0</v>
      </c>
      <c r="W44" s="354"/>
      <c r="X44" s="477">
        <f t="shared" si="10"/>
        <v>15</v>
      </c>
      <c r="Y44" s="19" t="str">
        <f t="shared" si="11"/>
        <v xml:space="preserve">OK </v>
      </c>
      <c r="Z44" s="404" t="str">
        <f t="shared" si="12"/>
        <v>AJUSTE</v>
      </c>
      <c r="AA44" s="478">
        <f>ROUND((IF(D44=1,(BASE!$G$51*I44),IF(D44=2,(BASE!$G$52*I44),IF(D44=3,(BASE!$G$53*I44),IF(D44=4,(BASE!$G$54*I44),IF(D44=5,(BASE!$G$55*I44),IF(D44=6,(BASE!$G$56*I44),0)))))))/1000,0)*1000</f>
        <v>1335000</v>
      </c>
      <c r="AB44" s="408">
        <v>0</v>
      </c>
      <c r="AC44" s="478">
        <f t="shared" si="13"/>
        <v>1335000</v>
      </c>
      <c r="AD44" s="478">
        <f>IF(G44=3,AC44*BASE!$I$62,IF(G44=1,AC44*(BASE!$I$61),IF(G44=2,AC44*(BASE!$I$63),AC44*BASE!$I$64)))</f>
        <v>14284499.999999998</v>
      </c>
      <c r="AE44" s="411">
        <f>IF(I44&lt;10,0,IF(AC44&lt;=BASE!$C$3*2,BASE!$C$2,0)*(AD44/AC44))</f>
        <v>943857.7</v>
      </c>
      <c r="AF44" s="13">
        <v>0</v>
      </c>
      <c r="AG44" s="14">
        <f t="shared" si="4"/>
        <v>793583.33333333314</v>
      </c>
      <c r="AH44" s="14">
        <f t="shared" si="14"/>
        <v>1335162</v>
      </c>
      <c r="AI44" s="14">
        <f t="shared" si="15"/>
        <v>1335161.7527777776</v>
      </c>
      <c r="AJ44" s="14">
        <f t="shared" si="5"/>
        <v>146867.79280555554</v>
      </c>
      <c r="AK44" s="14">
        <f>IF(I44=0,0,IF(G44=5,0,(AC44+AF44/12)*12*BASE!$C$5))</f>
        <v>1361700</v>
      </c>
      <c r="AL44" s="14">
        <f>IF(I44=0,0,IF(G44=5,0,(AC44+AF44/12)*12*BASE!$C$7))</f>
        <v>1922400</v>
      </c>
      <c r="AM44" s="14">
        <f>IF(I44=0,0,IF(G44=5,0,(AC44+AF44/12)*12*BASE!$C$9))</f>
        <v>83624.399999999994</v>
      </c>
      <c r="AN44" s="412">
        <f>IF(I44=0,0,IF(G44=5,0,(AD44+AF44+AG44)*BASE!$C$10))</f>
        <v>1357027.4999999998</v>
      </c>
      <c r="AO44" s="837">
        <f t="shared" si="17"/>
        <v>23563884.478916664</v>
      </c>
      <c r="AP44" s="677">
        <f t="shared" si="16"/>
        <v>1.6496121305552638</v>
      </c>
      <c r="AQ44" s="1150" t="s">
        <v>1420</v>
      </c>
      <c r="AR44" s="1149"/>
      <c r="CG44" s="179">
        <v>0</v>
      </c>
      <c r="CH44" s="181">
        <v>1</v>
      </c>
      <c r="CI44" s="182" t="s">
        <v>168</v>
      </c>
    </row>
    <row r="45" spans="1:87" ht="13.5" customHeight="1" outlineLevel="1" x14ac:dyDescent="0.2">
      <c r="A45" s="368" t="s">
        <v>560</v>
      </c>
      <c r="B45" s="477" t="s">
        <v>995</v>
      </c>
      <c r="C45" s="427"/>
      <c r="D45" s="431">
        <f>IF(E45="","",VLOOKUP(E45,BASE!$F$20:$H$25,2,FALSE))</f>
        <v>3</v>
      </c>
      <c r="E45" s="399" t="s">
        <v>540</v>
      </c>
      <c r="F45" s="436" t="s">
        <v>546</v>
      </c>
      <c r="G45" s="437">
        <f>IF(F45="","",VLOOKUP(F45,BASE!$B$15:$C$18,2,FALSE))</f>
        <v>3</v>
      </c>
      <c r="H45" s="355">
        <v>40</v>
      </c>
      <c r="I45" s="423">
        <f t="shared" si="6"/>
        <v>40</v>
      </c>
      <c r="J45" s="399">
        <v>2</v>
      </c>
      <c r="K45" s="399">
        <v>2</v>
      </c>
      <c r="L45" s="399">
        <v>2</v>
      </c>
      <c r="M45" s="354"/>
      <c r="N45" s="399">
        <v>2</v>
      </c>
      <c r="O45" s="355">
        <f t="shared" si="7"/>
        <v>8</v>
      </c>
      <c r="P45" s="399">
        <v>12</v>
      </c>
      <c r="Q45" s="399">
        <v>4</v>
      </c>
      <c r="R45" s="355">
        <f t="shared" si="8"/>
        <v>16</v>
      </c>
      <c r="S45" s="399">
        <v>16</v>
      </c>
      <c r="T45" s="354"/>
      <c r="U45" s="354"/>
      <c r="V45" s="355">
        <f t="shared" si="9"/>
        <v>16</v>
      </c>
      <c r="W45" s="354"/>
      <c r="X45" s="477">
        <f t="shared" si="10"/>
        <v>40</v>
      </c>
      <c r="Y45" s="19" t="str">
        <f t="shared" si="11"/>
        <v xml:space="preserve">OK </v>
      </c>
      <c r="Z45" s="404" t="str">
        <f t="shared" si="12"/>
        <v xml:space="preserve"> </v>
      </c>
      <c r="AA45" s="478">
        <f>ROUND((IF(D45=1,(BASE!$G$51*I45),IF(D45=2,(BASE!$G$52*I45),IF(D45=3,(BASE!$G$53*I45),IF(D45=4,(BASE!$G$54*I45),IF(D45=5,(BASE!$G$55*I45),IF(D45=6,(BASE!$G$56*I45),0)))))))/1000,0)*1000</f>
        <v>5472000</v>
      </c>
      <c r="AB45" s="408">
        <v>0</v>
      </c>
      <c r="AC45" s="478">
        <f t="shared" si="13"/>
        <v>5472000</v>
      </c>
      <c r="AD45" s="478">
        <f>IF(G45=3,AC45*BASE!$I$62,IF(G45=1,AC45*(BASE!$I$61),IF(G45=2,AC45*(BASE!$I$63),AC45*BASE!$I$64)))</f>
        <v>58550399.999999993</v>
      </c>
      <c r="AE45" s="411">
        <f>IF(I45&lt;10,0,IF(AC45&lt;=BASE!$C$3*2,BASE!$C$2,0)*(AD45/AC45))</f>
        <v>0</v>
      </c>
      <c r="AF45" s="13">
        <v>0</v>
      </c>
      <c r="AG45" s="14">
        <f t="shared" si="4"/>
        <v>3252799.9999999995</v>
      </c>
      <c r="AH45" s="14">
        <f t="shared" si="14"/>
        <v>5150267</v>
      </c>
      <c r="AI45" s="14">
        <f t="shared" si="15"/>
        <v>5150266.666666666</v>
      </c>
      <c r="AJ45" s="14">
        <f t="shared" si="5"/>
        <v>566529.33333333326</v>
      </c>
      <c r="AK45" s="14">
        <f>IF(I45=0,0,IF(G45=5,0,(AC45+AF45/12)*12*BASE!$C$5))</f>
        <v>5581440</v>
      </c>
      <c r="AL45" s="14">
        <f>IF(I45=0,0,IF(G45=5,0,(AC45+AF45/12)*12*BASE!$C$7))</f>
        <v>7879680</v>
      </c>
      <c r="AM45" s="14">
        <f>IF(I45=0,0,IF(G45=5,0,(AC45+AF45/12)*12*BASE!$C$9))</f>
        <v>342766.08000000002</v>
      </c>
      <c r="AN45" s="412">
        <f>IF(I45=0,0,IF(G45=5,0,(AD45+AF45+AG45)*BASE!$C$10))</f>
        <v>5562287.9999999991</v>
      </c>
      <c r="AO45" s="837">
        <f t="shared" si="17"/>
        <v>92036437.079999983</v>
      </c>
      <c r="AP45" s="677">
        <f t="shared" si="16"/>
        <v>1.5719181607640595</v>
      </c>
      <c r="AQ45" s="1150" t="s">
        <v>1361</v>
      </c>
      <c r="AR45" s="1149"/>
      <c r="CG45" s="179">
        <v>0</v>
      </c>
      <c r="CH45" s="181">
        <v>1</v>
      </c>
      <c r="CI45" s="182" t="s">
        <v>168</v>
      </c>
    </row>
    <row r="46" spans="1:87" ht="13.5" customHeight="1" outlineLevel="1" x14ac:dyDescent="0.2">
      <c r="A46" s="368" t="s">
        <v>560</v>
      </c>
      <c r="B46" s="477" t="s">
        <v>996</v>
      </c>
      <c r="C46" s="427"/>
      <c r="D46" s="431">
        <f>IF(E46="","",VLOOKUP(E46,BASE!$F$20:$H$25,2,FALSE))</f>
        <v>4</v>
      </c>
      <c r="E46" s="399" t="s">
        <v>539</v>
      </c>
      <c r="F46" s="436" t="s">
        <v>546</v>
      </c>
      <c r="G46" s="437">
        <f>IF(F46="","",VLOOKUP(F46,BASE!$B$15:$C$18,2,FALSE))</f>
        <v>3</v>
      </c>
      <c r="H46" s="355">
        <v>10</v>
      </c>
      <c r="I46" s="423">
        <f t="shared" si="6"/>
        <v>10</v>
      </c>
      <c r="J46" s="354"/>
      <c r="K46" s="354"/>
      <c r="L46" s="354"/>
      <c r="M46" s="354"/>
      <c r="N46" s="354"/>
      <c r="O46" s="355">
        <f t="shared" si="7"/>
        <v>0</v>
      </c>
      <c r="P46" s="354"/>
      <c r="Q46" s="354">
        <v>10</v>
      </c>
      <c r="R46" s="355">
        <f t="shared" si="8"/>
        <v>10</v>
      </c>
      <c r="S46" s="354"/>
      <c r="T46" s="354"/>
      <c r="U46" s="354"/>
      <c r="V46" s="355">
        <f t="shared" si="9"/>
        <v>0</v>
      </c>
      <c r="W46" s="354"/>
      <c r="X46" s="477">
        <f t="shared" si="10"/>
        <v>10</v>
      </c>
      <c r="Y46" s="19" t="str">
        <f t="shared" si="11"/>
        <v xml:space="preserve">OK </v>
      </c>
      <c r="Z46" s="404" t="str">
        <f t="shared" si="12"/>
        <v xml:space="preserve"> </v>
      </c>
      <c r="AA46" s="478">
        <f>ROUND((IF(D46=1,(BASE!$G$51*I46),IF(D46=2,(BASE!$G$52*I46),IF(D46=3,(BASE!$G$53*I46),IF(D46=4,(BASE!$G$54*I46),IF(D46=5,(BASE!$G$55*I46),IF(D46=6,(BASE!$G$56*I46),0)))))))/1000,0)*1000</f>
        <v>1114000</v>
      </c>
      <c r="AB46" s="408">
        <v>0</v>
      </c>
      <c r="AC46" s="478">
        <f t="shared" si="13"/>
        <v>1114000</v>
      </c>
      <c r="AD46" s="478">
        <f>IF(G46=3,AC46*BASE!$I$62,IF(G46=1,AC46*(BASE!$I$61),IF(G46=2,AC46*(BASE!$I$63),AC46*BASE!$I$64)))</f>
        <v>11919800</v>
      </c>
      <c r="AE46" s="411">
        <f>IF(I46&lt;10,0,IF(AC46&lt;=BASE!$C$3*2,BASE!$C$2,0)*(AD46/AC46))</f>
        <v>943857.7</v>
      </c>
      <c r="AF46" s="13">
        <v>0</v>
      </c>
      <c r="AG46" s="14">
        <f t="shared" si="4"/>
        <v>662211.11111111112</v>
      </c>
      <c r="AH46" s="14">
        <f t="shared" si="14"/>
        <v>1127156</v>
      </c>
      <c r="AI46" s="14">
        <f t="shared" si="15"/>
        <v>1127155.7342592592</v>
      </c>
      <c r="AJ46" s="14">
        <f t="shared" si="5"/>
        <v>123987.13076851852</v>
      </c>
      <c r="AK46" s="14">
        <f>IF(I46=0,0,IF(G46=5,0,(AC46+AF46/12)*12*BASE!$C$5))</f>
        <v>1136280</v>
      </c>
      <c r="AL46" s="14">
        <f>IF(I46=0,0,IF(G46=5,0,(AC46+AF46/12)*12*BASE!$C$7))</f>
        <v>1604160</v>
      </c>
      <c r="AM46" s="14">
        <f>IF(I46=0,0,IF(G46=5,0,(AC46+AF46/12)*12*BASE!$C$9))</f>
        <v>69780.959999999992</v>
      </c>
      <c r="AN46" s="412">
        <f>IF(I46=0,0,IF(G46=5,0,(AD46+AF46+AG46)*BASE!$C$10))</f>
        <v>1132381</v>
      </c>
      <c r="AO46" s="837">
        <f t="shared" si="17"/>
        <v>19846769.63613889</v>
      </c>
      <c r="AP46" s="677">
        <f t="shared" si="16"/>
        <v>1.6650253893638223</v>
      </c>
      <c r="AQ46" s="1148"/>
      <c r="AR46" s="1149"/>
      <c r="CG46" s="179">
        <v>0</v>
      </c>
      <c r="CH46" s="181">
        <v>1</v>
      </c>
      <c r="CI46" s="182" t="s">
        <v>168</v>
      </c>
    </row>
    <row r="47" spans="1:87" ht="13.5" customHeight="1" outlineLevel="1" x14ac:dyDescent="0.2">
      <c r="A47" s="368" t="s">
        <v>560</v>
      </c>
      <c r="B47" s="477" t="s">
        <v>997</v>
      </c>
      <c r="C47" s="427"/>
      <c r="D47" s="431">
        <f>IF(E47="","",VLOOKUP(E47,BASE!$F$20:$H$25,2,FALSE))</f>
        <v>5</v>
      </c>
      <c r="E47" s="399" t="s">
        <v>538</v>
      </c>
      <c r="F47" s="436" t="s">
        <v>546</v>
      </c>
      <c r="G47" s="437">
        <f>IF(F47="","",VLOOKUP(F47,BASE!$B$15:$C$18,2,FALSE))</f>
        <v>3</v>
      </c>
      <c r="H47" s="355">
        <v>40</v>
      </c>
      <c r="I47" s="423">
        <v>0</v>
      </c>
      <c r="J47" s="399"/>
      <c r="K47" s="399"/>
      <c r="L47" s="399"/>
      <c r="M47" s="399"/>
      <c r="N47" s="399"/>
      <c r="O47" s="355">
        <f t="shared" si="7"/>
        <v>0</v>
      </c>
      <c r="P47" s="354"/>
      <c r="Q47" s="399"/>
      <c r="R47" s="355">
        <f t="shared" si="8"/>
        <v>0</v>
      </c>
      <c r="S47" s="354"/>
      <c r="T47" s="354"/>
      <c r="U47" s="354"/>
      <c r="V47" s="355">
        <f t="shared" si="9"/>
        <v>0</v>
      </c>
      <c r="W47" s="354"/>
      <c r="X47" s="477">
        <f t="shared" si="10"/>
        <v>0</v>
      </c>
      <c r="Y47" s="19" t="str">
        <f t="shared" si="11"/>
        <v xml:space="preserve">OK </v>
      </c>
      <c r="Z47" s="404" t="str">
        <f t="shared" si="12"/>
        <v>JUSTIFICAR</v>
      </c>
      <c r="AA47" s="478">
        <f>ROUND((IF(D47=1,(BASE!$G$51*I47),IF(D47=2,(BASE!$G$52*I47),IF(D47=3,(BASE!$G$53*I47),IF(D47=4,(BASE!$G$54*I47),IF(D47=5,(BASE!$G$55*I47),IF(D47=6,(BASE!$G$56*I47),0)))))))/1000,0)*1000</f>
        <v>0</v>
      </c>
      <c r="AB47" s="408">
        <v>0</v>
      </c>
      <c r="AC47" s="478">
        <f t="shared" si="13"/>
        <v>0</v>
      </c>
      <c r="AD47" s="478">
        <f>IF(G47=3,AC47*BASE!$I$62,IF(G47=1,AC47*(BASE!$I$61),IF(G47=2,AC47*(BASE!$I$63),AC47*BASE!$I$64)))</f>
        <v>0</v>
      </c>
      <c r="AE47" s="411">
        <f>IF(I47&lt;10,0,IF(AC47&lt;=BASE!$C$3*2,BASE!$C$2,0)*(AD47/AC47))</f>
        <v>0</v>
      </c>
      <c r="AF47" s="13">
        <v>0</v>
      </c>
      <c r="AG47" s="14">
        <f t="shared" si="4"/>
        <v>0</v>
      </c>
      <c r="AH47" s="14">
        <f t="shared" si="14"/>
        <v>0</v>
      </c>
      <c r="AI47" s="14">
        <f t="shared" si="15"/>
        <v>0</v>
      </c>
      <c r="AJ47" s="14">
        <f t="shared" si="5"/>
        <v>0</v>
      </c>
      <c r="AK47" s="14">
        <f>IF(I47=0,0,IF(G47=5,0,(AC47+AF47/12)*12*BASE!$C$5))</f>
        <v>0</v>
      </c>
      <c r="AL47" s="14">
        <f>IF(I47=0,0,IF(G47=5,0,(AC47+AF47/12)*12*BASE!$C$7))</f>
        <v>0</v>
      </c>
      <c r="AM47" s="14">
        <f>IF(I47=0,0,IF(G47=5,0,(AC47+AF47/12)*12*BASE!$C$9))</f>
        <v>0</v>
      </c>
      <c r="AN47" s="412">
        <f>IF(I47=0,0,IF(G47=5,0,(AD47+AF47+AG47)*BASE!$C$10))</f>
        <v>0</v>
      </c>
      <c r="AO47" s="837">
        <f t="shared" si="17"/>
        <v>0</v>
      </c>
      <c r="AP47" s="677" t="str">
        <f t="shared" si="16"/>
        <v>Sin datos</v>
      </c>
      <c r="AQ47" s="1150" t="s">
        <v>1417</v>
      </c>
      <c r="AR47" s="1149"/>
      <c r="CG47" s="179">
        <v>0</v>
      </c>
      <c r="CH47" s="181">
        <v>1</v>
      </c>
      <c r="CI47" s="182" t="s">
        <v>168</v>
      </c>
    </row>
    <row r="48" spans="1:87" ht="13.5" customHeight="1" outlineLevel="1" x14ac:dyDescent="0.2">
      <c r="A48" s="368" t="s">
        <v>560</v>
      </c>
      <c r="B48" s="477" t="s">
        <v>998</v>
      </c>
      <c r="C48" s="427"/>
      <c r="D48" s="431">
        <f>IF(E48="","",VLOOKUP(E48,BASE!$F$20:$H$25,2,FALSE))</f>
        <v>4</v>
      </c>
      <c r="E48" s="399" t="s">
        <v>539</v>
      </c>
      <c r="F48" s="436" t="s">
        <v>546</v>
      </c>
      <c r="G48" s="437">
        <f>IF(F48="","",VLOOKUP(F48,BASE!$B$15:$C$18,2,FALSE))</f>
        <v>3</v>
      </c>
      <c r="H48" s="355">
        <v>20</v>
      </c>
      <c r="I48" s="423">
        <f t="shared" si="6"/>
        <v>20</v>
      </c>
      <c r="J48" s="399">
        <v>12</v>
      </c>
      <c r="K48" s="399">
        <v>4</v>
      </c>
      <c r="L48" s="399">
        <v>2</v>
      </c>
      <c r="M48" s="399">
        <v>2</v>
      </c>
      <c r="N48" s="354"/>
      <c r="O48" s="355">
        <f t="shared" si="7"/>
        <v>20</v>
      </c>
      <c r="P48" s="354"/>
      <c r="Q48" s="354"/>
      <c r="R48" s="355">
        <f t="shared" si="8"/>
        <v>0</v>
      </c>
      <c r="S48" s="354"/>
      <c r="T48" s="354"/>
      <c r="U48" s="354"/>
      <c r="V48" s="355">
        <f t="shared" si="9"/>
        <v>0</v>
      </c>
      <c r="W48" s="354"/>
      <c r="X48" s="477">
        <f t="shared" si="10"/>
        <v>20</v>
      </c>
      <c r="Y48" s="19" t="str">
        <f t="shared" si="11"/>
        <v xml:space="preserve">OK </v>
      </c>
      <c r="Z48" s="404" t="str">
        <f t="shared" si="12"/>
        <v xml:space="preserve"> </v>
      </c>
      <c r="AA48" s="478">
        <f>ROUND((IF(D48=1,(BASE!$G$51*I48),IF(D48=2,(BASE!$G$52*I48),IF(D48=3,(BASE!$G$53*I48),IF(D48=4,(BASE!$G$54*I48),IF(D48=5,(BASE!$G$55*I48),IF(D48=6,(BASE!$G$56*I48),0)))))))/1000,0)*1000</f>
        <v>2228000</v>
      </c>
      <c r="AB48" s="408">
        <v>0</v>
      </c>
      <c r="AC48" s="478">
        <f t="shared" si="13"/>
        <v>2228000</v>
      </c>
      <c r="AD48" s="478">
        <f>IF(G48=3,AC48*BASE!$I$62,IF(G48=1,AC48*(BASE!$I$61),IF(G48=2,AC48*(BASE!$I$63),AC48*BASE!$I$64)))</f>
        <v>23839600</v>
      </c>
      <c r="AE48" s="411">
        <f>IF(I48&lt;10,0,IF(AC48&lt;=BASE!$C$3*2,BASE!$C$2,0)*(AD48/AC48))</f>
        <v>0</v>
      </c>
      <c r="AF48" s="13">
        <v>0</v>
      </c>
      <c r="AG48" s="14">
        <f t="shared" si="4"/>
        <v>1324422.2222222222</v>
      </c>
      <c r="AH48" s="14">
        <f t="shared" si="14"/>
        <v>2097002</v>
      </c>
      <c r="AI48" s="14">
        <f t="shared" si="15"/>
        <v>2097001.8518518517</v>
      </c>
      <c r="AJ48" s="14">
        <f t="shared" si="5"/>
        <v>230670.20370370368</v>
      </c>
      <c r="AK48" s="14">
        <f>IF(I48=0,0,IF(G48=5,0,(AC48+AF48/12)*12*BASE!$C$5))</f>
        <v>2272560</v>
      </c>
      <c r="AL48" s="14">
        <v>0</v>
      </c>
      <c r="AM48" s="14">
        <f>IF(I48=0,0,IF(G48=5,0,(AC48+AF48/12)*12*BASE!$C$9))</f>
        <v>139561.91999999998</v>
      </c>
      <c r="AN48" s="412">
        <f>IF(I48=0,0,IF(G48=5,0,(AD48+AF48+AG48)*BASE!$C$10))</f>
        <v>2264762</v>
      </c>
      <c r="AO48" s="837">
        <f t="shared" si="17"/>
        <v>34265580.197777778</v>
      </c>
      <c r="AP48" s="677">
        <f t="shared" si="16"/>
        <v>1.4373387220329945</v>
      </c>
      <c r="AQ48" s="1148"/>
      <c r="AR48" s="1149"/>
      <c r="CG48" s="179">
        <v>0</v>
      </c>
      <c r="CH48" s="181">
        <v>1</v>
      </c>
      <c r="CI48" s="182" t="s">
        <v>168</v>
      </c>
    </row>
    <row r="49" spans="1:87" ht="13.5" customHeight="1" outlineLevel="1" x14ac:dyDescent="0.2">
      <c r="A49" s="368" t="s">
        <v>560</v>
      </c>
      <c r="B49" s="477" t="s">
        <v>999</v>
      </c>
      <c r="C49" s="427"/>
      <c r="D49" s="431">
        <f>IF(E49="","",VLOOKUP(E49,BASE!$F$20:$H$25,2,FALSE))</f>
        <v>4</v>
      </c>
      <c r="E49" s="399" t="s">
        <v>539</v>
      </c>
      <c r="F49" s="436" t="s">
        <v>546</v>
      </c>
      <c r="G49" s="437">
        <f>IF(F49="","",VLOOKUP(F49,BASE!$B$15:$C$18,2,FALSE))</f>
        <v>3</v>
      </c>
      <c r="H49" s="355">
        <v>30</v>
      </c>
      <c r="I49" s="423">
        <f t="shared" si="6"/>
        <v>30</v>
      </c>
      <c r="J49" s="354">
        <v>6</v>
      </c>
      <c r="K49" s="354">
        <v>2</v>
      </c>
      <c r="L49" s="399">
        <v>2</v>
      </c>
      <c r="M49" s="399">
        <v>2</v>
      </c>
      <c r="N49" s="399">
        <v>2</v>
      </c>
      <c r="O49" s="355">
        <f t="shared" si="7"/>
        <v>14</v>
      </c>
      <c r="P49" s="354"/>
      <c r="Q49" s="354"/>
      <c r="R49" s="355">
        <f t="shared" si="8"/>
        <v>0</v>
      </c>
      <c r="S49" s="354">
        <v>11</v>
      </c>
      <c r="T49" s="354"/>
      <c r="U49" s="354"/>
      <c r="V49" s="355">
        <f t="shared" si="9"/>
        <v>11</v>
      </c>
      <c r="W49" s="354">
        <v>5</v>
      </c>
      <c r="X49" s="477">
        <f t="shared" si="10"/>
        <v>30</v>
      </c>
      <c r="Y49" s="19" t="str">
        <f t="shared" si="11"/>
        <v xml:space="preserve">OK </v>
      </c>
      <c r="Z49" s="404" t="str">
        <f t="shared" si="12"/>
        <v xml:space="preserve"> </v>
      </c>
      <c r="AA49" s="478">
        <f>ROUND((IF(D49=1,(BASE!$G$51*I49),IF(D49=2,(BASE!$G$52*I49),IF(D49=3,(BASE!$G$53*I49),IF(D49=4,(BASE!$G$54*I49),IF(D49=5,(BASE!$G$55*I49),IF(D49=6,(BASE!$G$56*I49),0)))))))/1000,0)*1000</f>
        <v>3342000</v>
      </c>
      <c r="AB49" s="408">
        <v>0</v>
      </c>
      <c r="AC49" s="478">
        <f t="shared" si="13"/>
        <v>3342000</v>
      </c>
      <c r="AD49" s="478">
        <f>IF(G49=3,AC49*BASE!$I$62,IF(G49=1,AC49*(BASE!$I$61),IF(G49=2,AC49*(BASE!$I$63),AC49*BASE!$I$64)))</f>
        <v>35759400</v>
      </c>
      <c r="AE49" s="411">
        <f>IF(I49&lt;10,0,IF(AC49&lt;=BASE!$C$3*2,BASE!$C$2,0)*(AD49/AC49))</f>
        <v>0</v>
      </c>
      <c r="AF49" s="13">
        <v>0</v>
      </c>
      <c r="AG49" s="14">
        <f t="shared" si="4"/>
        <v>1986633.3333333333</v>
      </c>
      <c r="AH49" s="14">
        <f t="shared" si="14"/>
        <v>3145503</v>
      </c>
      <c r="AI49" s="14">
        <f t="shared" si="15"/>
        <v>3145502.777777778</v>
      </c>
      <c r="AJ49" s="14">
        <f t="shared" si="5"/>
        <v>346005.30555555556</v>
      </c>
      <c r="AK49" s="14">
        <f>IF(I49=0,0,IF(G49=5,0,(AC49+AF49/12)*12*BASE!$C$5))</f>
        <v>3408840.0000000005</v>
      </c>
      <c r="AL49" s="14">
        <f>IF(I49=0,0,IF(G49=5,0,(AC49+AF49/12)*12*BASE!$C$7))</f>
        <v>4812480</v>
      </c>
      <c r="AM49" s="14">
        <f>IF(I49=0,0,IF(G49=5,0,(AC49+AF49/12)*12*BASE!$C$9))</f>
        <v>209342.88</v>
      </c>
      <c r="AN49" s="412">
        <f>IF(I49=0,0,IF(G49=5,0,(AD49+AF49+AG49)*BASE!$C$10))</f>
        <v>3397143</v>
      </c>
      <c r="AO49" s="837">
        <f t="shared" si="17"/>
        <v>56210850.296666667</v>
      </c>
      <c r="AP49" s="677">
        <f t="shared" si="16"/>
        <v>1.571918161285331</v>
      </c>
      <c r="AQ49" s="1148"/>
      <c r="AR49" s="1149"/>
      <c r="CG49" s="179">
        <v>0</v>
      </c>
      <c r="CH49" s="181">
        <v>1</v>
      </c>
      <c r="CI49" s="182" t="s">
        <v>168</v>
      </c>
    </row>
    <row r="50" spans="1:87" ht="13.5" customHeight="1" outlineLevel="1" x14ac:dyDescent="0.2">
      <c r="A50" s="368" t="s">
        <v>560</v>
      </c>
      <c r="B50" s="477" t="s">
        <v>1000</v>
      </c>
      <c r="C50" s="427"/>
      <c r="D50" s="431">
        <f>IF(E50="","",VLOOKUP(E50,BASE!$F$20:$H$25,2,FALSE))</f>
        <v>4</v>
      </c>
      <c r="E50" s="399" t="s">
        <v>539</v>
      </c>
      <c r="F50" s="436" t="s">
        <v>546</v>
      </c>
      <c r="G50" s="437">
        <f>IF(F50="","",VLOOKUP(F50,BASE!$B$15:$C$18,2,FALSE))</f>
        <v>3</v>
      </c>
      <c r="H50" s="355">
        <v>20</v>
      </c>
      <c r="I50" s="423">
        <f t="shared" si="6"/>
        <v>20</v>
      </c>
      <c r="J50" s="399">
        <v>10</v>
      </c>
      <c r="K50" s="399">
        <v>5</v>
      </c>
      <c r="L50" s="399">
        <v>3</v>
      </c>
      <c r="M50" s="399">
        <v>1</v>
      </c>
      <c r="N50" s="399">
        <v>1</v>
      </c>
      <c r="O50" s="355">
        <f t="shared" si="7"/>
        <v>20</v>
      </c>
      <c r="P50" s="354"/>
      <c r="Q50" s="354"/>
      <c r="R50" s="355">
        <f t="shared" si="8"/>
        <v>0</v>
      </c>
      <c r="S50" s="354"/>
      <c r="T50" s="354"/>
      <c r="U50" s="354"/>
      <c r="V50" s="355">
        <f t="shared" si="9"/>
        <v>0</v>
      </c>
      <c r="W50" s="354"/>
      <c r="X50" s="477">
        <f t="shared" si="10"/>
        <v>20</v>
      </c>
      <c r="Y50" s="19" t="str">
        <f t="shared" si="11"/>
        <v xml:space="preserve">OK </v>
      </c>
      <c r="Z50" s="404" t="str">
        <f t="shared" si="12"/>
        <v xml:space="preserve"> </v>
      </c>
      <c r="AA50" s="478">
        <f>ROUND((IF(D50=1,(BASE!$G$51*I50),IF(D50=2,(BASE!$G$52*I50),IF(D50=3,(BASE!$G$53*I50),IF(D50=4,(BASE!$G$54*I50),IF(D50=5,(BASE!$G$55*I50),IF(D50=6,(BASE!$G$56*I50),0)))))))/1000,0)*1000</f>
        <v>2228000</v>
      </c>
      <c r="AB50" s="408">
        <v>0</v>
      </c>
      <c r="AC50" s="478">
        <f t="shared" si="13"/>
        <v>2228000</v>
      </c>
      <c r="AD50" s="478">
        <f>IF(G50=3,AC50*BASE!$I$62,IF(G50=1,AC50*(BASE!$I$61),IF(G50=2,AC50*(BASE!$I$63),AC50*BASE!$I$64)))</f>
        <v>23839600</v>
      </c>
      <c r="AE50" s="411">
        <f>IF(I50&lt;10,0,IF(AC50&lt;=BASE!$C$3*2,BASE!$C$2,0)*(AD50/AC50))</f>
        <v>0</v>
      </c>
      <c r="AF50" s="13">
        <v>0</v>
      </c>
      <c r="AG50" s="14">
        <f t="shared" si="4"/>
        <v>1324422.2222222222</v>
      </c>
      <c r="AH50" s="14">
        <f t="shared" si="14"/>
        <v>2097002</v>
      </c>
      <c r="AI50" s="14">
        <f t="shared" si="15"/>
        <v>2097001.8518518517</v>
      </c>
      <c r="AJ50" s="14">
        <f t="shared" si="5"/>
        <v>230670.20370370368</v>
      </c>
      <c r="AK50" s="14">
        <f>IF(I50=0,0,IF(G50=5,0,(AC50+AF50/12)*12*BASE!$C$5))</f>
        <v>2272560</v>
      </c>
      <c r="AL50" s="14">
        <f>IF(I50=0,0,IF(G50=5,0,(AC50+AF50/12)*12*BASE!$C$7))</f>
        <v>3208320</v>
      </c>
      <c r="AM50" s="14">
        <f>IF(I50=0,0,IF(G50=5,0,(AC50+AF50/12)*12*BASE!$C$9))</f>
        <v>139561.91999999998</v>
      </c>
      <c r="AN50" s="412">
        <f>IF(I50=0,0,IF(G50=5,0,(AD50+AF50+AG50)*BASE!$C$10))</f>
        <v>2264762</v>
      </c>
      <c r="AO50" s="837">
        <f t="shared" si="17"/>
        <v>37473900.197777778</v>
      </c>
      <c r="AP50" s="677">
        <f t="shared" si="16"/>
        <v>1.571918161285331</v>
      </c>
      <c r="AQ50" s="1148"/>
      <c r="AR50" s="1149"/>
      <c r="CG50" s="179">
        <v>0</v>
      </c>
      <c r="CH50" s="181">
        <v>1</v>
      </c>
      <c r="CI50" s="182" t="s">
        <v>168</v>
      </c>
    </row>
    <row r="51" spans="1:87" ht="13.5" customHeight="1" outlineLevel="1" x14ac:dyDescent="0.2">
      <c r="A51" s="368" t="s">
        <v>560</v>
      </c>
      <c r="B51" s="477" t="s">
        <v>1001</v>
      </c>
      <c r="C51" s="427"/>
      <c r="D51" s="431">
        <f>IF(E51="","",VLOOKUP(E51,BASE!$F$20:$H$25,2,FALSE))</f>
        <v>4</v>
      </c>
      <c r="E51" s="399" t="s">
        <v>539</v>
      </c>
      <c r="F51" s="436" t="s">
        <v>863</v>
      </c>
      <c r="G51" s="437">
        <f>IF(F51="","",VLOOKUP(F51,BASE!$B$15:$C$18,2,FALSE))</f>
        <v>4</v>
      </c>
      <c r="H51" s="355">
        <v>15</v>
      </c>
      <c r="I51" s="423">
        <f t="shared" si="6"/>
        <v>15</v>
      </c>
      <c r="J51" s="354">
        <v>6</v>
      </c>
      <c r="K51" s="354">
        <v>3</v>
      </c>
      <c r="L51" s="399">
        <v>2</v>
      </c>
      <c r="M51" s="354"/>
      <c r="N51" s="399">
        <v>2</v>
      </c>
      <c r="O51" s="355">
        <f t="shared" si="7"/>
        <v>13</v>
      </c>
      <c r="P51" s="354"/>
      <c r="Q51" s="354"/>
      <c r="R51" s="355">
        <f t="shared" si="8"/>
        <v>0</v>
      </c>
      <c r="S51" s="354"/>
      <c r="T51" s="354"/>
      <c r="U51" s="354"/>
      <c r="V51" s="355">
        <f t="shared" si="9"/>
        <v>0</v>
      </c>
      <c r="W51" s="354">
        <v>2</v>
      </c>
      <c r="X51" s="477">
        <f t="shared" si="10"/>
        <v>15</v>
      </c>
      <c r="Y51" s="19" t="str">
        <f t="shared" si="11"/>
        <v xml:space="preserve">OK </v>
      </c>
      <c r="Z51" s="404" t="str">
        <f t="shared" si="12"/>
        <v xml:space="preserve"> </v>
      </c>
      <c r="AA51" s="478">
        <f>ROUND((IF(D51=1,(BASE!$G$51*I51),IF(D51=2,(BASE!$G$52*I51),IF(D51=3,(BASE!$G$53*I51),IF(D51=4,(BASE!$G$54*I51),IF(D51=5,(BASE!$G$55*I51),IF(D51=6,(BASE!$G$56*I51),0)))))))/1000,0)*1000</f>
        <v>1671000</v>
      </c>
      <c r="AB51" s="408">
        <v>0</v>
      </c>
      <c r="AC51" s="478">
        <f t="shared" si="13"/>
        <v>1671000</v>
      </c>
      <c r="AD51" s="478">
        <f>IF(G51=3,AC51*BASE!$I$62,IF(G51=1,AC51*(BASE!$I$61),IF(G51=2,AC51*(BASE!$I$63),AC51*BASE!$I$64)))</f>
        <v>18993700</v>
      </c>
      <c r="AE51" s="411">
        <f>IF(I51&lt;10,0,IF(AC51&lt;=BASE!$C$3*2,BASE!$C$2,0)*(AD51/AC51))</f>
        <v>0</v>
      </c>
      <c r="AF51" s="13">
        <v>0</v>
      </c>
      <c r="AG51" s="14">
        <f t="shared" si="4"/>
        <v>1055205.5555555555</v>
      </c>
      <c r="AH51" s="14">
        <f t="shared" si="14"/>
        <v>1670742</v>
      </c>
      <c r="AI51" s="14">
        <f t="shared" si="15"/>
        <v>1670742.1296296297</v>
      </c>
      <c r="AJ51" s="14">
        <f t="shared" si="5"/>
        <v>200489.05555555556</v>
      </c>
      <c r="AK51" s="14">
        <f>IF(I51=0,0,IF(G51=5,0,(AC51+AF51/12)*12*BASE!$C$5))</f>
        <v>1704420.0000000002</v>
      </c>
      <c r="AL51" s="14">
        <f>IF(I51=0,0,IF(G51=5,0,(AC51+AF51/12)*12*BASE!$C$7))</f>
        <v>2406240</v>
      </c>
      <c r="AM51" s="14">
        <f>IF(I51=0,0,IF(G51=5,0,(AC51+AF51/12)*12*BASE!$C$9))</f>
        <v>104671.44</v>
      </c>
      <c r="AN51" s="412">
        <f>IF(I51=0,0,IF(G51=5,0,(AD51+AF51+AG51)*BASE!$C$10))</f>
        <v>1804401.5</v>
      </c>
      <c r="AO51" s="837">
        <f t="shared" si="17"/>
        <v>29610611.680740744</v>
      </c>
      <c r="AP51" s="677">
        <f t="shared" si="16"/>
        <v>1.5589701680420742</v>
      </c>
      <c r="AQ51" s="1148"/>
      <c r="AR51" s="1149"/>
      <c r="CG51" s="179">
        <v>0</v>
      </c>
      <c r="CH51" s="181">
        <v>1</v>
      </c>
      <c r="CI51" s="182" t="s">
        <v>168</v>
      </c>
    </row>
    <row r="52" spans="1:87" ht="13.5" customHeight="1" outlineLevel="1" x14ac:dyDescent="0.2">
      <c r="A52" s="368" t="s">
        <v>560</v>
      </c>
      <c r="B52" s="477" t="s">
        <v>1002</v>
      </c>
      <c r="C52" s="427"/>
      <c r="D52" s="431">
        <f>IF(E52="","",VLOOKUP(E52,BASE!$F$20:$H$25,2,FALSE))</f>
        <v>4</v>
      </c>
      <c r="E52" s="399" t="s">
        <v>539</v>
      </c>
      <c r="F52" s="436" t="s">
        <v>546</v>
      </c>
      <c r="G52" s="437">
        <f>IF(F52="","",VLOOKUP(F52,BASE!$B$15:$C$18,2,FALSE))</f>
        <v>3</v>
      </c>
      <c r="H52" s="355">
        <v>15</v>
      </c>
      <c r="I52" s="423">
        <f t="shared" si="6"/>
        <v>15</v>
      </c>
      <c r="J52" s="399">
        <v>6</v>
      </c>
      <c r="K52" s="399">
        <v>4</v>
      </c>
      <c r="L52" s="399">
        <v>3</v>
      </c>
      <c r="M52" s="399">
        <v>1</v>
      </c>
      <c r="N52" s="399">
        <v>1</v>
      </c>
      <c r="O52" s="355">
        <f t="shared" si="7"/>
        <v>15</v>
      </c>
      <c r="P52" s="354"/>
      <c r="Q52" s="354"/>
      <c r="R52" s="355">
        <f t="shared" si="8"/>
        <v>0</v>
      </c>
      <c r="S52" s="354"/>
      <c r="T52" s="354"/>
      <c r="U52" s="354"/>
      <c r="V52" s="355">
        <f t="shared" si="9"/>
        <v>0</v>
      </c>
      <c r="W52" s="354"/>
      <c r="X52" s="477">
        <f t="shared" si="10"/>
        <v>15</v>
      </c>
      <c r="Y52" s="19" t="str">
        <f t="shared" si="11"/>
        <v xml:space="preserve">OK </v>
      </c>
      <c r="Z52" s="404" t="str">
        <f t="shared" si="12"/>
        <v xml:space="preserve"> </v>
      </c>
      <c r="AA52" s="478">
        <f>ROUND((IF(D52=1,(BASE!$G$51*I52),IF(D52=2,(BASE!$G$52*I52),IF(D52=3,(BASE!$G$53*I52),IF(D52=4,(BASE!$G$54*I52),IF(D52=5,(BASE!$G$55*I52),IF(D52=6,(BASE!$G$56*I52),0)))))))/1000,0)*1000</f>
        <v>1671000</v>
      </c>
      <c r="AB52" s="408">
        <v>0</v>
      </c>
      <c r="AC52" s="478">
        <f t="shared" si="13"/>
        <v>1671000</v>
      </c>
      <c r="AD52" s="478">
        <f>IF(G52=3,AC52*BASE!$I$62,IF(G52=1,AC52*(BASE!$I$61),IF(G52=2,AC52*(BASE!$I$63),AC52*BASE!$I$64)))</f>
        <v>17879700</v>
      </c>
      <c r="AE52" s="411">
        <f>IF(I52&lt;10,0,IF(AC52&lt;=BASE!$C$3*2,BASE!$C$2,0)*(AD52/AC52))</f>
        <v>0</v>
      </c>
      <c r="AF52" s="13">
        <v>0</v>
      </c>
      <c r="AG52" s="14">
        <f t="shared" si="4"/>
        <v>993316.66666666663</v>
      </c>
      <c r="AH52" s="14">
        <f t="shared" si="14"/>
        <v>1572751</v>
      </c>
      <c r="AI52" s="14">
        <f t="shared" si="15"/>
        <v>1572751.388888889</v>
      </c>
      <c r="AJ52" s="14">
        <f t="shared" si="5"/>
        <v>173002.65277777778</v>
      </c>
      <c r="AK52" s="14">
        <f>IF(I52=0,0,IF(G52=5,0,(AC52+AF52/12)*12*BASE!$C$5))</f>
        <v>1704420.0000000002</v>
      </c>
      <c r="AL52" s="14">
        <f>IF(I52=0,0,IF(G52=5,0,(AC52+AF52/12)*12*BASE!$C$7))</f>
        <v>2406240</v>
      </c>
      <c r="AM52" s="14">
        <f>IF(I52=0,0,IF(G52=5,0,(AC52+AF52/12)*12*BASE!$C$9))</f>
        <v>104671.44</v>
      </c>
      <c r="AN52" s="412">
        <f>IF(I52=0,0,IF(G52=5,0,(AD52+AF52+AG52)*BASE!$C$10))</f>
        <v>1698571.5</v>
      </c>
      <c r="AO52" s="837">
        <f t="shared" si="17"/>
        <v>28105424.648333333</v>
      </c>
      <c r="AP52" s="677">
        <f t="shared" si="16"/>
        <v>1.571918133320656</v>
      </c>
      <c r="AQ52" s="1148"/>
      <c r="AR52" s="1149"/>
      <c r="CG52" s="179">
        <v>0</v>
      </c>
      <c r="CH52" s="181">
        <v>1</v>
      </c>
      <c r="CI52" s="182" t="s">
        <v>168</v>
      </c>
    </row>
    <row r="53" spans="1:87" ht="13.5" customHeight="1" outlineLevel="1" x14ac:dyDescent="0.2">
      <c r="A53" s="368" t="s">
        <v>560</v>
      </c>
      <c r="B53" s="477" t="s">
        <v>1003</v>
      </c>
      <c r="C53" s="427"/>
      <c r="D53" s="431">
        <f>IF(E53="","",VLOOKUP(E53,BASE!$F$20:$H$25,2,FALSE))</f>
        <v>6</v>
      </c>
      <c r="E53" s="399" t="s">
        <v>537</v>
      </c>
      <c r="F53" s="436" t="s">
        <v>546</v>
      </c>
      <c r="G53" s="437">
        <f>IF(F53="","",VLOOKUP(F53,BASE!$B$15:$C$18,2,FALSE))</f>
        <v>3</v>
      </c>
      <c r="H53" s="355">
        <v>36</v>
      </c>
      <c r="I53" s="423">
        <v>56</v>
      </c>
      <c r="J53" s="399">
        <v>13</v>
      </c>
      <c r="K53" s="399">
        <v>6</v>
      </c>
      <c r="L53" s="399">
        <v>4</v>
      </c>
      <c r="M53" s="399">
        <v>0</v>
      </c>
      <c r="N53" s="399">
        <v>5</v>
      </c>
      <c r="O53" s="355">
        <f t="shared" si="7"/>
        <v>28</v>
      </c>
      <c r="P53" s="354"/>
      <c r="Q53" s="399"/>
      <c r="R53" s="355">
        <f t="shared" si="8"/>
        <v>0</v>
      </c>
      <c r="S53" s="354">
        <v>20</v>
      </c>
      <c r="T53" s="354"/>
      <c r="U53" s="354"/>
      <c r="V53" s="355">
        <f t="shared" si="9"/>
        <v>20</v>
      </c>
      <c r="W53" s="354">
        <v>8</v>
      </c>
      <c r="X53" s="477">
        <f t="shared" si="10"/>
        <v>56</v>
      </c>
      <c r="Y53" s="19" t="str">
        <f t="shared" si="11"/>
        <v xml:space="preserve">OK </v>
      </c>
      <c r="Z53" s="404" t="str">
        <f t="shared" si="12"/>
        <v>AJUSTE</v>
      </c>
      <c r="AA53" s="478">
        <f>ROUND((IF(D53=1,(BASE!$G$51*I53),IF(D53=2,(BASE!$G$52*I53),IF(D53=3,(BASE!$G$53*I53),IF(D53=4,(BASE!$G$54*I53),IF(D53=5,(BASE!$G$55*I53),IF(D53=6,(BASE!$G$56*I53),0)))))))/1000,0)*1000</f>
        <v>3920000</v>
      </c>
      <c r="AB53" s="408">
        <v>0</v>
      </c>
      <c r="AC53" s="478">
        <f t="shared" si="13"/>
        <v>3920000</v>
      </c>
      <c r="AD53" s="478">
        <f>IF(G53=3,AC53*BASE!$I$62,IF(G53=1,AC53*(BASE!$I$61),IF(G53=2,AC53*(BASE!$I$63),AC53*BASE!$I$64)))</f>
        <v>41944000</v>
      </c>
      <c r="AE53" s="411">
        <f>IF(I53&lt;10,0,IF(AC53&lt;=BASE!$C$3*2,BASE!$C$2,0)*(AD53/AC53))</f>
        <v>0</v>
      </c>
      <c r="AF53" s="13">
        <v>0</v>
      </c>
      <c r="AG53" s="14">
        <f t="shared" si="4"/>
        <v>2330222.2222222225</v>
      </c>
      <c r="AH53" s="14">
        <f t="shared" si="14"/>
        <v>3689519</v>
      </c>
      <c r="AI53" s="14">
        <f t="shared" si="15"/>
        <v>3689518.5185185187</v>
      </c>
      <c r="AJ53" s="14">
        <f t="shared" si="5"/>
        <v>405847.03703703708</v>
      </c>
      <c r="AK53" s="14">
        <f>IF(I53=0,0,IF(G53=5,0,(AC53+AF53/12)*12*BASE!$C$5))</f>
        <v>3998400.0000000005</v>
      </c>
      <c r="AL53" s="14">
        <f>IF(I53=0,0,IF(G53=5,0,(AC53+AF53/12)*12*BASE!$C$7))</f>
        <v>5644800</v>
      </c>
      <c r="AM53" s="14">
        <f>IF(I53=0,0,IF(G53=5,0,(AC53+AF53/12)*12*BASE!$C$9))</f>
        <v>245548.79999999999</v>
      </c>
      <c r="AN53" s="412">
        <f>IF(I53=0,0,IF(G53=5,0,(AD53+AF53+AG53)*BASE!$C$10))</f>
        <v>3984680</v>
      </c>
      <c r="AO53" s="837">
        <f t="shared" si="17"/>
        <v>65932535.577777781</v>
      </c>
      <c r="AP53" s="677">
        <f t="shared" si="16"/>
        <v>1.5719181665501092</v>
      </c>
      <c r="AQ53" s="1150" t="s">
        <v>1425</v>
      </c>
      <c r="AR53" s="1149"/>
      <c r="CG53" s="179">
        <v>0</v>
      </c>
      <c r="CH53" s="181">
        <v>1</v>
      </c>
      <c r="CI53" s="182" t="s">
        <v>168</v>
      </c>
    </row>
    <row r="54" spans="1:87" ht="13.5" customHeight="1" outlineLevel="1" x14ac:dyDescent="0.2">
      <c r="A54" s="368" t="s">
        <v>560</v>
      </c>
      <c r="B54" s="477" t="s">
        <v>1004</v>
      </c>
      <c r="C54" s="427"/>
      <c r="D54" s="431">
        <f>IF(E54="","",VLOOKUP(E54,BASE!$F$20:$H$25,2,FALSE))</f>
        <v>3</v>
      </c>
      <c r="E54" s="399" t="s">
        <v>540</v>
      </c>
      <c r="F54" s="436" t="s">
        <v>863</v>
      </c>
      <c r="G54" s="437">
        <f>IF(F54="","",VLOOKUP(F54,BASE!$B$15:$C$18,2,FALSE))</f>
        <v>4</v>
      </c>
      <c r="H54" s="355">
        <v>40</v>
      </c>
      <c r="I54" s="423">
        <f t="shared" si="6"/>
        <v>40</v>
      </c>
      <c r="J54" s="399">
        <v>10</v>
      </c>
      <c r="K54" s="399">
        <v>5</v>
      </c>
      <c r="L54" s="399">
        <v>3</v>
      </c>
      <c r="M54" s="399">
        <v>1</v>
      </c>
      <c r="N54" s="399">
        <v>1</v>
      </c>
      <c r="O54" s="355">
        <f t="shared" si="7"/>
        <v>20</v>
      </c>
      <c r="P54" s="354"/>
      <c r="Q54" s="354"/>
      <c r="R54" s="355">
        <f t="shared" si="8"/>
        <v>0</v>
      </c>
      <c r="S54" s="354">
        <v>20</v>
      </c>
      <c r="T54" s="354"/>
      <c r="U54" s="354"/>
      <c r="V54" s="355">
        <f t="shared" si="9"/>
        <v>20</v>
      </c>
      <c r="W54" s="354"/>
      <c r="X54" s="477">
        <f t="shared" si="10"/>
        <v>40</v>
      </c>
      <c r="Y54" s="19" t="str">
        <f t="shared" si="11"/>
        <v xml:space="preserve">OK </v>
      </c>
      <c r="Z54" s="404" t="str">
        <f t="shared" si="12"/>
        <v xml:space="preserve"> </v>
      </c>
      <c r="AA54" s="478">
        <f>ROUND((IF(D54=1,(BASE!$G$51*I54),IF(D54=2,(BASE!$G$52*I54),IF(D54=3,(BASE!$G$53*I54),IF(D54=4,(BASE!$G$54*I54),IF(D54=5,(BASE!$G$55*I54),IF(D54=6,(BASE!$G$56*I54),0)))))))/1000,0)*1000</f>
        <v>5472000</v>
      </c>
      <c r="AB54" s="408">
        <v>0</v>
      </c>
      <c r="AC54" s="478">
        <f t="shared" si="13"/>
        <v>5472000</v>
      </c>
      <c r="AD54" s="478">
        <f>IF(G54=3,AC54*BASE!$I$62,IF(G54=1,AC54*(BASE!$I$61),IF(G54=2,AC54*(BASE!$I$63),AC54*BASE!$I$64)))</f>
        <v>62198400</v>
      </c>
      <c r="AE54" s="411">
        <f>IF(I54&lt;10,0,IF(AC54&lt;=BASE!$C$3*2,BASE!$C$2,0)*(AD54/AC54))</f>
        <v>0</v>
      </c>
      <c r="AF54" s="13">
        <v>0</v>
      </c>
      <c r="AG54" s="14">
        <f t="shared" si="4"/>
        <v>3455466.6666666665</v>
      </c>
      <c r="AH54" s="14">
        <f t="shared" si="14"/>
        <v>5471156</v>
      </c>
      <c r="AI54" s="14">
        <f t="shared" si="15"/>
        <v>5471155.555555556</v>
      </c>
      <c r="AJ54" s="14">
        <f t="shared" si="5"/>
        <v>656538.66666666674</v>
      </c>
      <c r="AK54" s="14">
        <f>IF(I54=0,0,IF(G54=5,0,(AC54+AF54/12)*12*BASE!$C$5))</f>
        <v>5581440</v>
      </c>
      <c r="AL54" s="14">
        <f>IF(I54=0,0,IF(G54=5,0,(AC54+AF54/12)*12*BASE!$C$7))</f>
        <v>7879680</v>
      </c>
      <c r="AM54" s="14">
        <f>IF(I54=0,0,IF(G54=5,0,(AC54+AF54/12)*12*BASE!$C$9))</f>
        <v>342766.08000000002</v>
      </c>
      <c r="AN54" s="412">
        <f>IF(I54=0,0,IF(G54=5,0,(AD54+AF54+AG54)*BASE!$C$10))</f>
        <v>5908848</v>
      </c>
      <c r="AO54" s="837">
        <f t="shared" si="17"/>
        <v>96965450.968888879</v>
      </c>
      <c r="AP54" s="677">
        <f t="shared" si="16"/>
        <v>1.5589701820125417</v>
      </c>
      <c r="AQ54" s="1148"/>
      <c r="AR54" s="1149"/>
      <c r="CG54" s="179">
        <v>0</v>
      </c>
      <c r="CH54" s="181">
        <v>1</v>
      </c>
      <c r="CI54" s="182" t="s">
        <v>168</v>
      </c>
    </row>
    <row r="55" spans="1:87" ht="13.5" customHeight="1" outlineLevel="1" x14ac:dyDescent="0.2">
      <c r="A55" s="368" t="s">
        <v>560</v>
      </c>
      <c r="B55" s="477" t="s">
        <v>1005</v>
      </c>
      <c r="C55" s="427"/>
      <c r="D55" s="431">
        <f>IF(E55="","",VLOOKUP(E55,BASE!$F$20:$H$25,2,FALSE))</f>
        <v>3</v>
      </c>
      <c r="E55" s="399" t="s">
        <v>540</v>
      </c>
      <c r="F55" s="436" t="s">
        <v>546</v>
      </c>
      <c r="G55" s="437">
        <f>IF(F55="","",VLOOKUP(F55,BASE!$B$15:$C$18,2,FALSE))</f>
        <v>3</v>
      </c>
      <c r="H55" s="355">
        <v>20</v>
      </c>
      <c r="I55" s="423">
        <f t="shared" si="6"/>
        <v>20</v>
      </c>
      <c r="J55" s="399">
        <v>10</v>
      </c>
      <c r="K55" s="399">
        <v>4</v>
      </c>
      <c r="L55" s="399">
        <v>2</v>
      </c>
      <c r="M55" s="399">
        <v>2</v>
      </c>
      <c r="N55" s="399">
        <v>2</v>
      </c>
      <c r="O55" s="355">
        <f t="shared" si="7"/>
        <v>20</v>
      </c>
      <c r="P55" s="354"/>
      <c r="Q55" s="354"/>
      <c r="R55" s="355">
        <f t="shared" si="8"/>
        <v>0</v>
      </c>
      <c r="S55" s="354"/>
      <c r="T55" s="354"/>
      <c r="U55" s="354"/>
      <c r="V55" s="355">
        <f t="shared" si="9"/>
        <v>0</v>
      </c>
      <c r="W55" s="354"/>
      <c r="X55" s="477">
        <f t="shared" si="10"/>
        <v>20</v>
      </c>
      <c r="Y55" s="19" t="str">
        <f t="shared" si="11"/>
        <v xml:space="preserve">OK </v>
      </c>
      <c r="Z55" s="404" t="str">
        <f t="shared" si="12"/>
        <v xml:space="preserve"> </v>
      </c>
      <c r="AA55" s="478">
        <f>ROUND((IF(D55=1,(BASE!$G$51*I55),IF(D55=2,(BASE!$G$52*I55),IF(D55=3,(BASE!$G$53*I55),IF(D55=4,(BASE!$G$54*I55),IF(D55=5,(BASE!$G$55*I55),IF(D55=6,(BASE!$G$56*I55),0)))))))/1000,0)*1000</f>
        <v>2736000</v>
      </c>
      <c r="AB55" s="408">
        <v>0</v>
      </c>
      <c r="AC55" s="478">
        <f t="shared" si="13"/>
        <v>2736000</v>
      </c>
      <c r="AD55" s="478">
        <f>IF(G55=3,AC55*BASE!$I$62,IF(G55=1,AC55*(BASE!$I$61),IF(G55=2,AC55*(BASE!$I$63),AC55*BASE!$I$64)))</f>
        <v>29275199.999999996</v>
      </c>
      <c r="AE55" s="411">
        <f>IF(I55&lt;10,0,IF(AC55&lt;=BASE!$C$3*2,BASE!$C$2,0)*(AD55/AC55))</f>
        <v>0</v>
      </c>
      <c r="AF55" s="13">
        <v>0</v>
      </c>
      <c r="AG55" s="14">
        <f t="shared" si="4"/>
        <v>1626399.9999999998</v>
      </c>
      <c r="AH55" s="14">
        <f t="shared" si="14"/>
        <v>2575133</v>
      </c>
      <c r="AI55" s="14">
        <f t="shared" si="15"/>
        <v>2575133.333333333</v>
      </c>
      <c r="AJ55" s="14">
        <f t="shared" si="5"/>
        <v>283264.66666666663</v>
      </c>
      <c r="AK55" s="14">
        <f>IF(I55=0,0,IF(G55=5,0,(AC55+AF55/12)*12*BASE!$C$5))</f>
        <v>2790720</v>
      </c>
      <c r="AL55" s="14">
        <v>0</v>
      </c>
      <c r="AM55" s="14">
        <f>IF(I55=0,0,IF(G55=5,0,(AC55+AF55/12)*12*BASE!$C$9))</f>
        <v>171383.04000000001</v>
      </c>
      <c r="AN55" s="412">
        <f>IF(I55=0,0,IF(G55=5,0,(AD55+AF55+AG55)*BASE!$C$10))</f>
        <v>2781143.9999999995</v>
      </c>
      <c r="AO55" s="837">
        <f t="shared" si="17"/>
        <v>42078378.039999992</v>
      </c>
      <c r="AP55" s="677">
        <f t="shared" si="16"/>
        <v>1.4373387044324206</v>
      </c>
      <c r="AQ55" s="1148"/>
      <c r="AR55" s="1149"/>
      <c r="CG55" s="179">
        <v>0</v>
      </c>
      <c r="CH55" s="181">
        <v>1</v>
      </c>
      <c r="CI55" s="182" t="s">
        <v>168</v>
      </c>
    </row>
    <row r="56" spans="1:87" ht="13.5" customHeight="1" outlineLevel="1" x14ac:dyDescent="0.2">
      <c r="A56" s="368" t="s">
        <v>560</v>
      </c>
      <c r="B56" s="477" t="s">
        <v>1006</v>
      </c>
      <c r="C56" s="427"/>
      <c r="D56" s="431">
        <f>IF(E56="","",VLOOKUP(E56,BASE!$F$20:$H$25,2,FALSE))</f>
        <v>4</v>
      </c>
      <c r="E56" s="399" t="s">
        <v>539</v>
      </c>
      <c r="F56" s="436" t="s">
        <v>863</v>
      </c>
      <c r="G56" s="437">
        <f>IF(F56="","",VLOOKUP(F56,BASE!$B$15:$C$18,2,FALSE))</f>
        <v>4</v>
      </c>
      <c r="H56" s="355">
        <v>20</v>
      </c>
      <c r="I56" s="423">
        <v>0</v>
      </c>
      <c r="J56" s="354"/>
      <c r="K56" s="354"/>
      <c r="L56" s="354"/>
      <c r="M56" s="354"/>
      <c r="N56" s="354"/>
      <c r="O56" s="355">
        <f t="shared" si="7"/>
        <v>0</v>
      </c>
      <c r="P56" s="354"/>
      <c r="Q56" s="354"/>
      <c r="R56" s="355">
        <f t="shared" si="8"/>
        <v>0</v>
      </c>
      <c r="S56" s="354"/>
      <c r="T56" s="354"/>
      <c r="U56" s="354"/>
      <c r="V56" s="355">
        <f t="shared" si="9"/>
        <v>0</v>
      </c>
      <c r="W56" s="354"/>
      <c r="X56" s="477">
        <f t="shared" si="10"/>
        <v>0</v>
      </c>
      <c r="Y56" s="19" t="str">
        <f t="shared" si="11"/>
        <v xml:space="preserve">OK </v>
      </c>
      <c r="Z56" s="404" t="str">
        <f t="shared" si="12"/>
        <v>JUSTIFICAR</v>
      </c>
      <c r="AA56" s="478">
        <f>ROUND((IF(D56=1,(BASE!$G$51*I56),IF(D56=2,(BASE!$G$52*I56),IF(D56=3,(BASE!$G$53*I56),IF(D56=4,(BASE!$G$54*I56),IF(D56=5,(BASE!$G$55*I56),IF(D56=6,(BASE!$G$56*I56),0)))))))/1000,0)*1000</f>
        <v>0</v>
      </c>
      <c r="AB56" s="408">
        <v>388000</v>
      </c>
      <c r="AC56" s="478">
        <f t="shared" si="13"/>
        <v>388000</v>
      </c>
      <c r="AD56" s="478">
        <f>IF(G56=3,AC56*BASE!$I$62,IF(G56=1,AC56*(BASE!$I$61),IF(G56=2,AC56*(BASE!$I$63),AC56*BASE!$I$64)))</f>
        <v>4410266.666666667</v>
      </c>
      <c r="AE56" s="411">
        <f>IF(I56&lt;10,0,IF(AC56&lt;=BASE!$C$3*2,BASE!$C$2,0)*(AD56/AC56))</f>
        <v>0</v>
      </c>
      <c r="AF56" s="13">
        <v>0</v>
      </c>
      <c r="AG56" s="14">
        <f t="shared" si="4"/>
        <v>0</v>
      </c>
      <c r="AH56" s="14">
        <f t="shared" si="14"/>
        <v>367522</v>
      </c>
      <c r="AI56" s="14">
        <f t="shared" si="15"/>
        <v>367522.22222222225</v>
      </c>
      <c r="AJ56" s="14">
        <f t="shared" si="5"/>
        <v>44102.666666666672</v>
      </c>
      <c r="AK56" s="14">
        <f>IF(I56=0,0,IF(G56=5,0,(AC56+AF56/12)*12*BASE!$C$5))</f>
        <v>0</v>
      </c>
      <c r="AL56" s="14">
        <f>IF(I56=0,0,IF(G56=5,0,(AC56+AF56/12)*12*BASE!$C$7))</f>
        <v>0</v>
      </c>
      <c r="AM56" s="14">
        <f>IF(I56=0,0,IF(G56=5,0,(AC56+AF56/12)*12*BASE!$C$9))</f>
        <v>0</v>
      </c>
      <c r="AN56" s="412">
        <f>IF(I56=0,0,IF(G56=5,0,(AD56+AF56+AG56)*BASE!$C$10))</f>
        <v>0</v>
      </c>
      <c r="AO56" s="837">
        <f t="shared" si="17"/>
        <v>5189413.555555556</v>
      </c>
      <c r="AP56" s="677">
        <f t="shared" si="16"/>
        <v>1.176666616279187</v>
      </c>
      <c r="AQ56" s="1150" t="s">
        <v>1245</v>
      </c>
      <c r="AR56" s="1149"/>
      <c r="CG56" s="179">
        <v>0</v>
      </c>
      <c r="CH56" s="181">
        <v>1</v>
      </c>
      <c r="CI56" s="182" t="s">
        <v>168</v>
      </c>
    </row>
    <row r="57" spans="1:87" ht="13.5" customHeight="1" outlineLevel="1" x14ac:dyDescent="0.2">
      <c r="A57" s="368" t="s">
        <v>560</v>
      </c>
      <c r="B57" s="477" t="s">
        <v>1007</v>
      </c>
      <c r="C57" s="427"/>
      <c r="D57" s="431">
        <f>IF(E57="","",VLOOKUP(E57,BASE!$F$20:$H$25,2,FALSE))</f>
        <v>5</v>
      </c>
      <c r="E57" s="399" t="s">
        <v>538</v>
      </c>
      <c r="F57" s="436" t="s">
        <v>546</v>
      </c>
      <c r="G57" s="437">
        <f>IF(F57="","",VLOOKUP(F57,BASE!$B$15:$C$18,2,FALSE))</f>
        <v>3</v>
      </c>
      <c r="H57" s="355">
        <v>5</v>
      </c>
      <c r="I57" s="423">
        <f t="shared" si="6"/>
        <v>5</v>
      </c>
      <c r="J57" s="399">
        <v>3</v>
      </c>
      <c r="K57" s="354"/>
      <c r="L57" s="354"/>
      <c r="M57" s="354"/>
      <c r="N57" s="354"/>
      <c r="O57" s="355">
        <f t="shared" si="7"/>
        <v>3</v>
      </c>
      <c r="P57" s="354"/>
      <c r="Q57" s="354"/>
      <c r="R57" s="355">
        <f t="shared" si="8"/>
        <v>0</v>
      </c>
      <c r="S57" s="354"/>
      <c r="T57" s="354"/>
      <c r="U57" s="354"/>
      <c r="V57" s="355">
        <f t="shared" si="9"/>
        <v>0</v>
      </c>
      <c r="W57" s="354">
        <v>2</v>
      </c>
      <c r="X57" s="477">
        <f t="shared" si="10"/>
        <v>5</v>
      </c>
      <c r="Y57" s="19" t="str">
        <f t="shared" si="11"/>
        <v xml:space="preserve">OK </v>
      </c>
      <c r="Z57" s="404" t="str">
        <f t="shared" si="12"/>
        <v xml:space="preserve"> </v>
      </c>
      <c r="AA57" s="478">
        <f>ROUND((IF(D57=1,(BASE!$G$51*I57),IF(D57=2,(BASE!$G$52*I57),IF(D57=3,(BASE!$G$53*I57),IF(D57=4,(BASE!$G$54*I57),IF(D57=5,(BASE!$G$55*I57),IF(D57=6,(BASE!$G$56*I57),0)))))))/1000,0)*1000</f>
        <v>445000</v>
      </c>
      <c r="AB57" s="408">
        <v>0</v>
      </c>
      <c r="AC57" s="478">
        <f t="shared" si="13"/>
        <v>445000</v>
      </c>
      <c r="AD57" s="478">
        <f>IF(G57=3,AC57*BASE!$I$62,IF(G57=1,AC57*(BASE!$I$61),IF(G57=2,AC57*(BASE!$I$63),AC57*BASE!$I$64)))</f>
        <v>4761500</v>
      </c>
      <c r="AE57" s="411">
        <f>IF(I57&lt;10,0,IF(AC57&lt;=BASE!$C$3*2,BASE!$C$2,0)*(AD57/AC57))</f>
        <v>0</v>
      </c>
      <c r="AF57" s="13">
        <v>0</v>
      </c>
      <c r="AG57" s="14">
        <f t="shared" si="4"/>
        <v>264527.77777777781</v>
      </c>
      <c r="AH57" s="14">
        <f t="shared" si="14"/>
        <v>418836</v>
      </c>
      <c r="AI57" s="14">
        <f t="shared" si="15"/>
        <v>418835.64814814815</v>
      </c>
      <c r="AJ57" s="14">
        <f t="shared" si="5"/>
        <v>46071.921296296299</v>
      </c>
      <c r="AK57" s="14">
        <f>IF(I57=0,0,IF(G57=5,0,(AC57+AF57/12)*12*BASE!$C$5))</f>
        <v>453900.00000000006</v>
      </c>
      <c r="AL57" s="14">
        <f>IF(I57=0,0,IF(G57=5,0,(AC57+AF57/12)*12*BASE!$C$7))</f>
        <v>640800</v>
      </c>
      <c r="AM57" s="14">
        <f>IF(I57=0,0,IF(G57=5,0,(AC57+AF57/12)*12*BASE!$C$9))</f>
        <v>27874.799999999999</v>
      </c>
      <c r="AN57" s="412">
        <f>IF(I57=0,0,IF(G57=5,0,(AD57+AF57+AG57)*BASE!$C$10))</f>
        <v>452342.5</v>
      </c>
      <c r="AO57" s="837">
        <f t="shared" si="17"/>
        <v>7484688.6472222228</v>
      </c>
      <c r="AP57" s="677">
        <f t="shared" si="16"/>
        <v>1.5719182289661289</v>
      </c>
      <c r="AQ57" s="1148"/>
      <c r="AR57" s="1149"/>
      <c r="CG57" s="179">
        <v>0</v>
      </c>
      <c r="CH57" s="181">
        <v>1</v>
      </c>
      <c r="CI57" s="182" t="s">
        <v>168</v>
      </c>
    </row>
    <row r="58" spans="1:87" ht="13.5" customHeight="1" outlineLevel="1" x14ac:dyDescent="0.2">
      <c r="A58" s="368" t="s">
        <v>560</v>
      </c>
      <c r="B58" s="477" t="s">
        <v>1008</v>
      </c>
      <c r="C58" s="427"/>
      <c r="D58" s="431">
        <f>IF(E58="","",VLOOKUP(E58,BASE!$F$20:$H$25,2,FALSE))</f>
        <v>3</v>
      </c>
      <c r="E58" s="399" t="s">
        <v>540</v>
      </c>
      <c r="F58" s="436" t="s">
        <v>258</v>
      </c>
      <c r="G58" s="437">
        <f>IF(F58="","",VLOOKUP(F58,BASE!$B$15:$C$18,2,FALSE))</f>
        <v>2</v>
      </c>
      <c r="H58" s="355">
        <v>40</v>
      </c>
      <c r="I58" s="423">
        <f t="shared" si="6"/>
        <v>40</v>
      </c>
      <c r="J58" s="399">
        <v>20</v>
      </c>
      <c r="K58" s="399">
        <v>8</v>
      </c>
      <c r="L58" s="399">
        <v>8</v>
      </c>
      <c r="M58" s="399">
        <v>4</v>
      </c>
      <c r="N58" s="354"/>
      <c r="O58" s="355">
        <f t="shared" si="7"/>
        <v>40</v>
      </c>
      <c r="P58" s="354"/>
      <c r="Q58" s="354"/>
      <c r="R58" s="355">
        <f t="shared" si="8"/>
        <v>0</v>
      </c>
      <c r="S58" s="354"/>
      <c r="T58" s="354"/>
      <c r="U58" s="354"/>
      <c r="V58" s="355">
        <f t="shared" si="9"/>
        <v>0</v>
      </c>
      <c r="W58" s="354"/>
      <c r="X58" s="477">
        <f t="shared" si="10"/>
        <v>40</v>
      </c>
      <c r="Y58" s="19" t="str">
        <f t="shared" si="11"/>
        <v xml:space="preserve">OK </v>
      </c>
      <c r="Z58" s="404" t="str">
        <f t="shared" si="12"/>
        <v xml:space="preserve"> </v>
      </c>
      <c r="AA58" s="478">
        <v>12365000</v>
      </c>
      <c r="AB58" s="408">
        <v>0</v>
      </c>
      <c r="AC58" s="478">
        <f t="shared" si="13"/>
        <v>12365000</v>
      </c>
      <c r="AD58" s="478">
        <f>IF(G58=3,AC58*BASE!$I$62,IF(G58=1,AC58*(BASE!$I$61),IF(G58=2,AC58*(BASE!$I$63),AC58*BASE!$I$64)))</f>
        <v>140548833.33333334</v>
      </c>
      <c r="AE58" s="411">
        <f>IF(I58&lt;10,0,IF(AC58&lt;=BASE!$C$3*2,BASE!$C$2,0)*(AD58/AC58))</f>
        <v>0</v>
      </c>
      <c r="AF58" s="13">
        <v>0</v>
      </c>
      <c r="AG58" s="14">
        <f t="shared" si="4"/>
        <v>7808268.5185185187</v>
      </c>
      <c r="AH58" s="14">
        <f t="shared" si="14"/>
        <v>12363092</v>
      </c>
      <c r="AI58" s="14">
        <f t="shared" si="15"/>
        <v>12363091.820987655</v>
      </c>
      <c r="AJ58" s="14">
        <f t="shared" si="5"/>
        <v>1483571.0185185184</v>
      </c>
      <c r="AK58" s="14">
        <f>IF(I58=0,0,IF(G58=5,0,(AC58+AF58/12)*12*BASE!$C$5))</f>
        <v>12612300</v>
      </c>
      <c r="AL58" s="14">
        <v>0</v>
      </c>
      <c r="AM58" s="14">
        <f>IF(I58=0,0,IF(G58=5,0,(AC58+AF58/12)*12*BASE!$C$9))</f>
        <v>774543.6</v>
      </c>
      <c r="AN58" s="412">
        <f>IF(I58=0,0,IF(G58=5,0,(AD58+AF58+AG58)*BASE!$C$10))</f>
        <v>13352139.166666666</v>
      </c>
      <c r="AO58" s="837">
        <f t="shared" si="17"/>
        <v>201305839.45802465</v>
      </c>
      <c r="AP58" s="677">
        <f t="shared" si="16"/>
        <v>1.4322839591318175</v>
      </c>
      <c r="AQ58" s="1148"/>
      <c r="AR58" s="1149"/>
      <c r="CG58" s="179">
        <v>0</v>
      </c>
      <c r="CH58" s="181">
        <v>1</v>
      </c>
      <c r="CI58" s="182" t="s">
        <v>168</v>
      </c>
    </row>
    <row r="59" spans="1:87" ht="13.5" customHeight="1" outlineLevel="1" x14ac:dyDescent="0.2">
      <c r="A59" s="368" t="s">
        <v>560</v>
      </c>
      <c r="B59" s="477" t="s">
        <v>1009</v>
      </c>
      <c r="C59" s="427"/>
      <c r="D59" s="431">
        <f>IF(E59="","",VLOOKUP(E59,BASE!$F$20:$H$25,2,FALSE))</f>
        <v>5</v>
      </c>
      <c r="E59" s="399" t="s">
        <v>538</v>
      </c>
      <c r="F59" s="436" t="s">
        <v>261</v>
      </c>
      <c r="G59" s="437">
        <f>IF(F59="","",VLOOKUP(F59,BASE!$B$15:$C$18,2,FALSE))</f>
        <v>1</v>
      </c>
      <c r="H59" s="355">
        <v>5</v>
      </c>
      <c r="I59" s="423">
        <f t="shared" si="6"/>
        <v>5</v>
      </c>
      <c r="J59" s="399">
        <v>3</v>
      </c>
      <c r="K59" s="354"/>
      <c r="L59" s="354"/>
      <c r="M59" s="354"/>
      <c r="N59" s="354"/>
      <c r="O59" s="355">
        <f t="shared" si="7"/>
        <v>3</v>
      </c>
      <c r="P59" s="354"/>
      <c r="Q59" s="354"/>
      <c r="R59" s="355">
        <f t="shared" si="8"/>
        <v>0</v>
      </c>
      <c r="S59" s="354"/>
      <c r="T59" s="354"/>
      <c r="U59" s="354"/>
      <c r="V59" s="355">
        <f t="shared" si="9"/>
        <v>0</v>
      </c>
      <c r="W59" s="354">
        <v>2</v>
      </c>
      <c r="X59" s="477">
        <f t="shared" si="10"/>
        <v>5</v>
      </c>
      <c r="Y59" s="19" t="str">
        <f t="shared" si="11"/>
        <v xml:space="preserve">OK </v>
      </c>
      <c r="Z59" s="404" t="str">
        <f t="shared" si="12"/>
        <v xml:space="preserve"> </v>
      </c>
      <c r="AA59" s="478">
        <f>ROUND((IF(D59=1,(BASE!$G$51*I59),IF(D59=2,(BASE!$G$52*I59),IF(D59=3,(BASE!$G$53*I59),IF(D59=4,(BASE!$G$54*I59),IF(D59=5,(BASE!$G$55*I59),IF(D59=6,(BASE!$G$56*I59),0)))))))/1000,0)*1000</f>
        <v>445000</v>
      </c>
      <c r="AB59" s="408">
        <v>0</v>
      </c>
      <c r="AC59" s="478">
        <f t="shared" si="13"/>
        <v>445000</v>
      </c>
      <c r="AD59" s="478">
        <f>IF(G59=3,AC59*BASE!$I$62,IF(G59=1,AC59*(BASE!$I$61),IF(G59=2,AC59*(BASE!$I$63),AC59*BASE!$I$64)))</f>
        <v>4390666.666666667</v>
      </c>
      <c r="AE59" s="411">
        <f>IF(I59&lt;10,0,IF(AC59&lt;=BASE!$C$3*2,BASE!$C$2,0)*(AD59/AC59))</f>
        <v>0</v>
      </c>
      <c r="AF59" s="13">
        <v>0</v>
      </c>
      <c r="AG59" s="14">
        <f t="shared" si="4"/>
        <v>243925.92592592596</v>
      </c>
      <c r="AH59" s="14">
        <f t="shared" si="14"/>
        <v>386216</v>
      </c>
      <c r="AI59" s="14">
        <f t="shared" si="15"/>
        <v>386216.04938271607</v>
      </c>
      <c r="AJ59" s="14">
        <f t="shared" si="5"/>
        <v>38621.604938271608</v>
      </c>
      <c r="AK59" s="14">
        <f>IF(I59=0,0,IF(G59=5,0,(AC59+AF59/12)*12*BASE!$C$5))</f>
        <v>453900.00000000006</v>
      </c>
      <c r="AL59" s="14">
        <f>IF(I59=0,0,IF(G59=5,0,(AC59+AF59/12)*12*BASE!$C$7))</f>
        <v>640800</v>
      </c>
      <c r="AM59" s="14">
        <f>IF(I59=0,0,IF(G59=5,0,(AC59+AF59/12)*12*BASE!$C$9))</f>
        <v>27874.799999999999</v>
      </c>
      <c r="AN59" s="412">
        <f>IF(I59=0,0,IF(G59=5,0,(AD59+AF59+AG59)*BASE!$C$10))</f>
        <v>417113.33333333337</v>
      </c>
      <c r="AO59" s="837">
        <f t="shared" si="17"/>
        <v>6985334.380246914</v>
      </c>
      <c r="AP59" s="677">
        <f t="shared" si="16"/>
        <v>1.5909507395035485</v>
      </c>
      <c r="AQ59" s="1148"/>
      <c r="AR59" s="1149"/>
      <c r="CG59" s="179">
        <v>0</v>
      </c>
      <c r="CH59" s="181">
        <v>1</v>
      </c>
      <c r="CI59" s="182" t="s">
        <v>168</v>
      </c>
    </row>
    <row r="60" spans="1:87" ht="13.5" customHeight="1" outlineLevel="1" x14ac:dyDescent="0.2">
      <c r="A60" s="368" t="s">
        <v>560</v>
      </c>
      <c r="B60" s="477" t="s">
        <v>1010</v>
      </c>
      <c r="C60" s="427"/>
      <c r="D60" s="431">
        <f>IF(E60="","",VLOOKUP(E60,BASE!$F$20:$H$25,2,FALSE))</f>
        <v>5</v>
      </c>
      <c r="E60" s="399" t="s">
        <v>538</v>
      </c>
      <c r="F60" s="436" t="s">
        <v>546</v>
      </c>
      <c r="G60" s="437">
        <f>IF(F60="","",VLOOKUP(F60,BASE!$B$15:$C$18,2,FALSE))</f>
        <v>3</v>
      </c>
      <c r="H60" s="355">
        <v>10</v>
      </c>
      <c r="I60" s="423">
        <f t="shared" si="6"/>
        <v>10</v>
      </c>
      <c r="J60" s="354">
        <v>4</v>
      </c>
      <c r="K60" s="354">
        <v>2</v>
      </c>
      <c r="L60" s="399">
        <v>2</v>
      </c>
      <c r="M60" s="399">
        <v>2</v>
      </c>
      <c r="N60" s="354"/>
      <c r="O60" s="355">
        <f t="shared" si="7"/>
        <v>10</v>
      </c>
      <c r="P60" s="354"/>
      <c r="Q60" s="354"/>
      <c r="R60" s="355">
        <f t="shared" si="8"/>
        <v>0</v>
      </c>
      <c r="S60" s="354"/>
      <c r="T60" s="354"/>
      <c r="U60" s="354"/>
      <c r="V60" s="355">
        <f t="shared" si="9"/>
        <v>0</v>
      </c>
      <c r="W60" s="354"/>
      <c r="X60" s="477">
        <f t="shared" si="10"/>
        <v>10</v>
      </c>
      <c r="Y60" s="19" t="str">
        <f t="shared" si="11"/>
        <v xml:space="preserve">OK </v>
      </c>
      <c r="Z60" s="404" t="str">
        <f t="shared" si="12"/>
        <v xml:space="preserve"> </v>
      </c>
      <c r="AA60" s="478">
        <f>ROUND((IF(D60=1,(BASE!$G$51*I60),IF(D60=2,(BASE!$G$52*I60),IF(D60=3,(BASE!$G$53*I60),IF(D60=4,(BASE!$G$54*I60),IF(D60=5,(BASE!$G$55*I60),IF(D60=6,(BASE!$G$56*I60),0)))))))/1000,0)*1000</f>
        <v>890000</v>
      </c>
      <c r="AB60" s="408">
        <v>0</v>
      </c>
      <c r="AC60" s="478">
        <f t="shared" si="13"/>
        <v>890000</v>
      </c>
      <c r="AD60" s="478">
        <f>IF(G60=3,AC60*BASE!$I$62,IF(G60=1,AC60*(BASE!$I$61),IF(G60=2,AC60*(BASE!$I$63),AC60*BASE!$I$64)))</f>
        <v>9523000</v>
      </c>
      <c r="AE60" s="411">
        <f>IF(I60&lt;10,0,IF(AC60&lt;=BASE!$C$3*2,BASE!$C$2,0)*(AD60/AC60))</f>
        <v>943857.7</v>
      </c>
      <c r="AF60" s="13">
        <v>0</v>
      </c>
      <c r="AG60" s="14">
        <f t="shared" si="4"/>
        <v>529055.55555555562</v>
      </c>
      <c r="AH60" s="14">
        <f t="shared" si="14"/>
        <v>916326</v>
      </c>
      <c r="AI60" s="14">
        <f t="shared" si="15"/>
        <v>916326.10462962964</v>
      </c>
      <c r="AJ60" s="14">
        <f t="shared" si="5"/>
        <v>100795.87150925926</v>
      </c>
      <c r="AK60" s="14">
        <f>IF(I60=0,0,IF(G60=5,0,(AC60+AF60/12)*12*BASE!$C$5))</f>
        <v>907800.00000000012</v>
      </c>
      <c r="AL60" s="14">
        <f>IF(I60=0,0,IF(G60=5,0,(AC60+AF60/12)*12*BASE!$C$7))</f>
        <v>1281600</v>
      </c>
      <c r="AM60" s="14">
        <f>IF(I60=0,0,IF(G60=5,0,(AC60+AF60/12)*12*BASE!$C$9))</f>
        <v>55749.599999999999</v>
      </c>
      <c r="AN60" s="412">
        <f>IF(I60=0,0,IF(G60=5,0,(AD60+AF60+AG60)*BASE!$C$10))</f>
        <v>904685</v>
      </c>
      <c r="AO60" s="837">
        <f t="shared" si="17"/>
        <v>16079195.831694445</v>
      </c>
      <c r="AP60" s="677">
        <f t="shared" si="16"/>
        <v>1.6884590813498315</v>
      </c>
      <c r="AQ60" s="1148"/>
      <c r="AR60" s="1149"/>
      <c r="CG60" s="179">
        <v>0</v>
      </c>
      <c r="CH60" s="181">
        <v>1</v>
      </c>
      <c r="CI60" s="182" t="s">
        <v>168</v>
      </c>
    </row>
    <row r="61" spans="1:87" ht="13.5" customHeight="1" outlineLevel="1" x14ac:dyDescent="0.2">
      <c r="A61" s="368" t="s">
        <v>560</v>
      </c>
      <c r="B61" s="477" t="s">
        <v>1011</v>
      </c>
      <c r="C61" s="427"/>
      <c r="D61" s="431">
        <f>IF(E61="","",VLOOKUP(E61,BASE!$F$20:$H$25,2,FALSE))</f>
        <v>4</v>
      </c>
      <c r="E61" s="399" t="s">
        <v>539</v>
      </c>
      <c r="F61" s="436" t="s">
        <v>863</v>
      </c>
      <c r="G61" s="437">
        <f>IF(F61="","",VLOOKUP(F61,BASE!$B$15:$C$18,2,FALSE))</f>
        <v>4</v>
      </c>
      <c r="H61" s="355">
        <v>15</v>
      </c>
      <c r="I61" s="423">
        <v>0</v>
      </c>
      <c r="J61" s="354"/>
      <c r="K61" s="354"/>
      <c r="L61" s="354"/>
      <c r="M61" s="354"/>
      <c r="N61" s="354"/>
      <c r="O61" s="355">
        <f t="shared" si="7"/>
        <v>0</v>
      </c>
      <c r="P61" s="354"/>
      <c r="Q61" s="354"/>
      <c r="R61" s="355">
        <f t="shared" si="8"/>
        <v>0</v>
      </c>
      <c r="S61" s="354"/>
      <c r="T61" s="354"/>
      <c r="U61" s="354"/>
      <c r="V61" s="355">
        <f t="shared" si="9"/>
        <v>0</v>
      </c>
      <c r="W61" s="354"/>
      <c r="X61" s="477">
        <f t="shared" si="10"/>
        <v>0</v>
      </c>
      <c r="Y61" s="19" t="str">
        <f t="shared" si="11"/>
        <v xml:space="preserve">OK </v>
      </c>
      <c r="Z61" s="404" t="str">
        <f t="shared" si="12"/>
        <v>JUSTIFICAR</v>
      </c>
      <c r="AA61" s="478">
        <f>ROUND((IF(D61=1,(BASE!$G$51*I61),IF(D61=2,(BASE!$G$52*I61),IF(D61=3,(BASE!$G$53*I61),IF(D61=4,(BASE!$G$54*I61),IF(D61=5,(BASE!$G$55*I61),IF(D61=6,(BASE!$G$56*I61),0)))))))/1000,0)*1000</f>
        <v>0</v>
      </c>
      <c r="AB61" s="408">
        <v>0</v>
      </c>
      <c r="AC61" s="478">
        <f t="shared" si="13"/>
        <v>0</v>
      </c>
      <c r="AD61" s="478">
        <f>IF(G61=3,AC61*BASE!$I$62,IF(G61=1,AC61*(BASE!$I$61),IF(G61=2,AC61*(BASE!$I$63),AC61*BASE!$I$64)))</f>
        <v>0</v>
      </c>
      <c r="AE61" s="411">
        <f>IF(I61&lt;10,0,IF(AC61&lt;=BASE!$C$3*2,BASE!$C$2,0)*(AD61/AC61))</f>
        <v>0</v>
      </c>
      <c r="AF61" s="13">
        <v>0</v>
      </c>
      <c r="AG61" s="14">
        <f t="shared" si="4"/>
        <v>0</v>
      </c>
      <c r="AH61" s="14">
        <f t="shared" si="14"/>
        <v>0</v>
      </c>
      <c r="AI61" s="14">
        <f t="shared" si="15"/>
        <v>0</v>
      </c>
      <c r="AJ61" s="14">
        <f t="shared" si="5"/>
        <v>0</v>
      </c>
      <c r="AK61" s="14">
        <f>IF(I61=0,0,IF(G61=5,0,(AC61+AF61/12)*12*BASE!$C$5))</f>
        <v>0</v>
      </c>
      <c r="AL61" s="14">
        <f>IF(I61=0,0,IF(G61=5,0,(AC61+AF61/12)*12*BASE!$C$7))</f>
        <v>0</v>
      </c>
      <c r="AM61" s="14">
        <f>IF(I61=0,0,IF(G61=5,0,(AC61+AF61/12)*12*BASE!$C$9))</f>
        <v>0</v>
      </c>
      <c r="AN61" s="412">
        <f>IF(I61=0,0,IF(G61=5,0,(AD61+AF61+AG61)*BASE!$C$10))</f>
        <v>0</v>
      </c>
      <c r="AO61" s="837">
        <f t="shared" si="17"/>
        <v>0</v>
      </c>
      <c r="AP61" s="677" t="str">
        <f t="shared" si="16"/>
        <v>Sin datos</v>
      </c>
      <c r="AQ61" s="1150" t="s">
        <v>1244</v>
      </c>
      <c r="AR61" s="1149"/>
      <c r="CG61" s="179">
        <v>0</v>
      </c>
      <c r="CH61" s="181">
        <v>1</v>
      </c>
      <c r="CI61" s="182" t="s">
        <v>168</v>
      </c>
    </row>
    <row r="62" spans="1:87" ht="13.5" customHeight="1" outlineLevel="1" x14ac:dyDescent="0.2">
      <c r="A62" s="368" t="s">
        <v>560</v>
      </c>
      <c r="B62" s="477" t="s">
        <v>1012</v>
      </c>
      <c r="C62" s="427"/>
      <c r="D62" s="431">
        <f>IF(E62="","",VLOOKUP(E62,BASE!$F$20:$H$25,2,FALSE))</f>
        <v>3</v>
      </c>
      <c r="E62" s="399" t="s">
        <v>540</v>
      </c>
      <c r="F62" s="436" t="s">
        <v>258</v>
      </c>
      <c r="G62" s="437">
        <f>IF(F62="","",VLOOKUP(F62,BASE!$B$15:$C$18,2,FALSE))</f>
        <v>2</v>
      </c>
      <c r="H62" s="355">
        <v>20</v>
      </c>
      <c r="I62" s="423">
        <f t="shared" si="6"/>
        <v>20</v>
      </c>
      <c r="J62" s="399">
        <v>10</v>
      </c>
      <c r="K62" s="354">
        <v>4</v>
      </c>
      <c r="L62" s="399">
        <v>4</v>
      </c>
      <c r="M62" s="399">
        <v>2</v>
      </c>
      <c r="N62" s="354"/>
      <c r="O62" s="355">
        <f t="shared" si="7"/>
        <v>20</v>
      </c>
      <c r="P62" s="354"/>
      <c r="Q62" s="354"/>
      <c r="R62" s="355">
        <f t="shared" si="8"/>
        <v>0</v>
      </c>
      <c r="S62" s="354"/>
      <c r="T62" s="354"/>
      <c r="U62" s="354"/>
      <c r="V62" s="355">
        <f t="shared" si="9"/>
        <v>0</v>
      </c>
      <c r="W62" s="354"/>
      <c r="X62" s="477">
        <f t="shared" si="10"/>
        <v>20</v>
      </c>
      <c r="Y62" s="19" t="str">
        <f t="shared" si="11"/>
        <v xml:space="preserve">OK </v>
      </c>
      <c r="Z62" s="404" t="str">
        <f t="shared" si="12"/>
        <v xml:space="preserve"> </v>
      </c>
      <c r="AA62" s="478">
        <f>ROUND((IF(D62=1,(BASE!$G$51*I62),IF(D62=2,(BASE!$G$52*I62),IF(D62=3,(BASE!$G$53*I62),IF(D62=4,(BASE!$G$54*I62),IF(D62=5,(BASE!$G$55*I62),IF(D62=6,(BASE!$G$56*I62),0)))))))/1000,0)*1000</f>
        <v>2736000</v>
      </c>
      <c r="AB62" s="408">
        <v>0</v>
      </c>
      <c r="AC62" s="478">
        <f t="shared" si="13"/>
        <v>2736000</v>
      </c>
      <c r="AD62" s="478">
        <f>IF(G62=3,AC62*BASE!$I$62,IF(G62=1,AC62*(BASE!$I$61),IF(G62=2,AC62*(BASE!$I$63),AC62*BASE!$I$64)))</f>
        <v>31099200</v>
      </c>
      <c r="AE62" s="411">
        <f>IF(I62&lt;10,0,IF(AC62&lt;=BASE!$C$3*2,BASE!$C$2,0)*(AD62/AC62))</f>
        <v>0</v>
      </c>
      <c r="AF62" s="13">
        <v>0</v>
      </c>
      <c r="AG62" s="14">
        <f t="shared" si="4"/>
        <v>1727733.3333333333</v>
      </c>
      <c r="AH62" s="14">
        <f t="shared" si="14"/>
        <v>2735578</v>
      </c>
      <c r="AI62" s="14">
        <f t="shared" si="15"/>
        <v>2735577.777777778</v>
      </c>
      <c r="AJ62" s="14">
        <f t="shared" si="5"/>
        <v>328269.33333333337</v>
      </c>
      <c r="AK62" s="14">
        <f>IF(I62=0,0,IF(G62=5,0,(AC62+AF62/12)*12*BASE!$C$5))</f>
        <v>2790720</v>
      </c>
      <c r="AL62" s="14">
        <f>IF(I62=0,0,IF(G62=5,0,(AC62+AF62/12)*12*BASE!$C$7))</f>
        <v>3939840</v>
      </c>
      <c r="AM62" s="14">
        <f>IF(I62=0,0,IF(G62=5,0,(AC62+AF62/12)*12*BASE!$C$9))</f>
        <v>171383.04000000001</v>
      </c>
      <c r="AN62" s="412">
        <f>IF(I62=0,0,IF(G62=5,0,(AD62+AF62+AG62)*BASE!$C$10))</f>
        <v>2954424</v>
      </c>
      <c r="AO62" s="837">
        <f t="shared" si="17"/>
        <v>48482725.484444439</v>
      </c>
      <c r="AP62" s="677">
        <f t="shared" si="16"/>
        <v>1.5589701820125417</v>
      </c>
      <c r="AQ62" s="1148"/>
      <c r="AR62" s="1149"/>
      <c r="CG62" s="179">
        <v>0</v>
      </c>
      <c r="CH62" s="181">
        <v>1</v>
      </c>
      <c r="CI62" s="182" t="s">
        <v>168</v>
      </c>
    </row>
    <row r="63" spans="1:87" ht="13.5" customHeight="1" outlineLevel="1" x14ac:dyDescent="0.2">
      <c r="A63" s="368" t="s">
        <v>560</v>
      </c>
      <c r="B63" s="477" t="s">
        <v>1013</v>
      </c>
      <c r="C63" s="427"/>
      <c r="D63" s="431">
        <f>IF(E63="","",VLOOKUP(E63,BASE!$F$20:$H$25,2,FALSE))</f>
        <v>3</v>
      </c>
      <c r="E63" s="399" t="s">
        <v>540</v>
      </c>
      <c r="F63" s="436" t="s">
        <v>863</v>
      </c>
      <c r="G63" s="437">
        <f>IF(F63="","",VLOOKUP(F63,BASE!$B$15:$C$18,2,FALSE))</f>
        <v>4</v>
      </c>
      <c r="H63" s="355">
        <v>30</v>
      </c>
      <c r="I63" s="423">
        <f t="shared" si="6"/>
        <v>30</v>
      </c>
      <c r="J63" s="399">
        <v>15</v>
      </c>
      <c r="K63" s="399">
        <v>6</v>
      </c>
      <c r="L63" s="399">
        <v>4</v>
      </c>
      <c r="M63" s="399">
        <v>3</v>
      </c>
      <c r="N63" s="399">
        <v>2</v>
      </c>
      <c r="O63" s="355">
        <f t="shared" si="7"/>
        <v>30</v>
      </c>
      <c r="P63" s="354"/>
      <c r="Q63" s="354"/>
      <c r="R63" s="355">
        <f t="shared" si="8"/>
        <v>0</v>
      </c>
      <c r="S63" s="354"/>
      <c r="T63" s="354"/>
      <c r="U63" s="354"/>
      <c r="V63" s="355">
        <f t="shared" si="9"/>
        <v>0</v>
      </c>
      <c r="W63" s="354"/>
      <c r="X63" s="477">
        <f t="shared" si="10"/>
        <v>30</v>
      </c>
      <c r="Y63" s="19" t="str">
        <f t="shared" si="11"/>
        <v xml:space="preserve">OK </v>
      </c>
      <c r="Z63" s="404" t="str">
        <f t="shared" si="12"/>
        <v xml:space="preserve"> </v>
      </c>
      <c r="AA63" s="478">
        <f>ROUND((IF(D63=1,(BASE!$G$51*I63),IF(D63=2,(BASE!$G$52*I63),IF(D63=3,(BASE!$G$53*I63),IF(D63=4,(BASE!$G$54*I63),IF(D63=5,(BASE!$G$55*I63),IF(D63=6,(BASE!$G$56*I63),0)))))))/1000,0)*1000</f>
        <v>4104000</v>
      </c>
      <c r="AB63" s="408">
        <v>0</v>
      </c>
      <c r="AC63" s="478">
        <f t="shared" si="13"/>
        <v>4104000</v>
      </c>
      <c r="AD63" s="478">
        <f>IF(G63=3,AC63*BASE!$I$62,IF(G63=1,AC63*(BASE!$I$61),IF(G63=2,AC63*(BASE!$I$63),AC63*BASE!$I$64)))</f>
        <v>46648800</v>
      </c>
      <c r="AE63" s="411">
        <f>IF(I63&lt;10,0,IF(AC63&lt;=BASE!$C$3*2,BASE!$C$2,0)*(AD63/AC63))</f>
        <v>0</v>
      </c>
      <c r="AF63" s="13">
        <v>0</v>
      </c>
      <c r="AG63" s="14">
        <f t="shared" si="4"/>
        <v>2591600</v>
      </c>
      <c r="AH63" s="14">
        <f t="shared" si="14"/>
        <v>4103367</v>
      </c>
      <c r="AI63" s="14">
        <f t="shared" si="15"/>
        <v>4103366.6666666665</v>
      </c>
      <c r="AJ63" s="14">
        <f t="shared" si="5"/>
        <v>492403.99999999994</v>
      </c>
      <c r="AK63" s="14">
        <f>IF(I63=0,0,IF(G63=5,0,(AC63+AF63/12)*12*BASE!$C$5))</f>
        <v>4186080.0000000005</v>
      </c>
      <c r="AL63" s="14">
        <f>IF(I63=0,0,IF(G63=5,0,(AC63+AF63/12)*12*BASE!$C$7))</f>
        <v>5909760</v>
      </c>
      <c r="AM63" s="14">
        <f>IF(I63=0,0,IF(G63=5,0,(AC63+AF63/12)*12*BASE!$C$9))</f>
        <v>257074.56</v>
      </c>
      <c r="AN63" s="412">
        <f>IF(I63=0,0,IF(G63=5,0,(AD63+AF63+AG63)*BASE!$C$10))</f>
        <v>4431636</v>
      </c>
      <c r="AO63" s="837">
        <f t="shared" si="17"/>
        <v>72724088.226666659</v>
      </c>
      <c r="AP63" s="677">
        <f t="shared" si="16"/>
        <v>1.5589701820125417</v>
      </c>
      <c r="AQ63" s="1148"/>
      <c r="AR63" s="1149"/>
      <c r="CG63" s="179">
        <v>0</v>
      </c>
      <c r="CH63" s="181">
        <v>1</v>
      </c>
      <c r="CI63" s="182" t="s">
        <v>168</v>
      </c>
    </row>
    <row r="64" spans="1:87" ht="13.5" customHeight="1" outlineLevel="1" x14ac:dyDescent="0.2">
      <c r="A64" s="368" t="s">
        <v>560</v>
      </c>
      <c r="B64" s="477" t="s">
        <v>1014</v>
      </c>
      <c r="C64" s="427"/>
      <c r="D64" s="431">
        <f>IF(E64="","",VLOOKUP(E64,BASE!$F$20:$H$25,2,FALSE))</f>
        <v>4</v>
      </c>
      <c r="E64" s="399" t="s">
        <v>539</v>
      </c>
      <c r="F64" s="436" t="s">
        <v>863</v>
      </c>
      <c r="G64" s="437">
        <f>IF(F64="","",VLOOKUP(F64,BASE!$B$15:$C$18,2,FALSE))</f>
        <v>4</v>
      </c>
      <c r="H64" s="355">
        <v>40</v>
      </c>
      <c r="I64" s="423">
        <f t="shared" si="6"/>
        <v>40</v>
      </c>
      <c r="J64" s="399">
        <v>10</v>
      </c>
      <c r="K64" s="399">
        <v>4</v>
      </c>
      <c r="L64" s="399">
        <v>2</v>
      </c>
      <c r="M64" s="399">
        <v>3</v>
      </c>
      <c r="N64" s="399">
        <v>1</v>
      </c>
      <c r="O64" s="355">
        <f t="shared" si="7"/>
        <v>20</v>
      </c>
      <c r="P64" s="354"/>
      <c r="Q64" s="354">
        <v>20</v>
      </c>
      <c r="R64" s="355">
        <f t="shared" si="8"/>
        <v>20</v>
      </c>
      <c r="S64" s="354"/>
      <c r="T64" s="354"/>
      <c r="U64" s="354"/>
      <c r="V64" s="355">
        <f t="shared" si="9"/>
        <v>0</v>
      </c>
      <c r="W64" s="354"/>
      <c r="X64" s="477">
        <f t="shared" si="10"/>
        <v>40</v>
      </c>
      <c r="Y64" s="19" t="str">
        <f t="shared" si="11"/>
        <v xml:space="preserve">OK </v>
      </c>
      <c r="Z64" s="404" t="str">
        <f t="shared" si="12"/>
        <v xml:space="preserve"> </v>
      </c>
      <c r="AA64" s="478">
        <f>ROUND((IF(D64=1,(BASE!$G$51*I64),IF(D64=2,(BASE!$G$52*I64),IF(D64=3,(BASE!$G$53*I64),IF(D64=4,(BASE!$G$54*I64),IF(D64=5,(BASE!$G$55*I64),IF(D64=6,(BASE!$G$56*I64),0)))))))/1000,0)*1000</f>
        <v>4456000</v>
      </c>
      <c r="AB64" s="408">
        <v>0</v>
      </c>
      <c r="AC64" s="478">
        <f t="shared" si="13"/>
        <v>4456000</v>
      </c>
      <c r="AD64" s="478">
        <f>IF(G64=3,AC64*BASE!$I$62,IF(G64=1,AC64*(BASE!$I$61),IF(G64=2,AC64*(BASE!$I$63),AC64*BASE!$I$64)))</f>
        <v>50649866.666666672</v>
      </c>
      <c r="AE64" s="411">
        <f>IF(I64&lt;10,0,IF(AC64&lt;=BASE!$C$3*2,BASE!$C$2,0)*(AD64/AC64))</f>
        <v>0</v>
      </c>
      <c r="AF64" s="13">
        <v>0</v>
      </c>
      <c r="AG64" s="14">
        <f t="shared" si="4"/>
        <v>2813881.4814814818</v>
      </c>
      <c r="AH64" s="14">
        <f t="shared" si="14"/>
        <v>4455312</v>
      </c>
      <c r="AI64" s="14">
        <f t="shared" si="15"/>
        <v>4455312.3456790131</v>
      </c>
      <c r="AJ64" s="14">
        <f t="shared" si="5"/>
        <v>534637.48148148158</v>
      </c>
      <c r="AK64" s="14">
        <f>IF(I64=0,0,IF(G64=5,0,(AC64+AF64/12)*12*BASE!$C$5))</f>
        <v>4545120</v>
      </c>
      <c r="AL64" s="14">
        <f>IF(I64=0,0,IF(G64=5,0,(AC64+AF64/12)*12*BASE!$C$7))</f>
        <v>6416640</v>
      </c>
      <c r="AM64" s="14">
        <f>IF(I64=0,0,IF(G64=5,0,(AC64+AF64/12)*12*BASE!$C$9))</f>
        <v>279123.83999999997</v>
      </c>
      <c r="AN64" s="412">
        <f>IF(I64=0,0,IF(G64=5,0,(AD64+AF64+AG64)*BASE!$C$10))</f>
        <v>4811737.333333334</v>
      </c>
      <c r="AO64" s="837">
        <f t="shared" ref="AO64:AO80" si="18">+AD64+AE64+AF64+AG64+AH64+AI64+AJ64+AK64+AL64+AM64+AN64</f>
        <v>78961631.148641989</v>
      </c>
      <c r="AP64" s="677">
        <f t="shared" si="16"/>
        <v>1.558970168042074</v>
      </c>
      <c r="AQ64" s="1148"/>
      <c r="AR64" s="1149"/>
      <c r="CG64" s="179">
        <v>0</v>
      </c>
      <c r="CH64" s="181">
        <v>1</v>
      </c>
      <c r="CI64" s="182" t="s">
        <v>168</v>
      </c>
    </row>
    <row r="65" spans="1:87" ht="13.5" customHeight="1" outlineLevel="1" x14ac:dyDescent="0.2">
      <c r="A65" s="368" t="s">
        <v>560</v>
      </c>
      <c r="B65" s="477" t="s">
        <v>1015</v>
      </c>
      <c r="C65" s="427"/>
      <c r="D65" s="431">
        <f>IF(E65="","",VLOOKUP(E65,BASE!$F$20:$H$25,2,FALSE))</f>
        <v>4</v>
      </c>
      <c r="E65" s="399" t="s">
        <v>539</v>
      </c>
      <c r="F65" s="436" t="s">
        <v>546</v>
      </c>
      <c r="G65" s="437">
        <f>IF(F65="","",VLOOKUP(F65,BASE!$B$15:$C$18,2,FALSE))</f>
        <v>3</v>
      </c>
      <c r="H65" s="355">
        <v>20</v>
      </c>
      <c r="I65" s="423">
        <f t="shared" si="6"/>
        <v>20</v>
      </c>
      <c r="J65" s="399">
        <v>4</v>
      </c>
      <c r="K65" s="399">
        <v>1</v>
      </c>
      <c r="L65" s="399">
        <v>1</v>
      </c>
      <c r="M65" s="399">
        <v>1</v>
      </c>
      <c r="N65" s="399">
        <v>1</v>
      </c>
      <c r="O65" s="355">
        <f t="shared" si="7"/>
        <v>8</v>
      </c>
      <c r="P65" s="354"/>
      <c r="Q65" s="354"/>
      <c r="R65" s="355">
        <f t="shared" si="8"/>
        <v>0</v>
      </c>
      <c r="S65" s="354">
        <v>12</v>
      </c>
      <c r="T65" s="354"/>
      <c r="U65" s="354"/>
      <c r="V65" s="355">
        <f t="shared" si="9"/>
        <v>12</v>
      </c>
      <c r="W65" s="354"/>
      <c r="X65" s="477">
        <f t="shared" si="10"/>
        <v>20</v>
      </c>
      <c r="Y65" s="19" t="str">
        <f t="shared" si="11"/>
        <v xml:space="preserve">OK </v>
      </c>
      <c r="Z65" s="404" t="str">
        <f t="shared" si="12"/>
        <v xml:space="preserve"> </v>
      </c>
      <c r="AA65" s="478">
        <f>ROUND((IF(D65=1,(BASE!$G$51*I65),IF(D65=2,(BASE!$G$52*I65),IF(D65=3,(BASE!$G$53*I65),IF(D65=4,(BASE!$G$54*I65),IF(D65=5,(BASE!$G$55*I65),IF(D65=6,(BASE!$G$56*I65),0)))))))/1000,0)*1000</f>
        <v>2228000</v>
      </c>
      <c r="AB65" s="408">
        <v>0</v>
      </c>
      <c r="AC65" s="478">
        <f t="shared" si="13"/>
        <v>2228000</v>
      </c>
      <c r="AD65" s="478">
        <f>IF(G65=3,AC65*BASE!$I$62,IF(G65=1,AC65*(BASE!$I$61),IF(G65=2,AC65*(BASE!$I$63),AC65*BASE!$I$64)))</f>
        <v>23839600</v>
      </c>
      <c r="AE65" s="411">
        <f>IF(I65&lt;10,0,IF(AC65&lt;=BASE!$C$3*2,BASE!$C$2,0)*(AD65/AC65))</f>
        <v>0</v>
      </c>
      <c r="AF65" s="13">
        <v>0</v>
      </c>
      <c r="AG65" s="14">
        <f t="shared" si="4"/>
        <v>1324422.2222222222</v>
      </c>
      <c r="AH65" s="14">
        <f t="shared" si="14"/>
        <v>2097002</v>
      </c>
      <c r="AI65" s="14">
        <f t="shared" si="15"/>
        <v>2097001.8518518517</v>
      </c>
      <c r="AJ65" s="14">
        <f t="shared" si="5"/>
        <v>230670.20370370368</v>
      </c>
      <c r="AK65" s="14">
        <f>IF(I65=0,0,IF(G65=5,0,(AC65+AF65/12)*12*BASE!$C$5))</f>
        <v>2272560</v>
      </c>
      <c r="AL65" s="14">
        <f>IF(I65=0,0,IF(G65=5,0,(AC65+AF65/12)*12*BASE!$C$7))</f>
        <v>3208320</v>
      </c>
      <c r="AM65" s="14">
        <f>IF(I65=0,0,IF(G65=5,0,(AC65+AF65/12)*12*BASE!$C$9))</f>
        <v>139561.91999999998</v>
      </c>
      <c r="AN65" s="412">
        <f>IF(I65=0,0,IF(G65=5,0,(AD65+AF65+AG65)*BASE!$C$10))</f>
        <v>2264762</v>
      </c>
      <c r="AO65" s="837">
        <f t="shared" si="18"/>
        <v>37473900.197777778</v>
      </c>
      <c r="AP65" s="677">
        <f t="shared" si="16"/>
        <v>1.571918161285331</v>
      </c>
      <c r="AQ65" s="1148"/>
      <c r="AR65" s="1149"/>
      <c r="CG65" s="179">
        <v>0</v>
      </c>
      <c r="CH65" s="181">
        <v>1</v>
      </c>
      <c r="CI65" s="182" t="s">
        <v>168</v>
      </c>
    </row>
    <row r="66" spans="1:87" ht="13.5" customHeight="1" outlineLevel="1" x14ac:dyDescent="0.2">
      <c r="A66" s="368" t="s">
        <v>560</v>
      </c>
      <c r="B66" s="477" t="s">
        <v>1016</v>
      </c>
      <c r="C66" s="427"/>
      <c r="D66" s="431">
        <f>IF(E66="","",VLOOKUP(E66,BASE!$F$20:$H$25,2,FALSE))</f>
        <v>4</v>
      </c>
      <c r="E66" s="399" t="s">
        <v>539</v>
      </c>
      <c r="F66" s="436" t="s">
        <v>546</v>
      </c>
      <c r="G66" s="437">
        <f>IF(F66="","",VLOOKUP(F66,BASE!$B$15:$C$18,2,FALSE))</f>
        <v>3</v>
      </c>
      <c r="H66" s="355">
        <v>30</v>
      </c>
      <c r="I66" s="423">
        <f t="shared" si="6"/>
        <v>30</v>
      </c>
      <c r="J66" s="354"/>
      <c r="K66" s="354"/>
      <c r="L66" s="354"/>
      <c r="M66" s="354"/>
      <c r="N66" s="354"/>
      <c r="O66" s="355">
        <f t="shared" si="7"/>
        <v>0</v>
      </c>
      <c r="P66" s="354"/>
      <c r="Q66" s="354">
        <v>30</v>
      </c>
      <c r="R66" s="355">
        <f t="shared" si="8"/>
        <v>30</v>
      </c>
      <c r="S66" s="354"/>
      <c r="T66" s="354"/>
      <c r="U66" s="354"/>
      <c r="V66" s="355">
        <f t="shared" si="9"/>
        <v>0</v>
      </c>
      <c r="W66" s="354"/>
      <c r="X66" s="477">
        <f t="shared" si="10"/>
        <v>30</v>
      </c>
      <c r="Y66" s="19" t="str">
        <f t="shared" si="11"/>
        <v xml:space="preserve">OK </v>
      </c>
      <c r="Z66" s="404" t="str">
        <f t="shared" si="12"/>
        <v xml:space="preserve"> </v>
      </c>
      <c r="AA66" s="478">
        <f>ROUND((IF(D66=1,(BASE!$G$51*I66),IF(D66=2,(BASE!$G$52*I66),IF(D66=3,(BASE!$G$53*I66),IF(D66=4,(BASE!$G$54*I66),IF(D66=5,(BASE!$G$55*I66),IF(D66=6,(BASE!$G$56*I66),0)))))))/1000,0)*1000</f>
        <v>3342000</v>
      </c>
      <c r="AB66" s="408">
        <v>0</v>
      </c>
      <c r="AC66" s="478">
        <f t="shared" si="13"/>
        <v>3342000</v>
      </c>
      <c r="AD66" s="478">
        <f>IF(G66=3,AC66*BASE!$I$62,IF(G66=1,AC66*(BASE!$I$61),IF(G66=2,AC66*(BASE!$I$63),AC66*BASE!$I$64)))</f>
        <v>35759400</v>
      </c>
      <c r="AE66" s="411">
        <f>IF(I66&lt;10,0,IF(AC66&lt;=BASE!$C$3*2,BASE!$C$2,0)*(AD66/AC66))</f>
        <v>0</v>
      </c>
      <c r="AF66" s="13">
        <v>0</v>
      </c>
      <c r="AG66" s="14">
        <f t="shared" si="4"/>
        <v>1986633.3333333333</v>
      </c>
      <c r="AH66" s="14">
        <f t="shared" si="14"/>
        <v>3145503</v>
      </c>
      <c r="AI66" s="14">
        <f t="shared" si="15"/>
        <v>3145502.777777778</v>
      </c>
      <c r="AJ66" s="14">
        <f t="shared" si="5"/>
        <v>346005.30555555556</v>
      </c>
      <c r="AK66" s="14">
        <f>IF(I66=0,0,IF(G66=5,0,(AC66+AF66/12)*12*BASE!$C$5))</f>
        <v>3408840.0000000005</v>
      </c>
      <c r="AL66" s="14">
        <f>IF(I66=0,0,IF(G66=5,0,(AC66+AF66/12)*12*BASE!$C$7))</f>
        <v>4812480</v>
      </c>
      <c r="AM66" s="14">
        <f>IF(I66=0,0,IF(G66=5,0,(AC66+AF66/12)*12*BASE!$C$9))</f>
        <v>209342.88</v>
      </c>
      <c r="AN66" s="412">
        <f>IF(I66=0,0,IF(G66=5,0,(AD66+AF66+AG66)*BASE!$C$10))</f>
        <v>3397143</v>
      </c>
      <c r="AO66" s="837">
        <f t="shared" si="18"/>
        <v>56210850.296666667</v>
      </c>
      <c r="AP66" s="677">
        <f t="shared" si="16"/>
        <v>1.571918161285331</v>
      </c>
      <c r="AQ66" s="1148"/>
      <c r="AR66" s="1149"/>
      <c r="CG66" s="179">
        <v>0</v>
      </c>
      <c r="CH66" s="181">
        <v>1</v>
      </c>
      <c r="CI66" s="182" t="s">
        <v>168</v>
      </c>
    </row>
    <row r="67" spans="1:87" ht="13.5" customHeight="1" outlineLevel="1" x14ac:dyDescent="0.2">
      <c r="A67" s="368" t="s">
        <v>560</v>
      </c>
      <c r="B67" s="477" t="s">
        <v>1017</v>
      </c>
      <c r="C67" s="427"/>
      <c r="D67" s="431">
        <f>IF(E67="","",VLOOKUP(E67,BASE!$F$20:$H$25,2,FALSE))</f>
        <v>2</v>
      </c>
      <c r="E67" s="399" t="s">
        <v>541</v>
      </c>
      <c r="F67" s="436" t="s">
        <v>863</v>
      </c>
      <c r="G67" s="437">
        <f>IF(F67="","",VLOOKUP(F67,BASE!$B$15:$C$18,2,FALSE))</f>
        <v>4</v>
      </c>
      <c r="H67" s="355">
        <v>21</v>
      </c>
      <c r="I67" s="423">
        <f t="shared" si="6"/>
        <v>21</v>
      </c>
      <c r="J67" s="354"/>
      <c r="K67" s="354"/>
      <c r="L67" s="354"/>
      <c r="M67" s="354"/>
      <c r="N67" s="354"/>
      <c r="O67" s="355">
        <f t="shared" si="7"/>
        <v>0</v>
      </c>
      <c r="P67" s="354"/>
      <c r="Q67" s="354"/>
      <c r="R67" s="355">
        <f t="shared" si="8"/>
        <v>0</v>
      </c>
      <c r="S67" s="354">
        <v>21</v>
      </c>
      <c r="T67" s="354"/>
      <c r="U67" s="354"/>
      <c r="V67" s="355">
        <f t="shared" si="9"/>
        <v>21</v>
      </c>
      <c r="W67" s="354"/>
      <c r="X67" s="477">
        <f t="shared" si="10"/>
        <v>21</v>
      </c>
      <c r="Y67" s="19" t="str">
        <f t="shared" si="11"/>
        <v xml:space="preserve">OK </v>
      </c>
      <c r="Z67" s="404" t="str">
        <f t="shared" si="12"/>
        <v xml:space="preserve"> </v>
      </c>
      <c r="AA67" s="478">
        <f>ROUND((IF(D67=1,(BASE!$G$51*I67),IF(D67=2,(BASE!$G$52*I67),IF(D67=3,(BASE!$G$53*I67),IF(D67=4,(BASE!$G$54*I67),IF(D67=5,(BASE!$G$55*I67),IF(D67=6,(BASE!$G$56*I67),0)))))))/1000,0)*1000</f>
        <v>4208000</v>
      </c>
      <c r="AB67" s="408">
        <v>581000</v>
      </c>
      <c r="AC67" s="478">
        <f t="shared" si="13"/>
        <v>4789000</v>
      </c>
      <c r="AD67" s="478">
        <f>IF(G67=3,AC67*BASE!$I$62,IF(G67=1,AC67*(BASE!$I$61),IF(G67=2,AC67*(BASE!$I$63),AC67*BASE!$I$64)))</f>
        <v>54434966.666666672</v>
      </c>
      <c r="AE67" s="411">
        <f>IF(I67&lt;10,0,IF(AC67&lt;=BASE!$C$3*2,BASE!$C$2,0)*(AD67/AC67))</f>
        <v>0</v>
      </c>
      <c r="AF67" s="13">
        <v>0</v>
      </c>
      <c r="AG67" s="14">
        <f t="shared" si="4"/>
        <v>3024164.8148148153</v>
      </c>
      <c r="AH67" s="14">
        <f t="shared" si="14"/>
        <v>4788261</v>
      </c>
      <c r="AI67" s="14">
        <f t="shared" si="15"/>
        <v>4788260.9567901241</v>
      </c>
      <c r="AJ67" s="14">
        <f t="shared" si="5"/>
        <v>574591.31481481483</v>
      </c>
      <c r="AK67" s="14">
        <f>IF(I67=0,0,IF(G67=5,0,(AC67+AF67/12)*12*BASE!$C$5))</f>
        <v>4884780</v>
      </c>
      <c r="AL67" s="14">
        <f>IF(I67=0,0,IF(G67=5,0,(AC67+AF67/12)*12*BASE!$C$7))</f>
        <v>6896160</v>
      </c>
      <c r="AM67" s="14">
        <f>IF(I67=0,0,IF(G67=5,0,(AC67+AF67/12)*12*BASE!$C$9))</f>
        <v>299982.95999999996</v>
      </c>
      <c r="AN67" s="412">
        <f>IF(I67=0,0,IF(G67=5,0,(AD67+AF67+AG67)*BASE!$C$10))</f>
        <v>5171321.833333333</v>
      </c>
      <c r="AO67" s="837">
        <f t="shared" si="18"/>
        <v>84862489.546419755</v>
      </c>
      <c r="AP67" s="677">
        <f t="shared" si="16"/>
        <v>1.5589701756607379</v>
      </c>
      <c r="AQ67" s="1148"/>
      <c r="AR67" s="1149"/>
      <c r="CG67" s="179">
        <v>0</v>
      </c>
      <c r="CH67" s="181">
        <v>1</v>
      </c>
      <c r="CI67" s="182" t="s">
        <v>168</v>
      </c>
    </row>
    <row r="68" spans="1:87" ht="13.5" customHeight="1" outlineLevel="1" x14ac:dyDescent="0.2">
      <c r="A68" s="368" t="s">
        <v>560</v>
      </c>
      <c r="B68" s="477" t="s">
        <v>1018</v>
      </c>
      <c r="C68" s="427"/>
      <c r="D68" s="431">
        <f>IF(E68="","",VLOOKUP(E68,BASE!$F$20:$H$25,2,FALSE))</f>
        <v>2</v>
      </c>
      <c r="E68" s="399" t="s">
        <v>541</v>
      </c>
      <c r="F68" s="436" t="s">
        <v>546</v>
      </c>
      <c r="G68" s="437">
        <f>IF(F68="","",VLOOKUP(F68,BASE!$B$15:$C$18,2,FALSE))</f>
        <v>3</v>
      </c>
      <c r="H68" s="355">
        <v>20</v>
      </c>
      <c r="I68" s="423">
        <f t="shared" si="6"/>
        <v>20</v>
      </c>
      <c r="J68" s="399">
        <v>10</v>
      </c>
      <c r="K68" s="399">
        <v>5</v>
      </c>
      <c r="L68" s="399">
        <v>4</v>
      </c>
      <c r="M68" s="399">
        <v>1</v>
      </c>
      <c r="N68" s="354"/>
      <c r="O68" s="355">
        <f t="shared" si="7"/>
        <v>20</v>
      </c>
      <c r="P68" s="354"/>
      <c r="Q68" s="354"/>
      <c r="R68" s="355">
        <f t="shared" si="8"/>
        <v>0</v>
      </c>
      <c r="S68" s="354"/>
      <c r="T68" s="354"/>
      <c r="U68" s="354"/>
      <c r="V68" s="355">
        <f t="shared" si="9"/>
        <v>0</v>
      </c>
      <c r="W68" s="354"/>
      <c r="X68" s="477">
        <f t="shared" si="10"/>
        <v>20</v>
      </c>
      <c r="Y68" s="19" t="str">
        <f t="shared" si="11"/>
        <v xml:space="preserve">OK </v>
      </c>
      <c r="Z68" s="404" t="str">
        <f t="shared" si="12"/>
        <v xml:space="preserve"> </v>
      </c>
      <c r="AA68" s="478">
        <f>ROUND((IF(D68=1,(BASE!$G$51*I68),IF(D68=2,(BASE!$G$52*I68),IF(D68=3,(BASE!$G$53*I68),IF(D68=4,(BASE!$G$54*I68),IF(D68=5,(BASE!$G$55*I68),IF(D68=6,(BASE!$G$56*I68),0)))))))/1000,0)*1000</f>
        <v>4008000</v>
      </c>
      <c r="AB68" s="408">
        <v>0</v>
      </c>
      <c r="AC68" s="478">
        <f t="shared" si="13"/>
        <v>4008000</v>
      </c>
      <c r="AD68" s="478">
        <f>IF(G68=3,AC68*BASE!$I$62,IF(G68=1,AC68*(BASE!$I$61),IF(G68=2,AC68*(BASE!$I$63),AC68*BASE!$I$64)))</f>
        <v>42885600</v>
      </c>
      <c r="AE68" s="411">
        <f>IF(I68&lt;10,0,IF(AC68&lt;=BASE!$C$3*2,BASE!$C$2,0)*(AD68/AC68))</f>
        <v>0</v>
      </c>
      <c r="AF68" s="13">
        <v>0</v>
      </c>
      <c r="AG68" s="14">
        <f t="shared" si="4"/>
        <v>2382533.3333333335</v>
      </c>
      <c r="AH68" s="14">
        <f t="shared" si="14"/>
        <v>3772344</v>
      </c>
      <c r="AI68" s="14">
        <f t="shared" si="15"/>
        <v>3772344.4444444445</v>
      </c>
      <c r="AJ68" s="14">
        <f t="shared" si="5"/>
        <v>414957.88888888888</v>
      </c>
      <c r="AK68" s="14">
        <f>IF(I68=0,0,IF(G68=5,0,(AC68+AF68/12)*12*BASE!$C$5))</f>
        <v>4088160.0000000005</v>
      </c>
      <c r="AL68" s="14">
        <v>0</v>
      </c>
      <c r="AM68" s="14">
        <f>IF(I68=0,0,IF(G68=5,0,(AC68+AF68/12)*12*BASE!$C$9))</f>
        <v>251061.12</v>
      </c>
      <c r="AN68" s="412">
        <f>IF(I68=0,0,IF(G68=5,0,(AD68+AF68+AG68)*BASE!$C$10))</f>
        <v>4074132</v>
      </c>
      <c r="AO68" s="837">
        <f t="shared" si="18"/>
        <v>61641132.786666669</v>
      </c>
      <c r="AP68" s="677">
        <f t="shared" si="16"/>
        <v>1.4373387054551334</v>
      </c>
      <c r="AQ68" s="1148"/>
      <c r="AR68" s="1149"/>
      <c r="CG68" s="179">
        <v>0</v>
      </c>
      <c r="CH68" s="181">
        <v>1</v>
      </c>
      <c r="CI68" s="182" t="s">
        <v>168</v>
      </c>
    </row>
    <row r="69" spans="1:87" ht="13.5" customHeight="1" outlineLevel="1" x14ac:dyDescent="0.2">
      <c r="A69" s="368" t="s">
        <v>560</v>
      </c>
      <c r="B69" s="477" t="s">
        <v>1019</v>
      </c>
      <c r="C69" s="427"/>
      <c r="D69" s="431">
        <f>IF(E69="","",VLOOKUP(E69,BASE!$F$20:$H$25,2,FALSE))</f>
        <v>2</v>
      </c>
      <c r="E69" s="399" t="s">
        <v>541</v>
      </c>
      <c r="F69" s="436" t="s">
        <v>546</v>
      </c>
      <c r="G69" s="437">
        <f>IF(F69="","",VLOOKUP(F69,BASE!$B$15:$C$18,2,FALSE))</f>
        <v>3</v>
      </c>
      <c r="H69" s="355">
        <v>15</v>
      </c>
      <c r="I69" s="423">
        <f t="shared" si="6"/>
        <v>15</v>
      </c>
      <c r="J69" s="399">
        <v>3</v>
      </c>
      <c r="K69" s="399">
        <v>1</v>
      </c>
      <c r="L69" s="399">
        <v>1</v>
      </c>
      <c r="M69" s="354"/>
      <c r="N69" s="354"/>
      <c r="O69" s="355">
        <f t="shared" si="7"/>
        <v>5</v>
      </c>
      <c r="P69" s="354"/>
      <c r="Q69" s="354"/>
      <c r="R69" s="355">
        <f t="shared" si="8"/>
        <v>0</v>
      </c>
      <c r="S69" s="354">
        <v>7</v>
      </c>
      <c r="T69" s="354"/>
      <c r="U69" s="354"/>
      <c r="V69" s="355">
        <f t="shared" si="9"/>
        <v>7</v>
      </c>
      <c r="W69" s="354">
        <v>3</v>
      </c>
      <c r="X69" s="477">
        <f t="shared" si="10"/>
        <v>15</v>
      </c>
      <c r="Y69" s="19" t="str">
        <f t="shared" si="11"/>
        <v xml:space="preserve">OK </v>
      </c>
      <c r="Z69" s="404" t="str">
        <f t="shared" si="12"/>
        <v xml:space="preserve"> </v>
      </c>
      <c r="AA69" s="478">
        <f>ROUND((IF(D69=1,(BASE!$G$51*I69),IF(D69=2,(BASE!$G$52*I69),IF(D69=3,(BASE!$G$53*I69),IF(D69=4,(BASE!$G$54*I69),IF(D69=5,(BASE!$G$55*I69),IF(D69=6,(BASE!$G$56*I69),0)))))))/1000,0)*1000</f>
        <v>3006000</v>
      </c>
      <c r="AB69" s="408">
        <v>0</v>
      </c>
      <c r="AC69" s="478">
        <f t="shared" si="13"/>
        <v>3006000</v>
      </c>
      <c r="AD69" s="478">
        <f>IF(G69=3,AC69*BASE!$I$62,IF(G69=1,AC69*(BASE!$I$61),IF(G69=2,AC69*(BASE!$I$63),AC69*BASE!$I$64)))</f>
        <v>32164199.999999996</v>
      </c>
      <c r="AE69" s="411">
        <f>IF(I69&lt;10,0,IF(AC69&lt;=BASE!$C$3*2,BASE!$C$2,0)*(AD69/AC69))</f>
        <v>0</v>
      </c>
      <c r="AF69" s="13">
        <v>0</v>
      </c>
      <c r="AG69" s="14">
        <f t="shared" si="4"/>
        <v>1786899.9999999998</v>
      </c>
      <c r="AH69" s="14">
        <f t="shared" si="14"/>
        <v>2829258</v>
      </c>
      <c r="AI69" s="14">
        <f t="shared" si="15"/>
        <v>2829258.333333333</v>
      </c>
      <c r="AJ69" s="14">
        <f t="shared" si="5"/>
        <v>311218.41666666663</v>
      </c>
      <c r="AK69" s="14">
        <f>IF(I69=0,0,IF(G69=5,0,(AC69+AF69/12)*12*BASE!$C$5))</f>
        <v>3066120</v>
      </c>
      <c r="AL69" s="14">
        <f>IF(I69=0,0,IF(G69=5,0,(AC69+AF69/12)*12*BASE!$C$7))</f>
        <v>4328640</v>
      </c>
      <c r="AM69" s="14">
        <f>IF(I69=0,0,IF(G69=5,0,(AC69+AF69/12)*12*BASE!$C$9))</f>
        <v>188295.84</v>
      </c>
      <c r="AN69" s="412">
        <f>IF(I69=0,0,IF(G69=5,0,(AD69+AF69+AG69)*BASE!$C$10))</f>
        <v>3055598.9999999991</v>
      </c>
      <c r="AO69" s="837">
        <f t="shared" si="18"/>
        <v>50559489.589999996</v>
      </c>
      <c r="AP69" s="677">
        <f t="shared" si="16"/>
        <v>1.5719181447074699</v>
      </c>
      <c r="AQ69" s="1148"/>
      <c r="AR69" s="1149"/>
      <c r="CG69" s="179">
        <v>0</v>
      </c>
      <c r="CH69" s="181">
        <v>1</v>
      </c>
      <c r="CI69" s="182" t="s">
        <v>168</v>
      </c>
    </row>
    <row r="70" spans="1:87" ht="13.5" customHeight="1" outlineLevel="1" x14ac:dyDescent="0.2">
      <c r="A70" s="368" t="s">
        <v>560</v>
      </c>
      <c r="B70" s="477" t="s">
        <v>1020</v>
      </c>
      <c r="C70" s="427"/>
      <c r="D70" s="431">
        <f>IF(E70="","",VLOOKUP(E70,BASE!$F$20:$H$25,2,FALSE))</f>
        <v>2</v>
      </c>
      <c r="E70" s="399" t="s">
        <v>541</v>
      </c>
      <c r="F70" s="436" t="s">
        <v>258</v>
      </c>
      <c r="G70" s="437">
        <f>IF(F70="","",VLOOKUP(F70,BASE!$B$15:$C$18,2,FALSE))</f>
        <v>2</v>
      </c>
      <c r="H70" s="355">
        <v>40</v>
      </c>
      <c r="I70" s="423">
        <v>20</v>
      </c>
      <c r="J70" s="399"/>
      <c r="K70" s="354"/>
      <c r="L70" s="354"/>
      <c r="M70" s="354"/>
      <c r="N70" s="354"/>
      <c r="O70" s="355">
        <f t="shared" si="7"/>
        <v>0</v>
      </c>
      <c r="P70" s="354"/>
      <c r="Q70" s="354"/>
      <c r="R70" s="355">
        <f t="shared" si="8"/>
        <v>0</v>
      </c>
      <c r="S70" s="399">
        <v>20</v>
      </c>
      <c r="T70" s="354"/>
      <c r="U70" s="354"/>
      <c r="V70" s="355">
        <f t="shared" si="9"/>
        <v>20</v>
      </c>
      <c r="W70" s="354"/>
      <c r="X70" s="477">
        <f t="shared" si="10"/>
        <v>20</v>
      </c>
      <c r="Y70" s="19" t="str">
        <f t="shared" si="11"/>
        <v xml:space="preserve">OK </v>
      </c>
      <c r="Z70" s="404" t="str">
        <f t="shared" si="12"/>
        <v>JUSTIFICAR</v>
      </c>
      <c r="AA70" s="478">
        <v>6203000</v>
      </c>
      <c r="AB70" s="408">
        <v>0</v>
      </c>
      <c r="AC70" s="478">
        <f t="shared" si="13"/>
        <v>6203000</v>
      </c>
      <c r="AD70" s="478">
        <f>IF(G70=3,AC70*BASE!$I$62,IF(G70=1,AC70*(BASE!$I$61),IF(G70=2,AC70*(BASE!$I$63),AC70*BASE!$I$64)))</f>
        <v>70507433.333333343</v>
      </c>
      <c r="AE70" s="411">
        <f>IF(I70&lt;10,0,IF(AC70&lt;=BASE!$C$3*2,BASE!$C$2,0)*(AD70/AC70))</f>
        <v>0</v>
      </c>
      <c r="AF70" s="13">
        <v>0</v>
      </c>
      <c r="AG70" s="14">
        <f t="shared" si="4"/>
        <v>3917079.6296296301</v>
      </c>
      <c r="AH70" s="14">
        <f t="shared" si="14"/>
        <v>6202043</v>
      </c>
      <c r="AI70" s="14">
        <f t="shared" si="15"/>
        <v>6202042.7469135812</v>
      </c>
      <c r="AJ70" s="14">
        <f t="shared" si="5"/>
        <v>744245.12962962966</v>
      </c>
      <c r="AK70" s="14">
        <f>IF(I70=0,0,IF(G70=5,0,(AC70+AF70/12)*12*BASE!$C$5))</f>
        <v>6327060</v>
      </c>
      <c r="AL70" s="14">
        <f>IF(I70=0,0,IF(G70=5,0,(AC70+AF70/12)*12*BASE!$C$7))</f>
        <v>8932320</v>
      </c>
      <c r="AM70" s="14">
        <f>IF(I70=0,0,IF(G70=5,0,(AC70+AF70/12)*12*BASE!$C$9))</f>
        <v>388555.92</v>
      </c>
      <c r="AN70" s="412">
        <f>IF(I70=0,0,IF(G70=5,0,(AD70+AF70+AG70)*BASE!$C$10))</f>
        <v>6698206.166666667</v>
      </c>
      <c r="AO70" s="837">
        <f t="shared" si="18"/>
        <v>109918985.92617285</v>
      </c>
      <c r="AP70" s="677">
        <f t="shared" si="16"/>
        <v>1.5589701784564489</v>
      </c>
      <c r="AQ70" s="1150" t="s">
        <v>1416</v>
      </c>
      <c r="AR70" s="1149"/>
      <c r="CG70" s="179">
        <v>0</v>
      </c>
      <c r="CH70" s="181">
        <v>1</v>
      </c>
      <c r="CI70" s="182" t="s">
        <v>168</v>
      </c>
    </row>
    <row r="71" spans="1:87" ht="13.5" customHeight="1" outlineLevel="1" x14ac:dyDescent="0.2">
      <c r="A71" s="368" t="s">
        <v>560</v>
      </c>
      <c r="B71" s="477" t="s">
        <v>1021</v>
      </c>
      <c r="C71" s="427"/>
      <c r="D71" s="431">
        <f>IF(E71="","",VLOOKUP(E71,BASE!$F$20:$H$25,2,FALSE))</f>
        <v>4</v>
      </c>
      <c r="E71" s="399" t="s">
        <v>539</v>
      </c>
      <c r="F71" s="436" t="s">
        <v>546</v>
      </c>
      <c r="G71" s="437">
        <f>IF(F71="","",VLOOKUP(F71,BASE!$B$15:$C$18,2,FALSE))</f>
        <v>3</v>
      </c>
      <c r="H71" s="355">
        <v>5</v>
      </c>
      <c r="I71" s="423">
        <v>0</v>
      </c>
      <c r="J71" s="354"/>
      <c r="K71" s="354"/>
      <c r="L71" s="354"/>
      <c r="M71" s="354"/>
      <c r="N71" s="354"/>
      <c r="O71" s="355">
        <f t="shared" si="7"/>
        <v>0</v>
      </c>
      <c r="P71" s="354"/>
      <c r="Q71" s="354"/>
      <c r="R71" s="355">
        <f t="shared" si="8"/>
        <v>0</v>
      </c>
      <c r="S71" s="354"/>
      <c r="T71" s="354"/>
      <c r="U71" s="354"/>
      <c r="V71" s="355">
        <f t="shared" si="9"/>
        <v>0</v>
      </c>
      <c r="W71" s="354"/>
      <c r="X71" s="477">
        <f t="shared" si="10"/>
        <v>0</v>
      </c>
      <c r="Y71" s="19" t="str">
        <f t="shared" si="11"/>
        <v xml:space="preserve">OK </v>
      </c>
      <c r="Z71" s="404" t="str">
        <f t="shared" si="12"/>
        <v>JUSTIFICAR</v>
      </c>
      <c r="AA71" s="478">
        <f>ROUND((IF(D71=1,(BASE!$G$51*I71),IF(D71=2,(BASE!$G$52*I71),IF(D71=3,(BASE!$G$53*I71),IF(D71=4,(BASE!$G$54*I71),IF(D71=5,(BASE!$G$55*I71),IF(D71=6,(BASE!$G$56*I71),0)))))))/1000,0)*1000</f>
        <v>0</v>
      </c>
      <c r="AB71" s="408">
        <v>0</v>
      </c>
      <c r="AC71" s="478">
        <f t="shared" si="13"/>
        <v>0</v>
      </c>
      <c r="AD71" s="478">
        <f>IF(G71=3,AC71*BASE!$I$62,IF(G71=1,AC71*(BASE!$I$61),IF(G71=2,AC71*(BASE!$I$63),AC71*BASE!$I$64)))</f>
        <v>0</v>
      </c>
      <c r="AE71" s="411">
        <f>IF(I71&lt;10,0,IF(AC71&lt;=BASE!$C$3*2,BASE!$C$2,0)*(AD71/AC71))</f>
        <v>0</v>
      </c>
      <c r="AF71" s="13">
        <v>0</v>
      </c>
      <c r="AG71" s="14">
        <f t="shared" si="4"/>
        <v>0</v>
      </c>
      <c r="AH71" s="14">
        <f t="shared" si="14"/>
        <v>0</v>
      </c>
      <c r="AI71" s="14">
        <f t="shared" si="15"/>
        <v>0</v>
      </c>
      <c r="AJ71" s="14">
        <f t="shared" si="5"/>
        <v>0</v>
      </c>
      <c r="AK71" s="14">
        <f>IF(I71=0,0,IF(G71=5,0,(AC71+AF71/12)*12*BASE!$C$5))</f>
        <v>0</v>
      </c>
      <c r="AL71" s="14">
        <f>IF(I71=0,0,IF(G71=5,0,(AC71+AF71/12)*12*BASE!$C$7))</f>
        <v>0</v>
      </c>
      <c r="AM71" s="14">
        <f>IF(I71=0,0,IF(G71=5,0,(AC71+AF71/12)*12*BASE!$C$9))</f>
        <v>0</v>
      </c>
      <c r="AN71" s="412">
        <f>IF(I71=0,0,IF(G71=5,0,(AD71+AF71+AG71)*BASE!$C$10))</f>
        <v>0</v>
      </c>
      <c r="AO71" s="837">
        <f t="shared" si="18"/>
        <v>0</v>
      </c>
      <c r="AP71" s="677" t="str">
        <f t="shared" si="16"/>
        <v>Sin datos</v>
      </c>
      <c r="AQ71" s="1150" t="s">
        <v>1417</v>
      </c>
      <c r="AR71" s="1149"/>
      <c r="CG71" s="179">
        <v>0</v>
      </c>
      <c r="CH71" s="181">
        <v>1</v>
      </c>
      <c r="CI71" s="182" t="s">
        <v>168</v>
      </c>
    </row>
    <row r="72" spans="1:87" ht="13.5" customHeight="1" outlineLevel="1" x14ac:dyDescent="0.2">
      <c r="A72" s="368" t="s">
        <v>560</v>
      </c>
      <c r="B72" s="477" t="s">
        <v>1022</v>
      </c>
      <c r="C72" s="427"/>
      <c r="D72" s="431">
        <f>IF(E72="","",VLOOKUP(E72,BASE!$F$20:$H$25,2,FALSE))</f>
        <v>2</v>
      </c>
      <c r="E72" s="399" t="s">
        <v>541</v>
      </c>
      <c r="F72" s="436" t="s">
        <v>258</v>
      </c>
      <c r="G72" s="437">
        <f>IF(F72="","",VLOOKUP(F72,BASE!$B$15:$C$18,2,FALSE))</f>
        <v>2</v>
      </c>
      <c r="H72" s="355">
        <v>40</v>
      </c>
      <c r="I72" s="423">
        <f t="shared" si="6"/>
        <v>40</v>
      </c>
      <c r="J72" s="399">
        <v>20</v>
      </c>
      <c r="K72" s="354"/>
      <c r="L72" s="354"/>
      <c r="M72" s="354"/>
      <c r="N72" s="354"/>
      <c r="O72" s="355">
        <f t="shared" si="7"/>
        <v>20</v>
      </c>
      <c r="P72" s="354"/>
      <c r="Q72" s="354"/>
      <c r="R72" s="355">
        <f t="shared" si="8"/>
        <v>0</v>
      </c>
      <c r="S72" s="399">
        <v>20</v>
      </c>
      <c r="T72" s="354"/>
      <c r="U72" s="354"/>
      <c r="V72" s="355">
        <f t="shared" si="9"/>
        <v>20</v>
      </c>
      <c r="W72" s="354"/>
      <c r="X72" s="477">
        <f t="shared" si="10"/>
        <v>40</v>
      </c>
      <c r="Y72" s="19" t="str">
        <f t="shared" si="11"/>
        <v xml:space="preserve">OK </v>
      </c>
      <c r="Z72" s="404" t="str">
        <f t="shared" si="12"/>
        <v xml:space="preserve"> </v>
      </c>
      <c r="AA72" s="478">
        <f>ROUND((IF(D72=1,(BASE!$G$51*I72),IF(D72=2,(BASE!$G$52*I72),IF(D72=3,(BASE!$G$53*I72),IF(D72=4,(BASE!$G$54*I72),IF(D72=5,(BASE!$G$55*I72),IF(D72=6,(BASE!$G$56*I72),0)))))))/1000,0)*1000</f>
        <v>8016000</v>
      </c>
      <c r="AB72" s="408">
        <v>0</v>
      </c>
      <c r="AC72" s="478">
        <f t="shared" si="13"/>
        <v>8016000</v>
      </c>
      <c r="AD72" s="478">
        <f>IF(G72=3,AC72*BASE!$I$62,IF(G72=1,AC72*(BASE!$I$61),IF(G72=2,AC72*(BASE!$I$63),AC72*BASE!$I$64)))</f>
        <v>91115200</v>
      </c>
      <c r="AE72" s="411">
        <f>IF(I72&lt;10,0,IF(AC72&lt;=BASE!$C$3*2,BASE!$C$2,0)*(AD72/AC72))</f>
        <v>0</v>
      </c>
      <c r="AF72" s="13">
        <v>0</v>
      </c>
      <c r="AG72" s="14">
        <f t="shared" si="4"/>
        <v>5061955.555555555</v>
      </c>
      <c r="AH72" s="14">
        <f t="shared" si="14"/>
        <v>8014763</v>
      </c>
      <c r="AI72" s="14">
        <f t="shared" si="15"/>
        <v>8014762.9629629627</v>
      </c>
      <c r="AJ72" s="14">
        <f t="shared" si="5"/>
        <v>961771.5555555555</v>
      </c>
      <c r="AK72" s="14">
        <f>IF(I72=0,0,IF(G72=5,0,(AC72+AF72/12)*12*BASE!$C$5))</f>
        <v>8176320.0000000009</v>
      </c>
      <c r="AL72" s="14">
        <f>IF(I72=0,0,IF(G72=5,0,(AC72+AF72/12)*12*BASE!$C$7))</f>
        <v>11543040</v>
      </c>
      <c r="AM72" s="14">
        <f>IF(I72=0,0,IF(G72=5,0,(AC72+AF72/12)*12*BASE!$C$9))</f>
        <v>502122.23999999999</v>
      </c>
      <c r="AN72" s="412">
        <f>IF(I72=0,0,IF(G72=5,0,(AD72+AF72+AG72)*BASE!$C$10))</f>
        <v>8655944</v>
      </c>
      <c r="AO72" s="837">
        <f t="shared" si="18"/>
        <v>142045879.31407404</v>
      </c>
      <c r="AP72" s="677">
        <f t="shared" si="16"/>
        <v>1.5589701752734344</v>
      </c>
      <c r="AQ72" s="1148"/>
      <c r="AR72" s="1149"/>
      <c r="CG72" s="179">
        <v>0</v>
      </c>
      <c r="CH72" s="181">
        <v>1</v>
      </c>
      <c r="CI72" s="182" t="s">
        <v>168</v>
      </c>
    </row>
    <row r="73" spans="1:87" ht="13.5" customHeight="1" outlineLevel="1" x14ac:dyDescent="0.2">
      <c r="A73" s="368" t="s">
        <v>560</v>
      </c>
      <c r="B73" s="477" t="s">
        <v>1023</v>
      </c>
      <c r="C73" s="427"/>
      <c r="D73" s="431">
        <f>IF(E73="","",VLOOKUP(E73,BASE!$F$20:$H$25,2,FALSE))</f>
        <v>5</v>
      </c>
      <c r="E73" s="399" t="s">
        <v>538</v>
      </c>
      <c r="F73" s="436" t="s">
        <v>261</v>
      </c>
      <c r="G73" s="437">
        <f>IF(F73="","",VLOOKUP(F73,BASE!$B$15:$C$18,2,FALSE))</f>
        <v>1</v>
      </c>
      <c r="H73" s="355">
        <v>5</v>
      </c>
      <c r="I73" s="423">
        <f t="shared" si="6"/>
        <v>5</v>
      </c>
      <c r="J73" s="399">
        <v>5</v>
      </c>
      <c r="K73" s="354"/>
      <c r="L73" s="354"/>
      <c r="M73" s="354"/>
      <c r="N73" s="354"/>
      <c r="O73" s="355">
        <f t="shared" si="7"/>
        <v>5</v>
      </c>
      <c r="P73" s="354"/>
      <c r="Q73" s="354"/>
      <c r="R73" s="355">
        <f t="shared" si="8"/>
        <v>0</v>
      </c>
      <c r="S73" s="354"/>
      <c r="T73" s="354"/>
      <c r="U73" s="354"/>
      <c r="V73" s="355">
        <f t="shared" si="9"/>
        <v>0</v>
      </c>
      <c r="W73" s="354"/>
      <c r="X73" s="477">
        <f t="shared" si="10"/>
        <v>5</v>
      </c>
      <c r="Y73" s="19" t="str">
        <f t="shared" si="11"/>
        <v xml:space="preserve">OK </v>
      </c>
      <c r="Z73" s="404" t="str">
        <f t="shared" si="12"/>
        <v xml:space="preserve"> </v>
      </c>
      <c r="AA73" s="478">
        <f>ROUND((IF(D73=1,(BASE!$G$51*I73),IF(D73=2,(BASE!$G$52*I73),IF(D73=3,(BASE!$G$53*I73),IF(D73=4,(BASE!$G$54*I73),IF(D73=5,(BASE!$G$55*I73),IF(D73=6,(BASE!$G$56*I73),0)))))))/1000,0)*1000</f>
        <v>445000</v>
      </c>
      <c r="AB73" s="408">
        <v>0</v>
      </c>
      <c r="AC73" s="478">
        <f t="shared" si="13"/>
        <v>445000</v>
      </c>
      <c r="AD73" s="478">
        <f>IF(G73=3,AC73*BASE!$I$62,IF(G73=1,AC73*(BASE!$I$61),IF(G73=2,AC73*(BASE!$I$63),AC73*BASE!$I$64)))</f>
        <v>4390666.666666667</v>
      </c>
      <c r="AE73" s="411">
        <f>IF(I73&lt;10,0,IF(AC73&lt;=BASE!$C$3*2,BASE!$C$2,0)*(AD73/AC73))</f>
        <v>0</v>
      </c>
      <c r="AF73" s="13">
        <v>0</v>
      </c>
      <c r="AG73" s="14">
        <f t="shared" si="4"/>
        <v>243925.92592592596</v>
      </c>
      <c r="AH73" s="14">
        <f t="shared" si="14"/>
        <v>386216</v>
      </c>
      <c r="AI73" s="14">
        <f t="shared" si="15"/>
        <v>386216.04938271607</v>
      </c>
      <c r="AJ73" s="14">
        <f t="shared" si="5"/>
        <v>38621.604938271608</v>
      </c>
      <c r="AK73" s="14">
        <f>IF(I73=0,0,IF(G73=5,0,(AC73+AF73/12)*12*BASE!$C$5))</f>
        <v>453900.00000000006</v>
      </c>
      <c r="AL73" s="14">
        <f>IF(I73=0,0,IF(G73=5,0,(AC73+AF73/12)*12*BASE!$C$7))</f>
        <v>640800</v>
      </c>
      <c r="AM73" s="14">
        <f>IF(I73=0,0,IF(G73=5,0,(AC73+AF73/12)*12*BASE!$C$9))</f>
        <v>27874.799999999999</v>
      </c>
      <c r="AN73" s="412">
        <f>IF(I73=0,0,IF(G73=5,0,(AD73+AF73+AG73)*BASE!$C$10))</f>
        <v>417113.33333333337</v>
      </c>
      <c r="AO73" s="837">
        <f t="shared" si="18"/>
        <v>6985334.380246914</v>
      </c>
      <c r="AP73" s="677">
        <f t="shared" si="16"/>
        <v>1.5909507395035485</v>
      </c>
      <c r="AQ73" s="1148"/>
      <c r="AR73" s="1149"/>
      <c r="CG73" s="179">
        <v>0</v>
      </c>
      <c r="CH73" s="181">
        <v>1</v>
      </c>
      <c r="CI73" s="182" t="s">
        <v>168</v>
      </c>
    </row>
    <row r="74" spans="1:87" ht="13.5" customHeight="1" outlineLevel="1" x14ac:dyDescent="0.2">
      <c r="A74" s="368" t="s">
        <v>560</v>
      </c>
      <c r="B74" s="477" t="s">
        <v>1024</v>
      </c>
      <c r="C74" s="427"/>
      <c r="D74" s="431">
        <f>IF(E74="","",VLOOKUP(E74,BASE!$F$20:$H$25,2,FALSE))</f>
        <v>4</v>
      </c>
      <c r="E74" s="399" t="s">
        <v>539</v>
      </c>
      <c r="F74" s="436" t="s">
        <v>546</v>
      </c>
      <c r="G74" s="437">
        <f>IF(F74="","",VLOOKUP(F74,BASE!$B$15:$C$18,2,FALSE))</f>
        <v>3</v>
      </c>
      <c r="H74" s="355">
        <v>36</v>
      </c>
      <c r="I74" s="423">
        <f t="shared" si="6"/>
        <v>36</v>
      </c>
      <c r="J74" s="399">
        <v>16</v>
      </c>
      <c r="K74" s="354">
        <v>7</v>
      </c>
      <c r="L74" s="399">
        <v>4</v>
      </c>
      <c r="M74" s="399">
        <v>4</v>
      </c>
      <c r="N74" s="399">
        <v>3</v>
      </c>
      <c r="O74" s="355">
        <f t="shared" si="7"/>
        <v>34</v>
      </c>
      <c r="P74" s="354"/>
      <c r="Q74" s="399">
        <v>2</v>
      </c>
      <c r="R74" s="355">
        <f t="shared" si="8"/>
        <v>2</v>
      </c>
      <c r="S74" s="354"/>
      <c r="T74" s="354"/>
      <c r="U74" s="354"/>
      <c r="V74" s="355">
        <f t="shared" si="9"/>
        <v>0</v>
      </c>
      <c r="W74" s="354"/>
      <c r="X74" s="477">
        <f t="shared" si="10"/>
        <v>36</v>
      </c>
      <c r="Y74" s="19" t="str">
        <f t="shared" si="11"/>
        <v xml:space="preserve">OK </v>
      </c>
      <c r="Z74" s="404" t="str">
        <f t="shared" si="12"/>
        <v xml:space="preserve"> </v>
      </c>
      <c r="AA74" s="478">
        <f>ROUND((IF(D74=1,(BASE!$G$51*I74),IF(D74=2,(BASE!$G$52*I74),IF(D74=3,(BASE!$G$53*I74),IF(D74=4,(BASE!$G$54*I74),IF(D74=5,(BASE!$G$55*I74),IF(D74=6,(BASE!$G$56*I74),0)))))))/1000,0)*1000</f>
        <v>4010000</v>
      </c>
      <c r="AB74" s="408">
        <v>318000</v>
      </c>
      <c r="AC74" s="478">
        <f t="shared" si="13"/>
        <v>4328000</v>
      </c>
      <c r="AD74" s="478">
        <f>IF(G74=3,AC74*BASE!$I$62,IF(G74=1,AC74*(BASE!$I$61),IF(G74=2,AC74*(BASE!$I$63),AC74*BASE!$I$64)))</f>
        <v>46309600</v>
      </c>
      <c r="AE74" s="411">
        <f>IF(I74&lt;10,0,IF(AC74&lt;=BASE!$C$3*2,BASE!$C$2,0)*(AD74/AC74))</f>
        <v>0</v>
      </c>
      <c r="AF74" s="13">
        <v>0</v>
      </c>
      <c r="AG74" s="14">
        <f t="shared" si="4"/>
        <v>2572755.5555555555</v>
      </c>
      <c r="AH74" s="14">
        <f t="shared" si="14"/>
        <v>4073530</v>
      </c>
      <c r="AI74" s="14">
        <f t="shared" si="15"/>
        <v>4073529.6296296297</v>
      </c>
      <c r="AJ74" s="14">
        <f t="shared" si="5"/>
        <v>448088.25925925927</v>
      </c>
      <c r="AK74" s="14">
        <f>IF(I74=0,0,IF(G74=5,0,(AC74+AF74/12)*12*BASE!$C$5))</f>
        <v>4414560</v>
      </c>
      <c r="AL74" s="14">
        <f>IF(I74=0,0,IF(G74=5,0,(AC74+AF74/12)*12*BASE!$C$7))</f>
        <v>6232320</v>
      </c>
      <c r="AM74" s="14">
        <f>IF(I74=0,0,IF(G74=5,0,(AC74+AF74/12)*12*BASE!$C$9))</f>
        <v>271105.91999999998</v>
      </c>
      <c r="AN74" s="412">
        <f>IF(I74=0,0,IF(G74=5,0,(AD74+AF74+AG74)*BASE!$C$10))</f>
        <v>4399412</v>
      </c>
      <c r="AO74" s="837">
        <f t="shared" si="18"/>
        <v>72794901.36444445</v>
      </c>
      <c r="AP74" s="677">
        <f t="shared" si="16"/>
        <v>1.5719181630686607</v>
      </c>
      <c r="AQ74" s="1148"/>
      <c r="AR74" s="1149"/>
      <c r="CG74" s="179">
        <v>0</v>
      </c>
      <c r="CH74" s="181">
        <v>1</v>
      </c>
      <c r="CI74" s="182" t="s">
        <v>168</v>
      </c>
    </row>
    <row r="75" spans="1:87" ht="13.5" customHeight="1" outlineLevel="1" x14ac:dyDescent="0.2">
      <c r="A75" s="368" t="s">
        <v>560</v>
      </c>
      <c r="B75" s="477" t="s">
        <v>1025</v>
      </c>
      <c r="C75" s="427"/>
      <c r="D75" s="431">
        <f>IF(E75="","",VLOOKUP(E75,BASE!$F$20:$H$25,2,FALSE))</f>
        <v>4</v>
      </c>
      <c r="E75" s="399" t="s">
        <v>539</v>
      </c>
      <c r="F75" s="436" t="s">
        <v>258</v>
      </c>
      <c r="G75" s="437">
        <f>IF(F75="","",VLOOKUP(F75,BASE!$B$15:$C$18,2,FALSE))</f>
        <v>2</v>
      </c>
      <c r="H75" s="355">
        <v>40</v>
      </c>
      <c r="I75" s="423">
        <f t="shared" si="6"/>
        <v>40</v>
      </c>
      <c r="J75" s="399">
        <v>18</v>
      </c>
      <c r="K75" s="354">
        <v>8</v>
      </c>
      <c r="L75" s="399">
        <v>5</v>
      </c>
      <c r="M75" s="399">
        <v>4</v>
      </c>
      <c r="N75" s="399">
        <v>3</v>
      </c>
      <c r="O75" s="355">
        <f t="shared" si="7"/>
        <v>38</v>
      </c>
      <c r="P75" s="354"/>
      <c r="Q75" s="354"/>
      <c r="R75" s="355">
        <f t="shared" si="8"/>
        <v>0</v>
      </c>
      <c r="S75" s="354"/>
      <c r="T75" s="354"/>
      <c r="U75" s="354"/>
      <c r="V75" s="355">
        <f t="shared" si="9"/>
        <v>0</v>
      </c>
      <c r="W75" s="354">
        <v>2</v>
      </c>
      <c r="X75" s="477">
        <f t="shared" si="10"/>
        <v>40</v>
      </c>
      <c r="Y75" s="19" t="str">
        <f t="shared" si="11"/>
        <v xml:space="preserve">OK </v>
      </c>
      <c r="Z75" s="404" t="str">
        <f t="shared" si="12"/>
        <v xml:space="preserve"> </v>
      </c>
      <c r="AA75" s="478">
        <f>ROUND((IF(D75=1,(BASE!$G$51*I75),IF(D75=2,(BASE!$G$52*I75),IF(D75=3,(BASE!$G$53*I75),IF(D75=4,(BASE!$G$54*I75),IF(D75=5,(BASE!$G$55*I75),IF(D75=6,(BASE!$G$56*I75),0)))))))/1000,0)*1000</f>
        <v>4456000</v>
      </c>
      <c r="AB75" s="1057">
        <v>0</v>
      </c>
      <c r="AC75" s="478">
        <f t="shared" si="13"/>
        <v>4456000</v>
      </c>
      <c r="AD75" s="478">
        <f>IF(G75=3,AC75*BASE!$I$62,IF(G75=1,AC75*(BASE!$I$61),IF(G75=2,AC75*(BASE!$I$63),AC75*BASE!$I$64)))</f>
        <v>50649866.666666672</v>
      </c>
      <c r="AE75" s="411">
        <f>IF(I75&lt;10,0,IF(AC75&lt;=BASE!$C$3*2,BASE!$C$2,0)*(AD75/AC75))</f>
        <v>0</v>
      </c>
      <c r="AF75" s="13">
        <v>0</v>
      </c>
      <c r="AG75" s="14">
        <f t="shared" si="4"/>
        <v>2813881.4814814818</v>
      </c>
      <c r="AH75" s="14">
        <f t="shared" si="14"/>
        <v>4455312</v>
      </c>
      <c r="AI75" s="14">
        <f t="shared" si="15"/>
        <v>4455312.3456790131</v>
      </c>
      <c r="AJ75" s="14">
        <f t="shared" si="5"/>
        <v>534637.48148148158</v>
      </c>
      <c r="AK75" s="14">
        <f>IF(I75=0,0,IF(G75=5,0,(AC75+AF75/12)*12*BASE!$C$5))</f>
        <v>4545120</v>
      </c>
      <c r="AL75" s="14">
        <f>IF(I75=0,0,IF(G75=5,0,(AC75+AF75/12)*12*BASE!$C$7))</f>
        <v>6416640</v>
      </c>
      <c r="AM75" s="14">
        <f>IF(I75=0,0,IF(G75=5,0,(AC75+AF75/12)*12*BASE!$C$9))</f>
        <v>279123.83999999997</v>
      </c>
      <c r="AN75" s="412">
        <f>IF(I75=0,0,IF(G75=5,0,(AD75+AF75+AG75)*BASE!$C$10))</f>
        <v>4811737.333333334</v>
      </c>
      <c r="AO75" s="837">
        <f t="shared" si="18"/>
        <v>78961631.148641989</v>
      </c>
      <c r="AP75" s="677">
        <f t="shared" si="16"/>
        <v>1.558970168042074</v>
      </c>
      <c r="AQ75" s="1150" t="s">
        <v>1445</v>
      </c>
      <c r="AR75" s="1149"/>
      <c r="CG75" s="179">
        <v>0</v>
      </c>
      <c r="CH75" s="181">
        <v>1</v>
      </c>
      <c r="CI75" s="182" t="s">
        <v>168</v>
      </c>
    </row>
    <row r="76" spans="1:87" ht="13.5" customHeight="1" outlineLevel="1" x14ac:dyDescent="0.2">
      <c r="A76" s="368" t="s">
        <v>560</v>
      </c>
      <c r="B76" s="477" t="s">
        <v>1026</v>
      </c>
      <c r="C76" s="427"/>
      <c r="D76" s="431">
        <f>IF(E76="","",VLOOKUP(E76,BASE!$F$20:$H$25,2,FALSE))</f>
        <v>3</v>
      </c>
      <c r="E76" s="399" t="s">
        <v>540</v>
      </c>
      <c r="F76" s="436" t="s">
        <v>546</v>
      </c>
      <c r="G76" s="437">
        <f>IF(F76="","",VLOOKUP(F76,BASE!$B$15:$C$18,2,FALSE))</f>
        <v>3</v>
      </c>
      <c r="H76" s="355">
        <v>18</v>
      </c>
      <c r="I76" s="423">
        <v>23</v>
      </c>
      <c r="J76" s="354">
        <v>2</v>
      </c>
      <c r="K76" s="354">
        <v>2</v>
      </c>
      <c r="L76" s="399">
        <v>2</v>
      </c>
      <c r="M76" s="354"/>
      <c r="N76" s="354"/>
      <c r="O76" s="355">
        <f t="shared" si="7"/>
        <v>6</v>
      </c>
      <c r="P76" s="354">
        <v>17</v>
      </c>
      <c r="Q76" s="354"/>
      <c r="R76" s="355">
        <f t="shared" si="8"/>
        <v>17</v>
      </c>
      <c r="S76" s="354"/>
      <c r="T76" s="354"/>
      <c r="U76" s="354"/>
      <c r="V76" s="355">
        <f t="shared" si="9"/>
        <v>0</v>
      </c>
      <c r="W76" s="354"/>
      <c r="X76" s="477">
        <f t="shared" si="10"/>
        <v>23</v>
      </c>
      <c r="Y76" s="19" t="str">
        <f t="shared" si="11"/>
        <v xml:space="preserve">OK </v>
      </c>
      <c r="Z76" s="404" t="str">
        <f t="shared" si="12"/>
        <v>AJUSTE</v>
      </c>
      <c r="AA76" s="478">
        <f>ROUND((IF(D76=1,(BASE!$G$51*I76),IF(D76=2,(BASE!$G$52*I76),IF(D76=3,(BASE!$G$53*I76),IF(D76=4,(BASE!$G$54*I76),IF(D76=5,(BASE!$G$55*I76),IF(D76=6,(BASE!$G$56*I76),0)))))))/1000,0)*1000</f>
        <v>3146000</v>
      </c>
      <c r="AB76" s="408">
        <v>0</v>
      </c>
      <c r="AC76" s="478">
        <f t="shared" si="13"/>
        <v>3146000</v>
      </c>
      <c r="AD76" s="478">
        <f>IF(G76=3,AC76*BASE!$I$62,IF(G76=1,AC76*(BASE!$I$61),IF(G76=2,AC76*(BASE!$I$63),AC76*BASE!$I$64)))</f>
        <v>33662200</v>
      </c>
      <c r="AE76" s="411">
        <f>IF(I76&lt;10,0,IF(AC76&lt;=BASE!$C$3*2,BASE!$C$2,0)*(AD76/AC76))</f>
        <v>0</v>
      </c>
      <c r="AF76" s="13">
        <v>0</v>
      </c>
      <c r="AG76" s="14">
        <f t="shared" si="4"/>
        <v>1870122.2222222222</v>
      </c>
      <c r="AH76" s="14">
        <f t="shared" si="14"/>
        <v>2961027</v>
      </c>
      <c r="AI76" s="14">
        <f t="shared" si="15"/>
        <v>2961026.8518518521</v>
      </c>
      <c r="AJ76" s="14">
        <f t="shared" si="5"/>
        <v>325712.95370370377</v>
      </c>
      <c r="AK76" s="14">
        <f>IF(I76=0,0,IF(G76=5,0,(AC76+AF76/12)*12*BASE!$C$5))</f>
        <v>3208920</v>
      </c>
      <c r="AL76" s="14">
        <f>IF(I76=0,0,IF(G76=5,0,(AC76+AF76/12)*12*BASE!$C$7))</f>
        <v>4530240</v>
      </c>
      <c r="AM76" s="14">
        <f>IF(I76=0,0,IF(G76=5,0,(AC76+AF76/12)*12*BASE!$C$9))</f>
        <v>197065.44</v>
      </c>
      <c r="AN76" s="412">
        <f>IF(I76=0,0,IF(G76=5,0,(AD76+AF76+AG76)*BASE!$C$10))</f>
        <v>3197909</v>
      </c>
      <c r="AO76" s="837">
        <f t="shared" si="18"/>
        <v>52914223.467777774</v>
      </c>
      <c r="AP76" s="677">
        <f t="shared" si="16"/>
        <v>1.5719181594719827</v>
      </c>
      <c r="AQ76" s="1150" t="s">
        <v>1421</v>
      </c>
      <c r="AR76" s="1149"/>
      <c r="CG76" s="179">
        <v>0</v>
      </c>
      <c r="CH76" s="181">
        <v>1</v>
      </c>
      <c r="CI76" s="182" t="s">
        <v>168</v>
      </c>
    </row>
    <row r="77" spans="1:87" ht="13.5" customHeight="1" outlineLevel="1" x14ac:dyDescent="0.2">
      <c r="A77" s="368" t="s">
        <v>560</v>
      </c>
      <c r="B77" s="477" t="s">
        <v>1027</v>
      </c>
      <c r="C77" s="427"/>
      <c r="D77" s="431">
        <f>IF(E77="","",VLOOKUP(E77,BASE!$F$20:$H$25,2,FALSE))</f>
        <v>4</v>
      </c>
      <c r="E77" s="399" t="s">
        <v>539</v>
      </c>
      <c r="F77" s="436" t="s">
        <v>546</v>
      </c>
      <c r="G77" s="437">
        <f>IF(F77="","",VLOOKUP(F77,BASE!$B$15:$C$18,2,FALSE))</f>
        <v>3</v>
      </c>
      <c r="H77" s="355">
        <v>20</v>
      </c>
      <c r="I77" s="423">
        <f t="shared" si="6"/>
        <v>20</v>
      </c>
      <c r="J77" s="354">
        <v>2</v>
      </c>
      <c r="K77" s="354">
        <v>2</v>
      </c>
      <c r="L77" s="399">
        <v>2</v>
      </c>
      <c r="M77" s="354"/>
      <c r="N77" s="399">
        <v>2</v>
      </c>
      <c r="O77" s="355">
        <f t="shared" si="7"/>
        <v>8</v>
      </c>
      <c r="P77" s="399">
        <v>12</v>
      </c>
      <c r="Q77" s="354"/>
      <c r="R77" s="355">
        <f t="shared" si="8"/>
        <v>12</v>
      </c>
      <c r="S77" s="354"/>
      <c r="T77" s="354"/>
      <c r="U77" s="354"/>
      <c r="V77" s="355">
        <f t="shared" si="9"/>
        <v>0</v>
      </c>
      <c r="W77" s="354"/>
      <c r="X77" s="477">
        <f t="shared" si="10"/>
        <v>20</v>
      </c>
      <c r="Y77" s="19" t="str">
        <f t="shared" si="11"/>
        <v xml:space="preserve">OK </v>
      </c>
      <c r="Z77" s="404" t="str">
        <f t="shared" si="12"/>
        <v xml:space="preserve"> </v>
      </c>
      <c r="AA77" s="478">
        <f>ROUND((IF(D77=1,(BASE!$G$51*I77),IF(D77=2,(BASE!$G$52*I77),IF(D77=3,(BASE!$G$53*I77),IF(D77=4,(BASE!$G$54*I77),IF(D77=5,(BASE!$G$55*I77),IF(D77=6,(BASE!$G$56*I77),0)))))))/1000,0)*1000</f>
        <v>2228000</v>
      </c>
      <c r="AB77" s="408">
        <v>0</v>
      </c>
      <c r="AC77" s="478">
        <f t="shared" si="13"/>
        <v>2228000</v>
      </c>
      <c r="AD77" s="478">
        <f>IF(G77=3,AC77*BASE!$I$62,IF(G77=1,AC77*(BASE!$I$61),IF(G77=2,AC77*(BASE!$I$63),AC77*BASE!$I$64)))</f>
        <v>23839600</v>
      </c>
      <c r="AE77" s="411">
        <f>IF(I77&lt;10,0,IF(AC77&lt;=BASE!$C$3*2,BASE!$C$2,0)*(AD77/AC77))</f>
        <v>0</v>
      </c>
      <c r="AF77" s="13">
        <v>0</v>
      </c>
      <c r="AG77" s="14">
        <f t="shared" si="4"/>
        <v>1324422.2222222222</v>
      </c>
      <c r="AH77" s="14">
        <f t="shared" si="14"/>
        <v>2097002</v>
      </c>
      <c r="AI77" s="14">
        <f t="shared" si="15"/>
        <v>2097001.8518518517</v>
      </c>
      <c r="AJ77" s="14">
        <f t="shared" si="5"/>
        <v>230670.20370370368</v>
      </c>
      <c r="AK77" s="14">
        <f>IF(I77=0,0,IF(G77=5,0,(AC77+AF77/12)*12*BASE!$C$5))</f>
        <v>2272560</v>
      </c>
      <c r="AL77" s="14">
        <f>IF(I77=0,0,IF(G77=5,0,(AC77+AF77/12)*12*BASE!$C$7))</f>
        <v>3208320</v>
      </c>
      <c r="AM77" s="14">
        <f>IF(I77=0,0,IF(G77=5,0,(AC77+AF77/12)*12*BASE!$C$9))</f>
        <v>139561.91999999998</v>
      </c>
      <c r="AN77" s="412">
        <f>IF(I77=0,0,IF(G77=5,0,(AD77+AF77+AG77)*BASE!$C$10))</f>
        <v>2264762</v>
      </c>
      <c r="AO77" s="837">
        <f t="shared" si="18"/>
        <v>37473900.197777778</v>
      </c>
      <c r="AP77" s="677">
        <f t="shared" si="16"/>
        <v>1.571918161285331</v>
      </c>
      <c r="AQ77" s="1148"/>
      <c r="AR77" s="1149"/>
      <c r="CG77" s="179">
        <v>0</v>
      </c>
      <c r="CH77" s="181">
        <v>1</v>
      </c>
      <c r="CI77" s="182" t="s">
        <v>168</v>
      </c>
    </row>
    <row r="78" spans="1:87" ht="13.5" customHeight="1" outlineLevel="1" x14ac:dyDescent="0.2">
      <c r="A78" s="368" t="s">
        <v>560</v>
      </c>
      <c r="B78" s="477" t="s">
        <v>1028</v>
      </c>
      <c r="C78" s="427"/>
      <c r="D78" s="431">
        <f>IF(E78="","",VLOOKUP(E78,BASE!$F$20:$H$25,2,FALSE))</f>
        <v>5</v>
      </c>
      <c r="E78" s="399" t="s">
        <v>538</v>
      </c>
      <c r="F78" s="436" t="s">
        <v>546</v>
      </c>
      <c r="G78" s="437">
        <f>IF(F78="","",VLOOKUP(F78,BASE!$B$15:$C$18,2,FALSE))</f>
        <v>3</v>
      </c>
      <c r="H78" s="355">
        <v>15</v>
      </c>
      <c r="I78" s="423">
        <f t="shared" si="6"/>
        <v>15</v>
      </c>
      <c r="J78" s="354">
        <v>6</v>
      </c>
      <c r="K78" s="354">
        <v>2</v>
      </c>
      <c r="L78" s="399">
        <v>2</v>
      </c>
      <c r="M78" s="354"/>
      <c r="N78" s="354"/>
      <c r="O78" s="355">
        <f t="shared" si="7"/>
        <v>10</v>
      </c>
      <c r="P78" s="354"/>
      <c r="Q78" s="354"/>
      <c r="R78" s="355">
        <f t="shared" si="8"/>
        <v>0</v>
      </c>
      <c r="S78" s="354"/>
      <c r="T78" s="354"/>
      <c r="U78" s="354"/>
      <c r="V78" s="355">
        <f t="shared" si="9"/>
        <v>0</v>
      </c>
      <c r="W78" s="354">
        <v>5</v>
      </c>
      <c r="X78" s="477">
        <f t="shared" si="10"/>
        <v>15</v>
      </c>
      <c r="Y78" s="19" t="str">
        <f t="shared" si="11"/>
        <v xml:space="preserve">OK </v>
      </c>
      <c r="Z78" s="404" t="str">
        <f t="shared" si="12"/>
        <v xml:space="preserve"> </v>
      </c>
      <c r="AA78" s="478">
        <f>ROUND((IF(D78=1,(BASE!$G$51*I78),IF(D78=2,(BASE!$G$52*I78),IF(D78=3,(BASE!$G$53*I78),IF(D78=4,(BASE!$G$54*I78),IF(D78=5,(BASE!$G$55*I78),IF(D78=6,(BASE!$G$56*I78),0)))))))/1000,0)*1000</f>
        <v>1335000</v>
      </c>
      <c r="AB78" s="408">
        <v>0</v>
      </c>
      <c r="AC78" s="478">
        <f t="shared" si="13"/>
        <v>1335000</v>
      </c>
      <c r="AD78" s="478">
        <f>IF(G78=3,AC78*BASE!$I$62,IF(G78=1,AC78*(BASE!$I$61),IF(G78=2,AC78*(BASE!$I$63),AC78*BASE!$I$64)))</f>
        <v>14284499.999999998</v>
      </c>
      <c r="AE78" s="411">
        <f>IF(I78&lt;10,0,IF(AC78&lt;=BASE!$C$3*2,BASE!$C$2,0)*(AD78/AC78))</f>
        <v>943857.7</v>
      </c>
      <c r="AF78" s="13">
        <v>0</v>
      </c>
      <c r="AG78" s="14">
        <f t="shared" si="4"/>
        <v>793583.33333333314</v>
      </c>
      <c r="AH78" s="14">
        <f t="shared" si="14"/>
        <v>1335162</v>
      </c>
      <c r="AI78" s="14">
        <f t="shared" si="15"/>
        <v>1335161.7527777776</v>
      </c>
      <c r="AJ78" s="14">
        <f t="shared" si="5"/>
        <v>146867.79280555554</v>
      </c>
      <c r="AK78" s="14">
        <f>IF(I78=0,0,IF(G78=5,0,(AC78+AF78/12)*12*BASE!$C$5))</f>
        <v>1361700</v>
      </c>
      <c r="AL78" s="14">
        <f>IF(I78=0,0,IF(G78=5,0,(AC78+AF78/12)*12*BASE!$C$7))</f>
        <v>1922400</v>
      </c>
      <c r="AM78" s="14">
        <f>IF(I78=0,0,IF(G78=5,0,(AC78+AF78/12)*12*BASE!$C$9))</f>
        <v>83624.399999999994</v>
      </c>
      <c r="AN78" s="412">
        <f>IF(I78=0,0,IF(G78=5,0,(AD78+AF78+AG78)*BASE!$C$10))</f>
        <v>1357027.4999999998</v>
      </c>
      <c r="AO78" s="837">
        <f t="shared" si="18"/>
        <v>23563884.478916664</v>
      </c>
      <c r="AP78" s="677">
        <f t="shared" si="16"/>
        <v>1.6496121305552638</v>
      </c>
      <c r="AQ78" s="1148"/>
      <c r="AR78" s="1149"/>
      <c r="CG78" s="179">
        <v>0</v>
      </c>
      <c r="CH78" s="181">
        <v>1</v>
      </c>
      <c r="CI78" s="182" t="s">
        <v>168</v>
      </c>
    </row>
    <row r="79" spans="1:87" ht="13.5" customHeight="1" outlineLevel="1" x14ac:dyDescent="0.2">
      <c r="A79" s="368" t="s">
        <v>560</v>
      </c>
      <c r="B79" s="477" t="s">
        <v>1029</v>
      </c>
      <c r="C79" s="427"/>
      <c r="D79" s="431">
        <f>IF(E79="","",VLOOKUP(E79,BASE!$F$20:$H$25,2,FALSE))</f>
        <v>3</v>
      </c>
      <c r="E79" s="399" t="s">
        <v>540</v>
      </c>
      <c r="F79" s="436" t="s">
        <v>863</v>
      </c>
      <c r="G79" s="437">
        <f>IF(F79="","",VLOOKUP(F79,BASE!$B$15:$C$18,2,FALSE))</f>
        <v>4</v>
      </c>
      <c r="H79" s="355">
        <v>28</v>
      </c>
      <c r="I79" s="423">
        <f t="shared" si="6"/>
        <v>28</v>
      </c>
      <c r="J79" s="354"/>
      <c r="K79" s="354"/>
      <c r="L79" s="354"/>
      <c r="M79" s="354"/>
      <c r="N79" s="354"/>
      <c r="O79" s="355">
        <f t="shared" si="7"/>
        <v>0</v>
      </c>
      <c r="P79" s="354"/>
      <c r="Q79" s="354">
        <v>18</v>
      </c>
      <c r="R79" s="355">
        <f t="shared" si="8"/>
        <v>18</v>
      </c>
      <c r="S79" s="354"/>
      <c r="T79" s="354"/>
      <c r="U79" s="354"/>
      <c r="V79" s="355">
        <f t="shared" si="9"/>
        <v>0</v>
      </c>
      <c r="W79" s="354">
        <v>10</v>
      </c>
      <c r="X79" s="477">
        <f t="shared" si="10"/>
        <v>28</v>
      </c>
      <c r="Y79" s="19" t="str">
        <f t="shared" si="11"/>
        <v xml:space="preserve">OK </v>
      </c>
      <c r="Z79" s="404" t="str">
        <f t="shared" si="12"/>
        <v xml:space="preserve"> </v>
      </c>
      <c r="AA79" s="478">
        <f>ROUND((IF(D79=1,(BASE!$G$51*I79),IF(D79=2,(BASE!$G$52*I79),IF(D79=3,(BASE!$G$53*I79),IF(D79=4,(BASE!$G$54*I79),IF(D79=5,(BASE!$G$55*I79),IF(D79=6,(BASE!$G$56*I79),0)))))))/1000,0)*1000</f>
        <v>3830000</v>
      </c>
      <c r="AB79" s="408">
        <v>0</v>
      </c>
      <c r="AC79" s="478">
        <f t="shared" si="13"/>
        <v>3830000</v>
      </c>
      <c r="AD79" s="478">
        <f>IF(G79=3,AC79*BASE!$I$62,IF(G79=1,AC79*(BASE!$I$61),IF(G79=2,AC79*(BASE!$I$63),AC79*BASE!$I$64)))</f>
        <v>43534333.333333336</v>
      </c>
      <c r="AE79" s="411">
        <f>IF(I79&lt;10,0,IF(AC79&lt;=BASE!$C$3*2,BASE!$C$2,0)*(AD79/AC79))</f>
        <v>0</v>
      </c>
      <c r="AF79" s="13">
        <v>0</v>
      </c>
      <c r="AG79" s="14">
        <f t="shared" si="4"/>
        <v>2418574.0740740742</v>
      </c>
      <c r="AH79" s="14">
        <f t="shared" si="14"/>
        <v>3829409</v>
      </c>
      <c r="AI79" s="14">
        <f t="shared" si="15"/>
        <v>3829408.9506172845</v>
      </c>
      <c r="AJ79" s="14">
        <f t="shared" si="5"/>
        <v>459529.0740740741</v>
      </c>
      <c r="AK79" s="14">
        <f>IF(I79=0,0,IF(G79=5,0,(AC79+AF79/12)*12*BASE!$C$5))</f>
        <v>3906600.0000000005</v>
      </c>
      <c r="AL79" s="14">
        <f>IF(I79=0,0,IF(G79=5,0,(AC79+AF79/12)*12*BASE!$C$7))</f>
        <v>5515200</v>
      </c>
      <c r="AM79" s="14">
        <f>IF(I79=0,0,IF(G79=5,0,(AC79+AF79/12)*12*BASE!$C$9))</f>
        <v>239911.19999999998</v>
      </c>
      <c r="AN79" s="412">
        <f>IF(I79=0,0,IF(G79=5,0,(AD79+AF79+AG79)*BASE!$C$10))</f>
        <v>4135761.666666667</v>
      </c>
      <c r="AO79" s="837">
        <f t="shared" si="18"/>
        <v>67868727.298765436</v>
      </c>
      <c r="AP79" s="677">
        <f t="shared" si="16"/>
        <v>1.5589701760012886</v>
      </c>
      <c r="AQ79" s="1148"/>
      <c r="AR79" s="1149"/>
      <c r="CG79" s="179">
        <v>0</v>
      </c>
      <c r="CH79" s="181">
        <v>1</v>
      </c>
      <c r="CI79" s="182" t="s">
        <v>168</v>
      </c>
    </row>
    <row r="80" spans="1:87" ht="13.5" customHeight="1" outlineLevel="1" x14ac:dyDescent="0.2">
      <c r="A80" s="368" t="s">
        <v>560</v>
      </c>
      <c r="B80" s="477" t="s">
        <v>1030</v>
      </c>
      <c r="C80" s="427"/>
      <c r="D80" s="431">
        <f>IF(E80="","",VLOOKUP(E80,BASE!$F$20:$H$25,2,FALSE))</f>
        <v>4</v>
      </c>
      <c r="E80" s="399" t="s">
        <v>539</v>
      </c>
      <c r="F80" s="436" t="s">
        <v>863</v>
      </c>
      <c r="G80" s="437">
        <f>IF(F80="","",VLOOKUP(F80,BASE!$B$15:$C$18,2,FALSE))</f>
        <v>4</v>
      </c>
      <c r="H80" s="355">
        <v>40</v>
      </c>
      <c r="I80" s="423">
        <f t="shared" si="6"/>
        <v>40</v>
      </c>
      <c r="J80" s="354">
        <v>8</v>
      </c>
      <c r="K80" s="354">
        <v>4</v>
      </c>
      <c r="L80" s="399">
        <v>2</v>
      </c>
      <c r="M80" s="399">
        <v>2</v>
      </c>
      <c r="N80" s="399">
        <v>4</v>
      </c>
      <c r="O80" s="355">
        <f t="shared" si="7"/>
        <v>20</v>
      </c>
      <c r="P80" s="354"/>
      <c r="Q80" s="354"/>
      <c r="R80" s="355">
        <f t="shared" si="8"/>
        <v>0</v>
      </c>
      <c r="S80" s="354">
        <v>10</v>
      </c>
      <c r="T80" s="354"/>
      <c r="U80" s="354"/>
      <c r="V80" s="355">
        <f t="shared" si="9"/>
        <v>10</v>
      </c>
      <c r="W80" s="354">
        <v>10</v>
      </c>
      <c r="X80" s="477">
        <f t="shared" si="10"/>
        <v>40</v>
      </c>
      <c r="Y80" s="19" t="str">
        <f t="shared" si="11"/>
        <v xml:space="preserve">OK </v>
      </c>
      <c r="Z80" s="404" t="str">
        <f t="shared" si="12"/>
        <v xml:space="preserve"> </v>
      </c>
      <c r="AA80" s="478">
        <f>ROUND((IF(D80=1,(BASE!$G$51*I80),IF(D80=2,(BASE!$G$52*I80),IF(D80=3,(BASE!$G$53*I80),IF(D80=4,(BASE!$G$54*I80),IF(D80=5,(BASE!$G$55*I80),IF(D80=6,(BASE!$G$56*I80),0)))))))/1000,0)*1000</f>
        <v>4456000</v>
      </c>
      <c r="AB80" s="408">
        <v>388000</v>
      </c>
      <c r="AC80" s="478">
        <f t="shared" si="13"/>
        <v>4844000</v>
      </c>
      <c r="AD80" s="478">
        <f>IF(G80=3,AC80*BASE!$I$62,IF(G80=1,AC80*(BASE!$I$61),IF(G80=2,AC80*(BASE!$I$63),AC80*BASE!$I$64)))</f>
        <v>55060133.333333336</v>
      </c>
      <c r="AE80" s="411">
        <f>IF(I80&lt;10,0,IF(AC80&lt;=BASE!$C$3*2,BASE!$C$2,0)*(AD80/AC80))</f>
        <v>0</v>
      </c>
      <c r="AF80" s="13">
        <v>0</v>
      </c>
      <c r="AG80" s="14">
        <f t="shared" si="4"/>
        <v>3058896.2962962966</v>
      </c>
      <c r="AH80" s="14">
        <f t="shared" si="14"/>
        <v>4843252</v>
      </c>
      <c r="AI80" s="14">
        <f t="shared" si="15"/>
        <v>4843252.4691358032</v>
      </c>
      <c r="AJ80" s="14">
        <f t="shared" si="5"/>
        <v>581190.29629629641</v>
      </c>
      <c r="AK80" s="14">
        <f>IF(I80=0,0,IF(G80=5,0,(AC80+AF80/12)*12*BASE!$C$5))</f>
        <v>4940880</v>
      </c>
      <c r="AL80" s="14">
        <f>IF(I80=0,0,IF(G80=5,0,(AC80+AF80/12)*12*BASE!$C$7))</f>
        <v>6975360</v>
      </c>
      <c r="AM80" s="14">
        <f>IF(I80=0,0,IF(G80=5,0,(AC80+AF80/12)*12*BASE!$C$9))</f>
        <v>303428.15999999997</v>
      </c>
      <c r="AN80" s="412">
        <f>IF(I80=0,0,IF(G80=5,0,(AD80+AF80+AG80)*BASE!$C$10))</f>
        <v>5230712.666666667</v>
      </c>
      <c r="AO80" s="837">
        <f t="shared" si="18"/>
        <v>85837105.221728399</v>
      </c>
      <c r="AP80" s="677">
        <f t="shared" si="16"/>
        <v>1.558970166346523</v>
      </c>
      <c r="AQ80" s="1148"/>
      <c r="AR80" s="1149"/>
      <c r="CG80" s="179">
        <v>0</v>
      </c>
      <c r="CH80" s="181">
        <v>1</v>
      </c>
      <c r="CI80" s="182" t="s">
        <v>168</v>
      </c>
    </row>
    <row r="81" spans="1:87" ht="13.5" customHeight="1" outlineLevel="1" x14ac:dyDescent="0.2">
      <c r="A81" s="368" t="s">
        <v>560</v>
      </c>
      <c r="B81" s="477" t="s">
        <v>1031</v>
      </c>
      <c r="C81" s="427"/>
      <c r="D81" s="431">
        <f>IF(E81="","",VLOOKUP(E81,BASE!$F$20:$H$25,2,FALSE))</f>
        <v>3</v>
      </c>
      <c r="E81" s="399" t="s">
        <v>540</v>
      </c>
      <c r="F81" s="436" t="s">
        <v>863</v>
      </c>
      <c r="G81" s="437">
        <f>IF(F81="","",VLOOKUP(F81,BASE!$B$15:$C$18,2,FALSE))</f>
        <v>4</v>
      </c>
      <c r="H81" s="355">
        <v>24</v>
      </c>
      <c r="I81" s="423">
        <f t="shared" si="6"/>
        <v>24</v>
      </c>
      <c r="J81" s="399">
        <v>10</v>
      </c>
      <c r="K81" s="399">
        <v>6</v>
      </c>
      <c r="L81" s="399">
        <v>3</v>
      </c>
      <c r="M81" s="399">
        <v>2</v>
      </c>
      <c r="N81" s="399">
        <v>1</v>
      </c>
      <c r="O81" s="355">
        <f t="shared" si="7"/>
        <v>22</v>
      </c>
      <c r="P81" s="354"/>
      <c r="Q81" s="354"/>
      <c r="R81" s="355">
        <f t="shared" si="8"/>
        <v>0</v>
      </c>
      <c r="S81" s="354"/>
      <c r="T81" s="354"/>
      <c r="U81" s="354"/>
      <c r="V81" s="355">
        <f t="shared" si="9"/>
        <v>0</v>
      </c>
      <c r="W81" s="354">
        <v>2</v>
      </c>
      <c r="X81" s="477">
        <f t="shared" si="10"/>
        <v>24</v>
      </c>
      <c r="Y81" s="19" t="str">
        <f t="shared" si="11"/>
        <v xml:space="preserve">OK </v>
      </c>
      <c r="Z81" s="404" t="str">
        <f t="shared" si="12"/>
        <v xml:space="preserve"> </v>
      </c>
      <c r="AA81" s="478">
        <f>ROUND((IF(D81=1,(BASE!$G$51*I81),IF(D81=2,(BASE!$G$52*I81),IF(D81=3,(BASE!$G$53*I81),IF(D81=4,(BASE!$G$54*I81),IF(D81=5,(BASE!$G$55*I81),IF(D81=6,(BASE!$G$56*I81),0)))))))/1000,0)*1000</f>
        <v>3283000</v>
      </c>
      <c r="AB81" s="408">
        <v>969000</v>
      </c>
      <c r="AC81" s="478">
        <f t="shared" si="13"/>
        <v>4252000</v>
      </c>
      <c r="AD81" s="478">
        <f>IF(G81=3,AC81*BASE!$I$62,IF(G81=1,AC81*(BASE!$I$61),IF(G81=2,AC81*(BASE!$I$63),AC81*BASE!$I$64)))</f>
        <v>48331066.666666672</v>
      </c>
      <c r="AE81" s="411">
        <f>IF(I81&lt;10,0,IF(AC81&lt;=BASE!$C$3*2,BASE!$C$2,0)*(AD81/AC81))</f>
        <v>0</v>
      </c>
      <c r="AF81" s="13">
        <v>0</v>
      </c>
      <c r="AG81" s="14">
        <f t="shared" si="4"/>
        <v>2685059.2592592598</v>
      </c>
      <c r="AH81" s="14">
        <f t="shared" si="14"/>
        <v>4251344</v>
      </c>
      <c r="AI81" s="14">
        <f t="shared" si="15"/>
        <v>4251343.8271604944</v>
      </c>
      <c r="AJ81" s="14">
        <f t="shared" si="5"/>
        <v>510161.25925925933</v>
      </c>
      <c r="AK81" s="14">
        <f>IF(I81=0,0,IF(G81=5,0,(AC81+AF81/12)*12*BASE!$C$5))</f>
        <v>4337040</v>
      </c>
      <c r="AL81" s="14">
        <f>IF(I81=0,0,IF(G81=5,0,(AC81+AF81/12)*12*BASE!$C$7))</f>
        <v>6122880</v>
      </c>
      <c r="AM81" s="14">
        <f>IF(I81=0,0,IF(G81=5,0,(AC81+AF81/12)*12*BASE!$C$9))</f>
        <v>266345.27999999997</v>
      </c>
      <c r="AN81" s="412">
        <f>IF(I81=0,0,IF(G81=5,0,(AD81+AF81+AG81)*BASE!$C$10))</f>
        <v>4591451.333333334</v>
      </c>
      <c r="AO81" s="837">
        <f t="shared" ref="AO81:AO114" si="19">+AD81+AE81+AF81+AG81+AH81+AI81+AJ81+AK81+AL81+AM81+AN81</f>
        <v>75346691.625679016</v>
      </c>
      <c r="AP81" s="677">
        <f t="shared" si="16"/>
        <v>1.5589701784431065</v>
      </c>
      <c r="AQ81" s="1148"/>
      <c r="AR81" s="1149"/>
      <c r="CG81" s="179">
        <v>0</v>
      </c>
      <c r="CH81" s="181">
        <v>1</v>
      </c>
      <c r="CI81" s="182" t="s">
        <v>168</v>
      </c>
    </row>
    <row r="82" spans="1:87" ht="13.5" customHeight="1" outlineLevel="1" x14ac:dyDescent="0.2">
      <c r="A82" s="368" t="s">
        <v>560</v>
      </c>
      <c r="B82" s="477" t="s">
        <v>1032</v>
      </c>
      <c r="C82" s="427"/>
      <c r="D82" s="431">
        <f>IF(E82="","",VLOOKUP(E82,BASE!$F$20:$H$25,2,FALSE))</f>
        <v>3</v>
      </c>
      <c r="E82" s="399" t="s">
        <v>540</v>
      </c>
      <c r="F82" s="436" t="s">
        <v>546</v>
      </c>
      <c r="G82" s="437">
        <f>IF(F82="","",VLOOKUP(F82,BASE!$B$15:$C$18,2,FALSE))</f>
        <v>3</v>
      </c>
      <c r="H82" s="355">
        <v>23</v>
      </c>
      <c r="I82" s="423">
        <f t="shared" si="6"/>
        <v>23</v>
      </c>
      <c r="J82" s="399">
        <v>9</v>
      </c>
      <c r="K82" s="399">
        <v>3</v>
      </c>
      <c r="L82" s="399">
        <v>3</v>
      </c>
      <c r="M82" s="354"/>
      <c r="N82" s="354"/>
      <c r="O82" s="355">
        <f t="shared" si="7"/>
        <v>15</v>
      </c>
      <c r="P82" s="354"/>
      <c r="Q82" s="354">
        <v>3</v>
      </c>
      <c r="R82" s="355">
        <f t="shared" si="8"/>
        <v>3</v>
      </c>
      <c r="S82" s="354"/>
      <c r="T82" s="354"/>
      <c r="U82" s="354"/>
      <c r="V82" s="355">
        <f t="shared" si="9"/>
        <v>0</v>
      </c>
      <c r="W82" s="354">
        <v>5</v>
      </c>
      <c r="X82" s="477">
        <f t="shared" si="10"/>
        <v>23</v>
      </c>
      <c r="Y82" s="19" t="str">
        <f t="shared" si="11"/>
        <v xml:space="preserve">OK </v>
      </c>
      <c r="Z82" s="404" t="str">
        <f t="shared" si="12"/>
        <v xml:space="preserve"> </v>
      </c>
      <c r="AA82" s="478">
        <f>ROUND((IF(D82=1,(BASE!$G$51*I82),IF(D82=2,(BASE!$G$52*I82),IF(D82=3,(BASE!$G$53*I82),IF(D82=4,(BASE!$G$54*I82),IF(D82=5,(BASE!$G$55*I82),IF(D82=6,(BASE!$G$56*I82),0)))))))/1000,0)*1000</f>
        <v>3146000</v>
      </c>
      <c r="AB82" s="408">
        <v>0</v>
      </c>
      <c r="AC82" s="478">
        <f t="shared" si="13"/>
        <v>3146000</v>
      </c>
      <c r="AD82" s="478">
        <f>IF(G82=3,AC82*BASE!$I$62,IF(G82=1,AC82*(BASE!$I$61),IF(G82=2,AC82*(BASE!$I$63),AC82*BASE!$I$64)))</f>
        <v>33662200</v>
      </c>
      <c r="AE82" s="411">
        <f>IF(I82&lt;10,0,IF(AC82&lt;=BASE!$C$3*2,BASE!$C$2,0)*(AD82/AC82))</f>
        <v>0</v>
      </c>
      <c r="AF82" s="13">
        <v>0</v>
      </c>
      <c r="AG82" s="14">
        <f t="shared" si="4"/>
        <v>1870122.2222222222</v>
      </c>
      <c r="AH82" s="14">
        <f t="shared" si="14"/>
        <v>2961027</v>
      </c>
      <c r="AI82" s="14">
        <f t="shared" si="15"/>
        <v>2961026.8518518521</v>
      </c>
      <c r="AJ82" s="14">
        <f t="shared" si="5"/>
        <v>325712.95370370377</v>
      </c>
      <c r="AK82" s="14">
        <f>IF(I82=0,0,IF(G82=5,0,(AC82+AF82/12)*12*BASE!$C$5))</f>
        <v>3208920</v>
      </c>
      <c r="AL82" s="14">
        <f>IF(I82=0,0,IF(G82=5,0,(AC82+AF82/12)*12*BASE!$C$7))</f>
        <v>4530240</v>
      </c>
      <c r="AM82" s="14">
        <f>IF(I82=0,0,IF(G82=5,0,(AC82+AF82/12)*12*BASE!$C$9))</f>
        <v>197065.44</v>
      </c>
      <c r="AN82" s="412">
        <f>IF(I82=0,0,IF(G82=5,0,(AD82+AF82+AG82)*BASE!$C$10))</f>
        <v>3197909</v>
      </c>
      <c r="AO82" s="837">
        <f t="shared" si="19"/>
        <v>52914223.467777774</v>
      </c>
      <c r="AP82" s="677">
        <f t="shared" si="16"/>
        <v>1.5719181594719827</v>
      </c>
      <c r="AQ82" s="1150" t="s">
        <v>1422</v>
      </c>
      <c r="AR82" s="1149"/>
      <c r="CG82" s="179">
        <v>0</v>
      </c>
      <c r="CH82" s="181">
        <v>1</v>
      </c>
      <c r="CI82" s="182" t="s">
        <v>168</v>
      </c>
    </row>
    <row r="83" spans="1:87" ht="13.5" customHeight="1" outlineLevel="1" x14ac:dyDescent="0.2">
      <c r="A83" s="368" t="s">
        <v>560</v>
      </c>
      <c r="B83" s="477" t="s">
        <v>1033</v>
      </c>
      <c r="C83" s="427"/>
      <c r="D83" s="431">
        <f>IF(E83="","",VLOOKUP(E83,BASE!$F$20:$H$25,2,FALSE))</f>
        <v>5</v>
      </c>
      <c r="E83" s="399" t="s">
        <v>538</v>
      </c>
      <c r="F83" s="436" t="s">
        <v>863</v>
      </c>
      <c r="G83" s="437">
        <f>IF(F83="","",VLOOKUP(F83,BASE!$B$15:$C$18,2,FALSE))</f>
        <v>4</v>
      </c>
      <c r="H83" s="355">
        <v>40</v>
      </c>
      <c r="I83" s="423">
        <f t="shared" si="6"/>
        <v>40</v>
      </c>
      <c r="J83" s="399">
        <v>20</v>
      </c>
      <c r="K83" s="399">
        <v>8</v>
      </c>
      <c r="L83" s="399">
        <v>6</v>
      </c>
      <c r="M83" s="399">
        <v>2</v>
      </c>
      <c r="N83" s="399">
        <v>4</v>
      </c>
      <c r="O83" s="355">
        <f t="shared" si="7"/>
        <v>40</v>
      </c>
      <c r="P83" s="354"/>
      <c r="Q83" s="354"/>
      <c r="R83" s="355">
        <f t="shared" si="8"/>
        <v>0</v>
      </c>
      <c r="S83" s="354"/>
      <c r="T83" s="354"/>
      <c r="U83" s="354"/>
      <c r="V83" s="355">
        <f t="shared" si="9"/>
        <v>0</v>
      </c>
      <c r="W83" s="354"/>
      <c r="X83" s="477">
        <f t="shared" si="10"/>
        <v>40</v>
      </c>
      <c r="Y83" s="19" t="str">
        <f t="shared" si="11"/>
        <v xml:space="preserve">OK </v>
      </c>
      <c r="Z83" s="404" t="str">
        <f t="shared" si="12"/>
        <v xml:space="preserve"> </v>
      </c>
      <c r="AA83" s="478">
        <f>ROUND((IF(D83=1,(BASE!$G$51*I83),IF(D83=2,(BASE!$G$52*I83),IF(D83=3,(BASE!$G$53*I83),IF(D83=4,(BASE!$G$54*I83),IF(D83=5,(BASE!$G$55*I83),IF(D83=6,(BASE!$G$56*I83),0)))))))/1000,0)*1000</f>
        <v>3560000</v>
      </c>
      <c r="AB83" s="408">
        <v>0</v>
      </c>
      <c r="AC83" s="478">
        <f t="shared" si="13"/>
        <v>3560000</v>
      </c>
      <c r="AD83" s="478">
        <f>IF(G83=3,AC83*BASE!$I$62,IF(G83=1,AC83*(BASE!$I$61),IF(G83=2,AC83*(BASE!$I$63),AC83*BASE!$I$64)))</f>
        <v>40465333.333333336</v>
      </c>
      <c r="AE83" s="411">
        <f>IF(I83&lt;10,0,IF(AC83&lt;=BASE!$C$3*2,BASE!$C$2,0)*(AD83/AC83))</f>
        <v>0</v>
      </c>
      <c r="AF83" s="13">
        <v>0</v>
      </c>
      <c r="AG83" s="14">
        <f t="shared" si="4"/>
        <v>2248074.0740740742</v>
      </c>
      <c r="AH83" s="14">
        <f t="shared" si="14"/>
        <v>3559451</v>
      </c>
      <c r="AI83" s="14">
        <f t="shared" si="15"/>
        <v>3559450.617283951</v>
      </c>
      <c r="AJ83" s="14">
        <f t="shared" si="5"/>
        <v>427134.0740740741</v>
      </c>
      <c r="AK83" s="14">
        <f>IF(I83=0,0,IF(G83=5,0,(AC83+AF83/12)*12*BASE!$C$5))</f>
        <v>3631200.0000000005</v>
      </c>
      <c r="AL83" s="14">
        <f>IF(I83=0,0,IF(G83=5,0,(AC83+AF83/12)*12*BASE!$C$7))</f>
        <v>5126400</v>
      </c>
      <c r="AM83" s="14">
        <f>IF(I83=0,0,IF(G83=5,0,(AC83+AF83/12)*12*BASE!$C$9))</f>
        <v>222998.39999999999</v>
      </c>
      <c r="AN83" s="412">
        <f>IF(I83=0,0,IF(G83=5,0,(AD83+AF83+AG83)*BASE!$C$10))</f>
        <v>3844206.666666667</v>
      </c>
      <c r="AO83" s="837">
        <f t="shared" si="19"/>
        <v>63084248.165432096</v>
      </c>
      <c r="AP83" s="677">
        <f t="shared" si="16"/>
        <v>1.5589701843248236</v>
      </c>
      <c r="AQ83" s="1148"/>
      <c r="AR83" s="1149"/>
      <c r="CG83" s="179">
        <v>0</v>
      </c>
      <c r="CH83" s="181">
        <v>1</v>
      </c>
      <c r="CI83" s="182" t="s">
        <v>168</v>
      </c>
    </row>
    <row r="84" spans="1:87" ht="13.5" customHeight="1" outlineLevel="1" x14ac:dyDescent="0.2">
      <c r="A84" s="368" t="s">
        <v>560</v>
      </c>
      <c r="B84" s="477" t="s">
        <v>1034</v>
      </c>
      <c r="C84" s="427"/>
      <c r="D84" s="431">
        <f>IF(E84="","",VLOOKUP(E84,BASE!$F$20:$H$25,2,FALSE))</f>
        <v>6</v>
      </c>
      <c r="E84" s="399" t="s">
        <v>537</v>
      </c>
      <c r="F84" s="436" t="s">
        <v>546</v>
      </c>
      <c r="G84" s="437">
        <f>IF(F84="","",VLOOKUP(F84,BASE!$B$15:$C$18,2,FALSE))</f>
        <v>3</v>
      </c>
      <c r="H84" s="355">
        <v>20</v>
      </c>
      <c r="I84" s="423">
        <f t="shared" si="6"/>
        <v>20</v>
      </c>
      <c r="J84" s="399">
        <v>6</v>
      </c>
      <c r="K84" s="399">
        <v>2</v>
      </c>
      <c r="L84" s="399">
        <v>2</v>
      </c>
      <c r="M84" s="354"/>
      <c r="N84" s="354"/>
      <c r="O84" s="355">
        <f t="shared" si="7"/>
        <v>10</v>
      </c>
      <c r="P84" s="354"/>
      <c r="Q84" s="354"/>
      <c r="R84" s="355">
        <f t="shared" si="8"/>
        <v>0</v>
      </c>
      <c r="S84" s="354">
        <v>10</v>
      </c>
      <c r="T84" s="354"/>
      <c r="U84" s="354"/>
      <c r="V84" s="355">
        <f t="shared" si="9"/>
        <v>10</v>
      </c>
      <c r="W84" s="354"/>
      <c r="X84" s="477">
        <f t="shared" si="10"/>
        <v>20</v>
      </c>
      <c r="Y84" s="19" t="str">
        <f t="shared" si="11"/>
        <v xml:space="preserve">OK </v>
      </c>
      <c r="Z84" s="404" t="str">
        <f t="shared" si="12"/>
        <v xml:space="preserve"> </v>
      </c>
      <c r="AA84" s="478">
        <f>ROUND((IF(D84=1,(BASE!$G$51*I84),IF(D84=2,(BASE!$G$52*I84),IF(D84=3,(BASE!$G$53*I84),IF(D84=4,(BASE!$G$54*I84),IF(D84=5,(BASE!$G$55*I84),IF(D84=6,(BASE!$G$56*I84),0)))))))/1000,0)*1000</f>
        <v>1400000</v>
      </c>
      <c r="AB84" s="408">
        <v>0</v>
      </c>
      <c r="AC84" s="478">
        <f t="shared" si="13"/>
        <v>1400000</v>
      </c>
      <c r="AD84" s="478">
        <f>IF(G84=3,AC84*BASE!$I$62,IF(G84=1,AC84*(BASE!$I$61),IF(G84=2,AC84*(BASE!$I$63),AC84*BASE!$I$64)))</f>
        <v>14979999.999999998</v>
      </c>
      <c r="AE84" s="411">
        <f>IF(I84&lt;10,0,IF(AC84&lt;=BASE!$C$3*2,BASE!$C$2,0)*(AD84/AC84))</f>
        <v>943857.7</v>
      </c>
      <c r="AF84" s="13">
        <v>0</v>
      </c>
      <c r="AG84" s="14">
        <f t="shared" si="4"/>
        <v>832222.22222222213</v>
      </c>
      <c r="AH84" s="14">
        <f t="shared" si="14"/>
        <v>1396340</v>
      </c>
      <c r="AI84" s="14">
        <f t="shared" si="15"/>
        <v>1396339.9935185185</v>
      </c>
      <c r="AJ84" s="14">
        <f t="shared" si="5"/>
        <v>153597.39928703703</v>
      </c>
      <c r="AK84" s="14">
        <f>IF(I84=0,0,IF(G84=5,0,(AC84+AF84/12)*12*BASE!$C$5))</f>
        <v>1428000</v>
      </c>
      <c r="AL84" s="14">
        <f>IF(I84=0,0,IF(G84=5,0,(AC84+AF84/12)*12*BASE!$C$7))</f>
        <v>2016000</v>
      </c>
      <c r="AM84" s="14">
        <f>IF(I84=0,0,IF(G84=5,0,(AC84+AF84/12)*12*BASE!$C$9))</f>
        <v>87696</v>
      </c>
      <c r="AN84" s="412">
        <f>IF(I84=0,0,IF(G84=5,0,(AD84+AF84+AG84)*BASE!$C$10))</f>
        <v>1423099.9999999998</v>
      </c>
      <c r="AO84" s="837">
        <f t="shared" si="19"/>
        <v>24657153.315027777</v>
      </c>
      <c r="AP84" s="677">
        <f t="shared" si="16"/>
        <v>1.6460048941941108</v>
      </c>
      <c r="AQ84" s="1148"/>
      <c r="AR84" s="1149"/>
      <c r="CG84" s="179">
        <v>0</v>
      </c>
      <c r="CH84" s="181">
        <v>1</v>
      </c>
      <c r="CI84" s="182" t="s">
        <v>168</v>
      </c>
    </row>
    <row r="85" spans="1:87" ht="13.5" customHeight="1" outlineLevel="1" x14ac:dyDescent="0.2">
      <c r="A85" s="368" t="s">
        <v>560</v>
      </c>
      <c r="B85" s="477" t="s">
        <v>1035</v>
      </c>
      <c r="C85" s="427"/>
      <c r="D85" s="431">
        <f>IF(E85="","",VLOOKUP(E85,BASE!$F$20:$H$25,2,FALSE))</f>
        <v>3</v>
      </c>
      <c r="E85" s="399" t="s">
        <v>540</v>
      </c>
      <c r="F85" s="436" t="s">
        <v>863</v>
      </c>
      <c r="G85" s="437">
        <f>IF(F85="","",VLOOKUP(F85,BASE!$B$15:$C$18,2,FALSE))</f>
        <v>4</v>
      </c>
      <c r="H85" s="355">
        <v>20</v>
      </c>
      <c r="I85" s="423">
        <f t="shared" si="6"/>
        <v>20</v>
      </c>
      <c r="J85" s="399">
        <v>10</v>
      </c>
      <c r="K85" s="354"/>
      <c r="L85" s="354"/>
      <c r="M85" s="354"/>
      <c r="N85" s="354"/>
      <c r="O85" s="355">
        <f t="shared" si="7"/>
        <v>10</v>
      </c>
      <c r="P85" s="354"/>
      <c r="Q85" s="354"/>
      <c r="R85" s="355">
        <f t="shared" si="8"/>
        <v>0</v>
      </c>
      <c r="S85" s="354">
        <v>10</v>
      </c>
      <c r="T85" s="354"/>
      <c r="U85" s="354"/>
      <c r="V85" s="355">
        <f t="shared" si="9"/>
        <v>10</v>
      </c>
      <c r="W85" s="354"/>
      <c r="X85" s="477">
        <f t="shared" si="10"/>
        <v>20</v>
      </c>
      <c r="Y85" s="19" t="str">
        <f t="shared" si="11"/>
        <v xml:space="preserve">OK </v>
      </c>
      <c r="Z85" s="404" t="str">
        <f t="shared" si="12"/>
        <v xml:space="preserve"> </v>
      </c>
      <c r="AA85" s="478">
        <f>ROUND((IF(D85=1,(BASE!$G$51*I85),IF(D85=2,(BASE!$G$52*I85),IF(D85=3,(BASE!$G$53*I85),IF(D85=4,(BASE!$G$54*I85),IF(D85=5,(BASE!$G$55*I85),IF(D85=6,(BASE!$G$56*I85),0)))))))/1000,0)*1000</f>
        <v>2736000</v>
      </c>
      <c r="AB85" s="408">
        <v>581000</v>
      </c>
      <c r="AC85" s="478">
        <f t="shared" si="13"/>
        <v>3317000</v>
      </c>
      <c r="AD85" s="478">
        <f>IF(G85=3,AC85*BASE!$I$62,IF(G85=1,AC85*(BASE!$I$61),IF(G85=2,AC85*(BASE!$I$63),AC85*BASE!$I$64)))</f>
        <v>37703233.333333336</v>
      </c>
      <c r="AE85" s="411">
        <f>IF(I85&lt;10,0,IF(AC85&lt;=BASE!$C$3*2,BASE!$C$2,0)*(AD85/AC85))</f>
        <v>0</v>
      </c>
      <c r="AF85" s="13">
        <v>0</v>
      </c>
      <c r="AG85" s="14">
        <f t="shared" si="4"/>
        <v>2094624.0740740744</v>
      </c>
      <c r="AH85" s="14">
        <f t="shared" si="14"/>
        <v>3316488</v>
      </c>
      <c r="AI85" s="14">
        <f t="shared" si="15"/>
        <v>3316488.117283951</v>
      </c>
      <c r="AJ85" s="14">
        <f t="shared" si="5"/>
        <v>397978.5740740741</v>
      </c>
      <c r="AK85" s="14">
        <f>IF(I85=0,0,IF(G85=5,0,(AC85+AF85/12)*12*BASE!$C$5))</f>
        <v>3383340.0000000005</v>
      </c>
      <c r="AL85" s="14">
        <f>IF(I85=0,0,IF(G85=5,0,(AC85+AF85/12)*12*BASE!$C$7))</f>
        <v>4776480</v>
      </c>
      <c r="AM85" s="14">
        <f>IF(I85=0,0,IF(G85=5,0,(AC85+AF85/12)*12*BASE!$C$9))</f>
        <v>207776.88</v>
      </c>
      <c r="AN85" s="412">
        <f>IF(I85=0,0,IF(G85=5,0,(AD85+AF85+AG85)*BASE!$C$10))</f>
        <v>3581807.166666667</v>
      </c>
      <c r="AO85" s="837">
        <f t="shared" si="19"/>
        <v>58778216.1454321</v>
      </c>
      <c r="AP85" s="677">
        <f t="shared" si="16"/>
        <v>1.5589701717562356</v>
      </c>
      <c r="AQ85" s="1148"/>
      <c r="AR85" s="1149"/>
      <c r="CG85" s="179">
        <v>0</v>
      </c>
      <c r="CH85" s="181">
        <v>1</v>
      </c>
      <c r="CI85" s="182" t="s">
        <v>168</v>
      </c>
    </row>
    <row r="86" spans="1:87" ht="13.5" customHeight="1" outlineLevel="1" x14ac:dyDescent="0.2">
      <c r="A86" s="368" t="s">
        <v>560</v>
      </c>
      <c r="B86" s="477" t="s">
        <v>1036</v>
      </c>
      <c r="C86" s="427"/>
      <c r="D86" s="431">
        <f>IF(E86="","",VLOOKUP(E86,BASE!$F$20:$H$25,2,FALSE))</f>
        <v>5</v>
      </c>
      <c r="E86" s="399" t="s">
        <v>538</v>
      </c>
      <c r="F86" s="436" t="s">
        <v>546</v>
      </c>
      <c r="G86" s="437">
        <f>IF(F86="","",VLOOKUP(F86,BASE!$B$15:$C$18,2,FALSE))</f>
        <v>3</v>
      </c>
      <c r="H86" s="355">
        <v>8</v>
      </c>
      <c r="I86" s="423">
        <f t="shared" si="6"/>
        <v>8</v>
      </c>
      <c r="J86" s="399">
        <v>4</v>
      </c>
      <c r="K86" s="354"/>
      <c r="L86" s="354"/>
      <c r="M86" s="354"/>
      <c r="N86" s="354"/>
      <c r="O86" s="355">
        <f t="shared" si="7"/>
        <v>4</v>
      </c>
      <c r="P86" s="354"/>
      <c r="Q86" s="354"/>
      <c r="R86" s="355">
        <f t="shared" si="8"/>
        <v>0</v>
      </c>
      <c r="S86" s="354">
        <v>4</v>
      </c>
      <c r="T86" s="354"/>
      <c r="U86" s="354"/>
      <c r="V86" s="355">
        <f t="shared" si="9"/>
        <v>4</v>
      </c>
      <c r="W86" s="354"/>
      <c r="X86" s="477">
        <f t="shared" si="10"/>
        <v>8</v>
      </c>
      <c r="Y86" s="19" t="str">
        <f t="shared" si="11"/>
        <v xml:space="preserve">OK </v>
      </c>
      <c r="Z86" s="404" t="str">
        <f t="shared" si="12"/>
        <v xml:space="preserve"> </v>
      </c>
      <c r="AA86" s="478">
        <f>ROUND((IF(D86=1,(BASE!$G$51*I86),IF(D86=2,(BASE!$G$52*I86),IF(D86=3,(BASE!$G$53*I86),IF(D86=4,(BASE!$G$54*I86),IF(D86=5,(BASE!$G$55*I86),IF(D86=6,(BASE!$G$56*I86),0)))))))/1000,0)*1000</f>
        <v>712000</v>
      </c>
      <c r="AB86" s="408">
        <v>0</v>
      </c>
      <c r="AC86" s="478">
        <f t="shared" si="13"/>
        <v>712000</v>
      </c>
      <c r="AD86" s="478">
        <f>IF(G86=3,AC86*BASE!$I$62,IF(G86=1,AC86*(BASE!$I$61),IF(G86=2,AC86*(BASE!$I$63),AC86*BASE!$I$64)))</f>
        <v>7618399.9999999991</v>
      </c>
      <c r="AE86" s="411">
        <f>IF(I86&lt;10,0,IF(AC86&lt;=BASE!$C$3*2,BASE!$C$2,0)*(AD86/AC86))</f>
        <v>0</v>
      </c>
      <c r="AF86" s="13">
        <v>0</v>
      </c>
      <c r="AG86" s="14">
        <f t="shared" ref="AG86:AG149" si="20">IF(I86=0,0,IF(G86=5,0,((AD86/12)+(AF86/12))/3*2))</f>
        <v>423244.44444444444</v>
      </c>
      <c r="AH86" s="14">
        <f t="shared" si="14"/>
        <v>670137</v>
      </c>
      <c r="AI86" s="14">
        <f t="shared" si="15"/>
        <v>670137.03703703696</v>
      </c>
      <c r="AJ86" s="14">
        <f t="shared" ref="AJ86:AJ149" si="21">IF(G86=3,(AI86*11%),IF(G86=4,(AI86*12%),IF(G86=2,(AI86*12%),IF(G86=1,(AI86*10%),0))))</f>
        <v>73715.074074074073</v>
      </c>
      <c r="AK86" s="14">
        <f>IF(I86=0,0,IF(G86=5,0,(AC86+AF86/12)*12*BASE!$C$5))</f>
        <v>726240</v>
      </c>
      <c r="AL86" s="14">
        <f>IF(I86=0,0,IF(G86=5,0,(AC86+AF86/12)*12*BASE!$C$7))</f>
        <v>1025280</v>
      </c>
      <c r="AM86" s="14">
        <f>IF(I86=0,0,IF(G86=5,0,(AC86+AF86/12)*12*BASE!$C$9))</f>
        <v>44599.68</v>
      </c>
      <c r="AN86" s="412">
        <f>IF(I86=0,0,IF(G86=5,0,(AD86+AF86+AG86)*BASE!$C$10))</f>
        <v>723747.99999999988</v>
      </c>
      <c r="AO86" s="837">
        <f t="shared" si="19"/>
        <v>11975501.235555556</v>
      </c>
      <c r="AP86" s="677">
        <f t="shared" si="16"/>
        <v>1.5719181502094346</v>
      </c>
      <c r="AQ86" s="1148"/>
      <c r="AR86" s="1149"/>
      <c r="CG86" s="179">
        <v>0</v>
      </c>
      <c r="CH86" s="181">
        <v>1</v>
      </c>
      <c r="CI86" s="182" t="s">
        <v>168</v>
      </c>
    </row>
    <row r="87" spans="1:87" ht="13.5" customHeight="1" outlineLevel="1" x14ac:dyDescent="0.2">
      <c r="A87" s="368" t="s">
        <v>560</v>
      </c>
      <c r="B87" s="477" t="s">
        <v>1037</v>
      </c>
      <c r="C87" s="427"/>
      <c r="D87" s="431">
        <f>IF(E87="","",VLOOKUP(E87,BASE!$F$20:$H$25,2,FALSE))</f>
        <v>5</v>
      </c>
      <c r="E87" s="399" t="s">
        <v>538</v>
      </c>
      <c r="F87" s="436" t="s">
        <v>546</v>
      </c>
      <c r="G87" s="437">
        <f>IF(F87="","",VLOOKUP(F87,BASE!$B$15:$C$18,2,FALSE))</f>
        <v>3</v>
      </c>
      <c r="H87" s="355">
        <v>10</v>
      </c>
      <c r="I87" s="423">
        <f t="shared" ref="I87:I150" si="22">+H87</f>
        <v>10</v>
      </c>
      <c r="J87" s="399">
        <v>5</v>
      </c>
      <c r="K87" s="354"/>
      <c r="L87" s="354"/>
      <c r="M87" s="354"/>
      <c r="N87" s="354"/>
      <c r="O87" s="355">
        <f t="shared" ref="O87:O150" si="23">+J87+K87+L87+M87+N87</f>
        <v>5</v>
      </c>
      <c r="P87" s="354"/>
      <c r="Q87" s="354"/>
      <c r="R87" s="355">
        <f t="shared" ref="R87:R150" si="24">+P87+Q87</f>
        <v>0</v>
      </c>
      <c r="S87" s="399">
        <v>4</v>
      </c>
      <c r="T87" s="354"/>
      <c r="U87" s="354"/>
      <c r="V87" s="355">
        <f t="shared" ref="V87:V150" si="25">+S87+T87+U87</f>
        <v>4</v>
      </c>
      <c r="W87" s="354">
        <v>1</v>
      </c>
      <c r="X87" s="477">
        <f t="shared" ref="X87:X150" si="26">+O87+R87+V87+W87</f>
        <v>10</v>
      </c>
      <c r="Y87" s="19" t="str">
        <f t="shared" ref="Y87:Y150" si="27">IF(I87-X87=0,"OK ",IF(I87-X87&gt;0,"AJUSTE",IF(I87-X87&lt;0,"AJUSTE")))</f>
        <v xml:space="preserve">OK </v>
      </c>
      <c r="Z87" s="404" t="str">
        <f t="shared" ref="Z87:Z150" si="28">IF(H87-I87=0," ",IF(H87-I87&gt;0,"JUSTIFICAR","AJUSTE"))</f>
        <v xml:space="preserve"> </v>
      </c>
      <c r="AA87" s="478">
        <f>ROUND((IF(D87=1,(BASE!$G$51*I87),IF(D87=2,(BASE!$G$52*I87),IF(D87=3,(BASE!$G$53*I87),IF(D87=4,(BASE!$G$54*I87),IF(D87=5,(BASE!$G$55*I87),IF(D87=6,(BASE!$G$56*I87),0)))))))/1000,0)*1000</f>
        <v>890000</v>
      </c>
      <c r="AB87" s="408">
        <v>0</v>
      </c>
      <c r="AC87" s="478">
        <f t="shared" ref="AC87:AC150" si="29">AA87+AB87</f>
        <v>890000</v>
      </c>
      <c r="AD87" s="478">
        <f>IF(G87=3,AC87*BASE!$I$62,IF(G87=1,AC87*(BASE!$I$61),IF(G87=2,AC87*(BASE!$I$63),AC87*BASE!$I$64)))</f>
        <v>9523000</v>
      </c>
      <c r="AE87" s="411">
        <f>IF(I87&lt;10,0,IF(AC87&lt;=BASE!$C$3*2,BASE!$C$2,0)*(AD87/AC87))</f>
        <v>943857.7</v>
      </c>
      <c r="AF87" s="13">
        <v>0</v>
      </c>
      <c r="AG87" s="14">
        <f t="shared" si="20"/>
        <v>529055.55555555562</v>
      </c>
      <c r="AH87" s="14">
        <f t="shared" ref="AH87:AH150" si="30">ROUND((AD87/12)+(AE87/12)+(AF87/12)+(AG87/12),0)</f>
        <v>916326</v>
      </c>
      <c r="AI87" s="14">
        <f t="shared" ref="AI87:AI150" si="31">((AD87/12)+(AE87/12)+(AF87/12)+(AG87/12))</f>
        <v>916326.10462962964</v>
      </c>
      <c r="AJ87" s="14">
        <f t="shared" si="21"/>
        <v>100795.87150925926</v>
      </c>
      <c r="AK87" s="14">
        <f>IF(I87=0,0,IF(G87=5,0,(AC87+AF87/12)*12*BASE!$C$5))</f>
        <v>907800.00000000012</v>
      </c>
      <c r="AL87" s="14">
        <f>IF(I87=0,0,IF(G87=5,0,(AC87+AF87/12)*12*BASE!$C$7))</f>
        <v>1281600</v>
      </c>
      <c r="AM87" s="14">
        <f>IF(I87=0,0,IF(G87=5,0,(AC87+AF87/12)*12*BASE!$C$9))</f>
        <v>55749.599999999999</v>
      </c>
      <c r="AN87" s="412">
        <f>IF(I87=0,0,IF(G87=5,0,(AD87+AF87+AG87)*BASE!$C$10))</f>
        <v>904685</v>
      </c>
      <c r="AO87" s="837">
        <f t="shared" si="19"/>
        <v>16079195.831694445</v>
      </c>
      <c r="AP87" s="677">
        <f t="shared" ref="AP87:AP150" si="32">IFERROR(AO87/AD87,"Sin datos")</f>
        <v>1.6884590813498315</v>
      </c>
      <c r="AQ87" s="1148"/>
      <c r="AR87" s="1149"/>
      <c r="CG87" s="179">
        <v>0</v>
      </c>
      <c r="CH87" s="181">
        <v>1</v>
      </c>
      <c r="CI87" s="182" t="s">
        <v>168</v>
      </c>
    </row>
    <row r="88" spans="1:87" ht="13.5" customHeight="1" outlineLevel="1" x14ac:dyDescent="0.2">
      <c r="A88" s="368" t="s">
        <v>560</v>
      </c>
      <c r="B88" s="477" t="s">
        <v>1038</v>
      </c>
      <c r="C88" s="427"/>
      <c r="D88" s="431">
        <f>IF(E88="","",VLOOKUP(E88,BASE!$F$20:$H$25,2,FALSE))</f>
        <v>3</v>
      </c>
      <c r="E88" s="399" t="s">
        <v>540</v>
      </c>
      <c r="F88" s="436" t="s">
        <v>863</v>
      </c>
      <c r="G88" s="437">
        <f>IF(F88="","",VLOOKUP(F88,BASE!$B$15:$C$18,2,FALSE))</f>
        <v>4</v>
      </c>
      <c r="H88" s="355">
        <v>33</v>
      </c>
      <c r="I88" s="423">
        <f t="shared" si="22"/>
        <v>33</v>
      </c>
      <c r="J88" s="399">
        <v>3</v>
      </c>
      <c r="K88" s="354"/>
      <c r="L88" s="354"/>
      <c r="M88" s="354"/>
      <c r="N88" s="354"/>
      <c r="O88" s="355">
        <f t="shared" si="23"/>
        <v>3</v>
      </c>
      <c r="P88" s="354"/>
      <c r="Q88" s="354">
        <v>20</v>
      </c>
      <c r="R88" s="355">
        <f t="shared" si="24"/>
        <v>20</v>
      </c>
      <c r="S88" s="354"/>
      <c r="T88" s="354"/>
      <c r="U88" s="354"/>
      <c r="V88" s="355">
        <f t="shared" si="25"/>
        <v>0</v>
      </c>
      <c r="W88" s="354">
        <v>10</v>
      </c>
      <c r="X88" s="477">
        <f t="shared" si="26"/>
        <v>33</v>
      </c>
      <c r="Y88" s="19" t="str">
        <f t="shared" si="27"/>
        <v xml:space="preserve">OK </v>
      </c>
      <c r="Z88" s="404" t="str">
        <f t="shared" si="28"/>
        <v xml:space="preserve"> </v>
      </c>
      <c r="AA88" s="478">
        <f>ROUND((IF(D88=1,(BASE!$G$51*I88),IF(D88=2,(BASE!$G$52*I88),IF(D88=3,(BASE!$G$53*I88),IF(D88=4,(BASE!$G$54*I88),IF(D88=5,(BASE!$G$55*I88),IF(D88=6,(BASE!$G$56*I88),0)))))))/1000,0)*1000</f>
        <v>4514000</v>
      </c>
      <c r="AB88" s="408">
        <v>1163000</v>
      </c>
      <c r="AC88" s="478">
        <f t="shared" si="29"/>
        <v>5677000</v>
      </c>
      <c r="AD88" s="478">
        <f>IF(G88=3,AC88*BASE!$I$62,IF(G88=1,AC88*(BASE!$I$61),IF(G88=2,AC88*(BASE!$I$63),AC88*BASE!$I$64)))</f>
        <v>64528566.666666672</v>
      </c>
      <c r="AE88" s="411">
        <f>IF(I88&lt;10,0,IF(AC88&lt;=BASE!$C$3*2,BASE!$C$2,0)*(AD88/AC88))</f>
        <v>0</v>
      </c>
      <c r="AF88" s="13">
        <v>0</v>
      </c>
      <c r="AG88" s="14">
        <f t="shared" si="20"/>
        <v>3584920.3703703708</v>
      </c>
      <c r="AH88" s="14">
        <f t="shared" si="30"/>
        <v>5676124</v>
      </c>
      <c r="AI88" s="14">
        <f t="shared" si="31"/>
        <v>5676123.9197530868</v>
      </c>
      <c r="AJ88" s="14">
        <f t="shared" si="21"/>
        <v>681134.87037037034</v>
      </c>
      <c r="AK88" s="14">
        <f>IF(I88=0,0,IF(G88=5,0,(AC88+AF88/12)*12*BASE!$C$5))</f>
        <v>5790540</v>
      </c>
      <c r="AL88" s="14">
        <f>IF(I88=0,0,IF(G88=5,0,(AC88+AF88/12)*12*BASE!$C$7))</f>
        <v>8174880</v>
      </c>
      <c r="AM88" s="14">
        <f>IF(I88=0,0,IF(G88=5,0,(AC88+AF88/12)*12*BASE!$C$9))</f>
        <v>355607.27999999997</v>
      </c>
      <c r="AN88" s="412">
        <f>IF(I88=0,0,IF(G88=5,0,(AD88+AF88+AG88)*BASE!$C$10))</f>
        <v>6130213.833333334</v>
      </c>
      <c r="AO88" s="837">
        <f t="shared" si="19"/>
        <v>100598110.94049384</v>
      </c>
      <c r="AP88" s="677">
        <f t="shared" si="32"/>
        <v>1.5589701761105366</v>
      </c>
      <c r="AQ88" s="1148"/>
      <c r="AR88" s="1149"/>
      <c r="CG88" s="179">
        <v>0</v>
      </c>
      <c r="CH88" s="181">
        <v>1</v>
      </c>
      <c r="CI88" s="182" t="s">
        <v>168</v>
      </c>
    </row>
    <row r="89" spans="1:87" ht="13.5" customHeight="1" outlineLevel="1" x14ac:dyDescent="0.2">
      <c r="A89" s="368" t="s">
        <v>560</v>
      </c>
      <c r="B89" s="477" t="s">
        <v>1039</v>
      </c>
      <c r="C89" s="427"/>
      <c r="D89" s="431">
        <f>IF(E89="","",VLOOKUP(E89,BASE!$F$20:$H$25,2,FALSE))</f>
        <v>4</v>
      </c>
      <c r="E89" s="399" t="s">
        <v>539</v>
      </c>
      <c r="F89" s="436" t="s">
        <v>863</v>
      </c>
      <c r="G89" s="437">
        <f>IF(F89="","",VLOOKUP(F89,BASE!$B$15:$C$18,2,FALSE))</f>
        <v>4</v>
      </c>
      <c r="H89" s="355">
        <v>40</v>
      </c>
      <c r="I89" s="423">
        <f t="shared" si="22"/>
        <v>40</v>
      </c>
      <c r="J89" s="399">
        <v>15</v>
      </c>
      <c r="K89" s="354">
        <v>6</v>
      </c>
      <c r="L89" s="399">
        <v>4</v>
      </c>
      <c r="M89" s="399">
        <v>4</v>
      </c>
      <c r="N89" s="399">
        <v>4</v>
      </c>
      <c r="O89" s="355">
        <f t="shared" si="23"/>
        <v>33</v>
      </c>
      <c r="P89" s="354"/>
      <c r="Q89" s="399">
        <v>5</v>
      </c>
      <c r="R89" s="355">
        <f t="shared" si="24"/>
        <v>5</v>
      </c>
      <c r="S89" s="354"/>
      <c r="T89" s="354"/>
      <c r="U89" s="354"/>
      <c r="V89" s="355">
        <f t="shared" si="25"/>
        <v>0</v>
      </c>
      <c r="W89" s="354">
        <v>2</v>
      </c>
      <c r="X89" s="477">
        <f t="shared" si="26"/>
        <v>40</v>
      </c>
      <c r="Y89" s="19" t="str">
        <f t="shared" si="27"/>
        <v xml:space="preserve">OK </v>
      </c>
      <c r="Z89" s="404" t="str">
        <f t="shared" si="28"/>
        <v xml:space="preserve"> </v>
      </c>
      <c r="AA89" s="478">
        <f>ROUND((IF(D89=1,(BASE!$G$51*I89),IF(D89=2,(BASE!$G$52*I89),IF(D89=3,(BASE!$G$53*I89),IF(D89=4,(BASE!$G$54*I89),IF(D89=5,(BASE!$G$55*I89),IF(D89=6,(BASE!$G$56*I89),0)))))))/1000,0)*1000</f>
        <v>4456000</v>
      </c>
      <c r="AB89" s="408">
        <v>388000</v>
      </c>
      <c r="AC89" s="478">
        <f t="shared" si="29"/>
        <v>4844000</v>
      </c>
      <c r="AD89" s="478">
        <f>IF(G89=3,AC89*BASE!$I$62,IF(G89=1,AC89*(BASE!$I$61),IF(G89=2,AC89*(BASE!$I$63),AC89*BASE!$I$64)))</f>
        <v>55060133.333333336</v>
      </c>
      <c r="AE89" s="411">
        <f>IF(I89&lt;10,0,IF(AC89&lt;=BASE!$C$3*2,BASE!$C$2,0)*(AD89/AC89))</f>
        <v>0</v>
      </c>
      <c r="AF89" s="13">
        <v>0</v>
      </c>
      <c r="AG89" s="14">
        <f t="shared" si="20"/>
        <v>3058896.2962962966</v>
      </c>
      <c r="AH89" s="14">
        <f t="shared" si="30"/>
        <v>4843252</v>
      </c>
      <c r="AI89" s="14">
        <f t="shared" si="31"/>
        <v>4843252.4691358032</v>
      </c>
      <c r="AJ89" s="14">
        <f t="shared" si="21"/>
        <v>581190.29629629641</v>
      </c>
      <c r="AK89" s="14">
        <f>IF(I89=0,0,IF(G89=5,0,(AC89+AF89/12)*12*BASE!$C$5))</f>
        <v>4940880</v>
      </c>
      <c r="AL89" s="14">
        <f>IF(I89=0,0,IF(G89=5,0,(AC89+AF89/12)*12*BASE!$C$7))</f>
        <v>6975360</v>
      </c>
      <c r="AM89" s="14">
        <f>IF(I89=0,0,IF(G89=5,0,(AC89+AF89/12)*12*BASE!$C$9))</f>
        <v>303428.15999999997</v>
      </c>
      <c r="AN89" s="412">
        <f>IF(I89=0,0,IF(G89=5,0,(AD89+AF89+AG89)*BASE!$C$10))</f>
        <v>5230712.666666667</v>
      </c>
      <c r="AO89" s="837">
        <f t="shared" si="19"/>
        <v>85837105.221728399</v>
      </c>
      <c r="AP89" s="677">
        <f t="shared" si="32"/>
        <v>1.558970166346523</v>
      </c>
      <c r="AQ89" s="1148"/>
      <c r="AR89" s="1149"/>
      <c r="CG89" s="179">
        <v>0</v>
      </c>
      <c r="CH89" s="181">
        <v>1</v>
      </c>
      <c r="CI89" s="182" t="s">
        <v>168</v>
      </c>
    </row>
    <row r="90" spans="1:87" ht="13.5" customHeight="1" outlineLevel="1" x14ac:dyDescent="0.2">
      <c r="A90" s="368" t="s">
        <v>560</v>
      </c>
      <c r="B90" s="477" t="s">
        <v>1040</v>
      </c>
      <c r="C90" s="427"/>
      <c r="D90" s="431">
        <f>IF(E90="","",VLOOKUP(E90,BASE!$F$20:$H$25,2,FALSE))</f>
        <v>4</v>
      </c>
      <c r="E90" s="399" t="s">
        <v>539</v>
      </c>
      <c r="F90" s="436" t="s">
        <v>258</v>
      </c>
      <c r="G90" s="437">
        <f>IF(F90="","",VLOOKUP(F90,BASE!$B$15:$C$18,2,FALSE))</f>
        <v>2</v>
      </c>
      <c r="H90" s="355">
        <v>40</v>
      </c>
      <c r="I90" s="423">
        <f t="shared" si="22"/>
        <v>40</v>
      </c>
      <c r="J90" s="399">
        <v>20</v>
      </c>
      <c r="K90" s="354"/>
      <c r="L90" s="354"/>
      <c r="M90" s="354"/>
      <c r="N90" s="354"/>
      <c r="O90" s="355">
        <f t="shared" si="23"/>
        <v>20</v>
      </c>
      <c r="P90" s="354"/>
      <c r="Q90" s="354"/>
      <c r="R90" s="355">
        <f t="shared" si="24"/>
        <v>0</v>
      </c>
      <c r="S90" s="399">
        <v>20</v>
      </c>
      <c r="T90" s="354"/>
      <c r="U90" s="354"/>
      <c r="V90" s="355">
        <f t="shared" si="25"/>
        <v>20</v>
      </c>
      <c r="W90" s="354"/>
      <c r="X90" s="477">
        <f t="shared" si="26"/>
        <v>40</v>
      </c>
      <c r="Y90" s="19" t="str">
        <f t="shared" si="27"/>
        <v xml:space="preserve">OK </v>
      </c>
      <c r="Z90" s="404" t="str">
        <f t="shared" si="28"/>
        <v xml:space="preserve"> </v>
      </c>
      <c r="AA90" s="478">
        <f>ROUND((IF(D90=1,(BASE!$G$51*I90),IF(D90=2,(BASE!$G$52*I90),IF(D90=3,(BASE!$G$53*I90),IF(D90=4,(BASE!$G$54*I90),IF(D90=5,(BASE!$G$55*I90),IF(D90=6,(BASE!$G$56*I90),0)))))))/1000,0)*1000</f>
        <v>4456000</v>
      </c>
      <c r="AB90" s="408">
        <v>0</v>
      </c>
      <c r="AC90" s="478">
        <f t="shared" si="29"/>
        <v>4456000</v>
      </c>
      <c r="AD90" s="478">
        <f>IF(G90=3,AC90*BASE!$I$62,IF(G90=1,AC90*(BASE!$I$61),IF(G90=2,AC90*(BASE!$I$63),AC90*BASE!$I$64)))</f>
        <v>50649866.666666672</v>
      </c>
      <c r="AE90" s="411">
        <f>IF(I90&lt;10,0,IF(AC90&lt;=BASE!$C$3*2,BASE!$C$2,0)*(AD90/AC90))</f>
        <v>0</v>
      </c>
      <c r="AF90" s="13">
        <v>0</v>
      </c>
      <c r="AG90" s="14">
        <f t="shared" si="20"/>
        <v>2813881.4814814818</v>
      </c>
      <c r="AH90" s="14">
        <f t="shared" si="30"/>
        <v>4455312</v>
      </c>
      <c r="AI90" s="14">
        <f t="shared" si="31"/>
        <v>4455312.3456790131</v>
      </c>
      <c r="AJ90" s="14">
        <f t="shared" si="21"/>
        <v>534637.48148148158</v>
      </c>
      <c r="AK90" s="14">
        <f>IF(I90=0,0,IF(G90=5,0,(AC90+AF90/12)*12*BASE!$C$5))</f>
        <v>4545120</v>
      </c>
      <c r="AL90" s="14">
        <f>IF(I90=0,0,IF(G90=5,0,(AC90+AF90/12)*12*BASE!$C$7))</f>
        <v>6416640</v>
      </c>
      <c r="AM90" s="14">
        <f>IF(I90=0,0,IF(G90=5,0,(AC90+AF90/12)*12*BASE!$C$9))</f>
        <v>279123.83999999997</v>
      </c>
      <c r="AN90" s="412">
        <f>IF(I90=0,0,IF(G90=5,0,(AD90+AF90+AG90)*BASE!$C$10))</f>
        <v>4811737.333333334</v>
      </c>
      <c r="AO90" s="837">
        <f t="shared" si="19"/>
        <v>78961631.148641989</v>
      </c>
      <c r="AP90" s="677">
        <f t="shared" si="32"/>
        <v>1.558970168042074</v>
      </c>
      <c r="AQ90" s="1148"/>
      <c r="AR90" s="1149"/>
      <c r="CG90" s="179">
        <v>0</v>
      </c>
      <c r="CH90" s="181">
        <v>1</v>
      </c>
      <c r="CI90" s="182" t="s">
        <v>168</v>
      </c>
    </row>
    <row r="91" spans="1:87" ht="13.5" customHeight="1" outlineLevel="1" x14ac:dyDescent="0.2">
      <c r="A91" s="368" t="s">
        <v>560</v>
      </c>
      <c r="B91" s="477" t="s">
        <v>1041</v>
      </c>
      <c r="C91" s="427"/>
      <c r="D91" s="431">
        <f>IF(E91="","",VLOOKUP(E91,BASE!$F$20:$H$25,2,FALSE))</f>
        <v>3</v>
      </c>
      <c r="E91" s="399" t="s">
        <v>540</v>
      </c>
      <c r="F91" s="436" t="s">
        <v>863</v>
      </c>
      <c r="G91" s="437">
        <f>IF(F91="","",VLOOKUP(F91,BASE!$B$15:$C$18,2,FALSE))</f>
        <v>4</v>
      </c>
      <c r="H91" s="355">
        <v>12</v>
      </c>
      <c r="I91" s="423">
        <v>12</v>
      </c>
      <c r="J91" s="399">
        <v>6</v>
      </c>
      <c r="K91" s="354">
        <v>2</v>
      </c>
      <c r="L91" s="399">
        <v>2</v>
      </c>
      <c r="M91" s="399">
        <v>2</v>
      </c>
      <c r="N91" s="399"/>
      <c r="O91" s="355">
        <f t="shared" si="23"/>
        <v>12</v>
      </c>
      <c r="P91" s="354"/>
      <c r="Q91" s="354"/>
      <c r="R91" s="355">
        <f t="shared" si="24"/>
        <v>0</v>
      </c>
      <c r="S91" s="354"/>
      <c r="T91" s="354"/>
      <c r="U91" s="354"/>
      <c r="V91" s="355">
        <f t="shared" si="25"/>
        <v>0</v>
      </c>
      <c r="W91" s="399"/>
      <c r="X91" s="477">
        <f t="shared" si="26"/>
        <v>12</v>
      </c>
      <c r="Y91" s="19" t="str">
        <f t="shared" si="27"/>
        <v xml:space="preserve">OK </v>
      </c>
      <c r="Z91" s="404" t="str">
        <f t="shared" si="28"/>
        <v xml:space="preserve"> </v>
      </c>
      <c r="AA91" s="478">
        <f>ROUND((IF(D91=1,(BASE!$G$51*I91),IF(D91=2,(BASE!$G$52*I91),IF(D91=3,(BASE!$G$53*I91),IF(D91=4,(BASE!$G$54*I91),IF(D91=5,(BASE!$G$55*I91),IF(D91=6,(BASE!$G$56*I91),0)))))))/1000,0)*1000</f>
        <v>1642000</v>
      </c>
      <c r="AB91" s="408">
        <v>4491000</v>
      </c>
      <c r="AC91" s="478">
        <f t="shared" si="29"/>
        <v>6133000</v>
      </c>
      <c r="AD91" s="478">
        <f>IF(G91=3,AC91*BASE!$I$62,IF(G91=1,AC91*(BASE!$I$61),IF(G91=2,AC91*(BASE!$I$63),AC91*BASE!$I$64)))</f>
        <v>69711766.666666672</v>
      </c>
      <c r="AE91" s="411">
        <f>IF(I91&lt;10,0,IF(AC91&lt;=BASE!$C$3*2,BASE!$C$2,0)*(AD91/AC91))</f>
        <v>0</v>
      </c>
      <c r="AF91" s="13">
        <v>0</v>
      </c>
      <c r="AG91" s="14">
        <f t="shared" si="20"/>
        <v>3872875.9259259258</v>
      </c>
      <c r="AH91" s="14">
        <f t="shared" si="30"/>
        <v>6132054</v>
      </c>
      <c r="AI91" s="14">
        <f t="shared" si="31"/>
        <v>6132053.5493827164</v>
      </c>
      <c r="AJ91" s="14">
        <f t="shared" si="21"/>
        <v>735846.42592592596</v>
      </c>
      <c r="AK91" s="14">
        <f>IF(I91=0,0,IF(G91=5,0,(AC91+AF91/12)*12*BASE!$C$5))</f>
        <v>6255660</v>
      </c>
      <c r="AL91" s="14">
        <f>IF(I91=0,0,IF(G91=5,0,(AC91+AF91/12)*12*BASE!$C$7))</f>
        <v>8831520</v>
      </c>
      <c r="AM91" s="14">
        <f>IF(I91=0,0,IF(G91=5,0,(AC91+AF91/12)*12*BASE!$C$9))</f>
        <v>384171.12</v>
      </c>
      <c r="AN91" s="412">
        <f>IF(I91=0,0,IF(G91=5,0,(AD91+AF91+AG91)*BASE!$C$10))</f>
        <v>6622617.833333333</v>
      </c>
      <c r="AO91" s="837">
        <f t="shared" si="19"/>
        <v>108678565.52123457</v>
      </c>
      <c r="AP91" s="677">
        <f t="shared" si="32"/>
        <v>1.5589701813309551</v>
      </c>
      <c r="AQ91" s="1150" t="s">
        <v>1317</v>
      </c>
      <c r="AR91" s="1149"/>
      <c r="CG91" s="179">
        <v>0</v>
      </c>
      <c r="CH91" s="181">
        <v>1</v>
      </c>
      <c r="CI91" s="182" t="s">
        <v>168</v>
      </c>
    </row>
    <row r="92" spans="1:87" ht="13.5" customHeight="1" outlineLevel="1" x14ac:dyDescent="0.2">
      <c r="A92" s="368" t="s">
        <v>560</v>
      </c>
      <c r="B92" s="477" t="s">
        <v>1042</v>
      </c>
      <c r="C92" s="427"/>
      <c r="D92" s="431">
        <f>IF(E92="","",VLOOKUP(E92,BASE!$F$20:$H$25,2,FALSE))</f>
        <v>5</v>
      </c>
      <c r="E92" s="399" t="s">
        <v>538</v>
      </c>
      <c r="F92" s="436" t="s">
        <v>546</v>
      </c>
      <c r="G92" s="437">
        <f>IF(F92="","",VLOOKUP(F92,BASE!$B$15:$C$18,2,FALSE))</f>
        <v>3</v>
      </c>
      <c r="H92" s="355">
        <v>5</v>
      </c>
      <c r="I92" s="423">
        <f t="shared" si="22"/>
        <v>5</v>
      </c>
      <c r="J92" s="399">
        <v>3</v>
      </c>
      <c r="K92" s="354">
        <v>2</v>
      </c>
      <c r="L92" s="354"/>
      <c r="M92" s="354"/>
      <c r="N92" s="354"/>
      <c r="O92" s="355">
        <f t="shared" si="23"/>
        <v>5</v>
      </c>
      <c r="P92" s="354"/>
      <c r="Q92" s="354"/>
      <c r="R92" s="355">
        <f t="shared" si="24"/>
        <v>0</v>
      </c>
      <c r="S92" s="354"/>
      <c r="T92" s="354"/>
      <c r="U92" s="354"/>
      <c r="V92" s="355">
        <f t="shared" si="25"/>
        <v>0</v>
      </c>
      <c r="W92" s="354"/>
      <c r="X92" s="477">
        <f t="shared" si="26"/>
        <v>5</v>
      </c>
      <c r="Y92" s="19" t="str">
        <f t="shared" si="27"/>
        <v xml:space="preserve">OK </v>
      </c>
      <c r="Z92" s="404" t="str">
        <f t="shared" si="28"/>
        <v xml:space="preserve"> </v>
      </c>
      <c r="AA92" s="478">
        <f>ROUND((IF(D92=1,(BASE!$G$51*I92),IF(D92=2,(BASE!$G$52*I92),IF(D92=3,(BASE!$G$53*I92),IF(D92=4,(BASE!$G$54*I92),IF(D92=5,(BASE!$G$55*I92),IF(D92=6,(BASE!$G$56*I92),0)))))))/1000,0)*1000</f>
        <v>445000</v>
      </c>
      <c r="AB92" s="408">
        <v>0</v>
      </c>
      <c r="AC92" s="478">
        <f t="shared" si="29"/>
        <v>445000</v>
      </c>
      <c r="AD92" s="478">
        <f>IF(G92=3,AC92*BASE!$I$62,IF(G92=1,AC92*(BASE!$I$61),IF(G92=2,AC92*(BASE!$I$63),AC92*BASE!$I$64)))</f>
        <v>4761500</v>
      </c>
      <c r="AE92" s="411">
        <f>IF(I92&lt;10,0,IF(AC92&lt;=BASE!$C$3*2,BASE!$C$2,0)*(AD92/AC92))</f>
        <v>0</v>
      </c>
      <c r="AF92" s="13">
        <v>0</v>
      </c>
      <c r="AG92" s="14">
        <f t="shared" si="20"/>
        <v>264527.77777777781</v>
      </c>
      <c r="AH92" s="14">
        <f t="shared" si="30"/>
        <v>418836</v>
      </c>
      <c r="AI92" s="14">
        <f t="shared" si="31"/>
        <v>418835.64814814815</v>
      </c>
      <c r="AJ92" s="14">
        <f t="shared" si="21"/>
        <v>46071.921296296299</v>
      </c>
      <c r="AK92" s="14">
        <f>IF(I92=0,0,IF(G92=5,0,(AC92+AF92/12)*12*BASE!$C$5))</f>
        <v>453900.00000000006</v>
      </c>
      <c r="AL92" s="14">
        <f>IF(I92=0,0,IF(G92=5,0,(AC92+AF92/12)*12*BASE!$C$7))</f>
        <v>640800</v>
      </c>
      <c r="AM92" s="14">
        <f>IF(I92=0,0,IF(G92=5,0,(AC92+AF92/12)*12*BASE!$C$9))</f>
        <v>27874.799999999999</v>
      </c>
      <c r="AN92" s="412">
        <f>IF(I92=0,0,IF(G92=5,0,(AD92+AF92+AG92)*BASE!$C$10))</f>
        <v>452342.5</v>
      </c>
      <c r="AO92" s="837">
        <f t="shared" si="19"/>
        <v>7484688.6472222228</v>
      </c>
      <c r="AP92" s="677">
        <f t="shared" si="32"/>
        <v>1.5719182289661289</v>
      </c>
      <c r="AQ92" s="1148"/>
      <c r="AR92" s="1149"/>
      <c r="CG92" s="179">
        <v>0</v>
      </c>
      <c r="CH92" s="181">
        <v>1</v>
      </c>
      <c r="CI92" s="182" t="s">
        <v>168</v>
      </c>
    </row>
    <row r="93" spans="1:87" ht="13.5" customHeight="1" outlineLevel="1" x14ac:dyDescent="0.2">
      <c r="A93" s="368" t="s">
        <v>560</v>
      </c>
      <c r="B93" s="477" t="s">
        <v>1043</v>
      </c>
      <c r="C93" s="427"/>
      <c r="D93" s="431">
        <f>IF(E93="","",VLOOKUP(E93,BASE!$F$20:$H$25,2,FALSE))</f>
        <v>3</v>
      </c>
      <c r="E93" s="399" t="s">
        <v>540</v>
      </c>
      <c r="F93" s="436" t="s">
        <v>546</v>
      </c>
      <c r="G93" s="437">
        <f>IF(F93="","",VLOOKUP(F93,BASE!$B$15:$C$18,2,FALSE))</f>
        <v>3</v>
      </c>
      <c r="H93" s="355">
        <v>10</v>
      </c>
      <c r="I93" s="423">
        <f t="shared" si="22"/>
        <v>10</v>
      </c>
      <c r="J93" s="399">
        <v>5</v>
      </c>
      <c r="K93" s="354"/>
      <c r="L93" s="354"/>
      <c r="M93" s="354"/>
      <c r="N93" s="354"/>
      <c r="O93" s="355">
        <f t="shared" si="23"/>
        <v>5</v>
      </c>
      <c r="P93" s="354"/>
      <c r="Q93" s="354"/>
      <c r="R93" s="355">
        <f t="shared" si="24"/>
        <v>0</v>
      </c>
      <c r="S93" s="354">
        <v>5</v>
      </c>
      <c r="T93" s="354"/>
      <c r="U93" s="354"/>
      <c r="V93" s="355">
        <f t="shared" si="25"/>
        <v>5</v>
      </c>
      <c r="W93" s="354"/>
      <c r="X93" s="477">
        <f t="shared" si="26"/>
        <v>10</v>
      </c>
      <c r="Y93" s="19" t="str">
        <f t="shared" si="27"/>
        <v xml:space="preserve">OK </v>
      </c>
      <c r="Z93" s="404" t="str">
        <f t="shared" si="28"/>
        <v xml:space="preserve"> </v>
      </c>
      <c r="AA93" s="478">
        <f>ROUND((IF(D93=1,(BASE!$G$51*I93),IF(D93=2,(BASE!$G$52*I93),IF(D93=3,(BASE!$G$53*I93),IF(D93=4,(BASE!$G$54*I93),IF(D93=5,(BASE!$G$55*I93),IF(D93=6,(BASE!$G$56*I93),0)))))))/1000,0)*1000</f>
        <v>1368000</v>
      </c>
      <c r="AB93" s="408">
        <v>0</v>
      </c>
      <c r="AC93" s="478">
        <f t="shared" si="29"/>
        <v>1368000</v>
      </c>
      <c r="AD93" s="478">
        <f>IF(G93=3,AC93*BASE!$I$62,IF(G93=1,AC93*(BASE!$I$61),IF(G93=2,AC93*(BASE!$I$63),AC93*BASE!$I$64)))</f>
        <v>14637599.999999998</v>
      </c>
      <c r="AE93" s="411">
        <f>IF(I93&lt;10,0,IF(AC93&lt;=BASE!$C$3*2,BASE!$C$2,0)*(AD93/AC93))</f>
        <v>943857.7</v>
      </c>
      <c r="AF93" s="13">
        <v>0</v>
      </c>
      <c r="AG93" s="14">
        <f t="shared" si="20"/>
        <v>813199.99999999988</v>
      </c>
      <c r="AH93" s="14">
        <f t="shared" si="30"/>
        <v>1366221</v>
      </c>
      <c r="AI93" s="14">
        <f t="shared" si="31"/>
        <v>1366221.4749999999</v>
      </c>
      <c r="AJ93" s="14">
        <f t="shared" si="21"/>
        <v>150284.36224999998</v>
      </c>
      <c r="AK93" s="14">
        <f>IF(I93=0,0,IF(G93=5,0,(AC93+AF93/12)*12*BASE!$C$5))</f>
        <v>1395360</v>
      </c>
      <c r="AL93" s="14">
        <v>0</v>
      </c>
      <c r="AM93" s="14">
        <f>IF(I93=0,0,IF(G93=5,0,(AC93+AF93/12)*12*BASE!$C$9))</f>
        <v>85691.520000000004</v>
      </c>
      <c r="AN93" s="412">
        <f>IF(I93=0,0,IF(G93=5,0,(AD93+AF93+AG93)*BASE!$C$10))</f>
        <v>1390571.9999999998</v>
      </c>
      <c r="AO93" s="837">
        <f t="shared" si="19"/>
        <v>22149008.057249997</v>
      </c>
      <c r="AP93" s="677">
        <f t="shared" si="32"/>
        <v>1.5131584451856861</v>
      </c>
      <c r="AQ93" s="1148"/>
      <c r="AR93" s="1149"/>
      <c r="CG93" s="179">
        <v>0</v>
      </c>
      <c r="CH93" s="181">
        <v>1</v>
      </c>
      <c r="CI93" s="182" t="s">
        <v>168</v>
      </c>
    </row>
    <row r="94" spans="1:87" ht="13.5" customHeight="1" outlineLevel="1" x14ac:dyDescent="0.2">
      <c r="A94" s="368" t="s">
        <v>560</v>
      </c>
      <c r="B94" s="477" t="s">
        <v>1044</v>
      </c>
      <c r="C94" s="427"/>
      <c r="D94" s="431">
        <f>IF(E94="","",VLOOKUP(E94,BASE!$F$20:$H$25,2,FALSE))</f>
        <v>3</v>
      </c>
      <c r="E94" s="399" t="s">
        <v>540</v>
      </c>
      <c r="F94" s="436" t="s">
        <v>863</v>
      </c>
      <c r="G94" s="437">
        <f>IF(F94="","",VLOOKUP(F94,BASE!$B$15:$C$18,2,FALSE))</f>
        <v>4</v>
      </c>
      <c r="H94" s="355">
        <v>30</v>
      </c>
      <c r="I94" s="423">
        <f t="shared" si="22"/>
        <v>30</v>
      </c>
      <c r="J94" s="354">
        <v>8</v>
      </c>
      <c r="K94" s="354">
        <v>2</v>
      </c>
      <c r="L94" s="399">
        <v>2</v>
      </c>
      <c r="M94" s="399"/>
      <c r="N94" s="399">
        <v>4</v>
      </c>
      <c r="O94" s="355">
        <f t="shared" si="23"/>
        <v>16</v>
      </c>
      <c r="P94" s="399"/>
      <c r="Q94" s="399">
        <v>4</v>
      </c>
      <c r="R94" s="355">
        <f t="shared" si="24"/>
        <v>4</v>
      </c>
      <c r="S94" s="354">
        <v>4</v>
      </c>
      <c r="T94" s="354"/>
      <c r="U94" s="354"/>
      <c r="V94" s="355">
        <f t="shared" si="25"/>
        <v>4</v>
      </c>
      <c r="W94" s="354">
        <v>6</v>
      </c>
      <c r="X94" s="477">
        <f t="shared" si="26"/>
        <v>30</v>
      </c>
      <c r="Y94" s="19" t="str">
        <f t="shared" si="27"/>
        <v xml:space="preserve">OK </v>
      </c>
      <c r="Z94" s="404" t="str">
        <f t="shared" si="28"/>
        <v xml:space="preserve"> </v>
      </c>
      <c r="AA94" s="478">
        <f>ROUND((IF(D94=1,(BASE!$G$51*I94),IF(D94=2,(BASE!$G$52*I94),IF(D94=3,(BASE!$G$53*I94),IF(D94=4,(BASE!$G$54*I94),IF(D94=5,(BASE!$G$55*I94),IF(D94=6,(BASE!$G$56*I94),0)))))))/1000,0)*1000</f>
        <v>4104000</v>
      </c>
      <c r="AB94" s="408">
        <v>2072000</v>
      </c>
      <c r="AC94" s="478">
        <f t="shared" si="29"/>
        <v>6176000</v>
      </c>
      <c r="AD94" s="478">
        <f>IF(G94=3,AC94*BASE!$I$62,IF(G94=1,AC94*(BASE!$I$61),IF(G94=2,AC94*(BASE!$I$63),AC94*BASE!$I$64)))</f>
        <v>70200533.333333343</v>
      </c>
      <c r="AE94" s="411">
        <f>IF(I94&lt;10,0,IF(AC94&lt;=BASE!$C$3*2,BASE!$C$2,0)*(AD94/AC94))</f>
        <v>0</v>
      </c>
      <c r="AF94" s="13">
        <v>0</v>
      </c>
      <c r="AG94" s="14">
        <f t="shared" si="20"/>
        <v>3900029.6296296301</v>
      </c>
      <c r="AH94" s="14">
        <f t="shared" si="30"/>
        <v>6175047</v>
      </c>
      <c r="AI94" s="14">
        <f t="shared" si="31"/>
        <v>6175046.9135802472</v>
      </c>
      <c r="AJ94" s="14">
        <f t="shared" si="21"/>
        <v>741005.62962962966</v>
      </c>
      <c r="AK94" s="14">
        <f>IF(I94=0,0,IF(G94=5,0,(AC94+AF94/12)*12*BASE!$C$5))</f>
        <v>6299520</v>
      </c>
      <c r="AL94" s="14">
        <f>IF(I94=0,0,IF(G94=5,0,(AC94+AF94/12)*12*BASE!$C$7))</f>
        <v>8893440</v>
      </c>
      <c r="AM94" s="14">
        <f>IF(I94=0,0,IF(G94=5,0,(AC94+AF94/12)*12*BASE!$C$9))</f>
        <v>386864.64000000001</v>
      </c>
      <c r="AN94" s="412">
        <f>IF(I94=0,0,IF(G94=5,0,(AD94+AF94+AG94)*BASE!$C$10))</f>
        <v>6669050.666666667</v>
      </c>
      <c r="AO94" s="837">
        <f t="shared" si="19"/>
        <v>109440537.81283952</v>
      </c>
      <c r="AP94" s="677">
        <f t="shared" si="32"/>
        <v>1.5589701760979904</v>
      </c>
      <c r="AQ94" s="1150" t="s">
        <v>1448</v>
      </c>
      <c r="AR94" s="1149"/>
      <c r="CG94" s="179">
        <v>0</v>
      </c>
      <c r="CH94" s="181">
        <v>1</v>
      </c>
      <c r="CI94" s="182" t="s">
        <v>168</v>
      </c>
    </row>
    <row r="95" spans="1:87" ht="13.5" customHeight="1" outlineLevel="1" x14ac:dyDescent="0.2">
      <c r="A95" s="368" t="s">
        <v>560</v>
      </c>
      <c r="B95" s="477" t="s">
        <v>1045</v>
      </c>
      <c r="C95" s="427"/>
      <c r="D95" s="431">
        <f>IF(E95="","",VLOOKUP(E95,BASE!$F$20:$H$25,2,FALSE))</f>
        <v>3</v>
      </c>
      <c r="E95" s="399" t="s">
        <v>540</v>
      </c>
      <c r="F95" s="436" t="s">
        <v>863</v>
      </c>
      <c r="G95" s="437">
        <f>IF(F95="","",VLOOKUP(F95,BASE!$B$15:$C$18,2,FALSE))</f>
        <v>4</v>
      </c>
      <c r="H95" s="355">
        <v>20</v>
      </c>
      <c r="I95" s="423">
        <v>30</v>
      </c>
      <c r="J95" s="399">
        <v>2</v>
      </c>
      <c r="K95" s="354">
        <v>2</v>
      </c>
      <c r="L95" s="399">
        <v>2</v>
      </c>
      <c r="M95" s="354"/>
      <c r="N95" s="399">
        <v>2</v>
      </c>
      <c r="O95" s="355">
        <f t="shared" si="23"/>
        <v>8</v>
      </c>
      <c r="P95" s="399">
        <v>12</v>
      </c>
      <c r="Q95" s="399">
        <v>10</v>
      </c>
      <c r="R95" s="355">
        <f t="shared" si="24"/>
        <v>22</v>
      </c>
      <c r="S95" s="354"/>
      <c r="T95" s="354"/>
      <c r="U95" s="354"/>
      <c r="V95" s="355">
        <f t="shared" si="25"/>
        <v>0</v>
      </c>
      <c r="W95" s="354"/>
      <c r="X95" s="477">
        <f t="shared" si="26"/>
        <v>30</v>
      </c>
      <c r="Y95" s="19" t="str">
        <f t="shared" si="27"/>
        <v xml:space="preserve">OK </v>
      </c>
      <c r="Z95" s="404" t="str">
        <f t="shared" si="28"/>
        <v>AJUSTE</v>
      </c>
      <c r="AA95" s="478">
        <f>ROUND((IF(D95=1,(BASE!$G$51*I95),IF(D95=2,(BASE!$G$52*I95),IF(D95=3,(BASE!$G$53*I95),IF(D95=4,(BASE!$G$54*I95),IF(D95=5,(BASE!$G$55*I95),IF(D95=6,(BASE!$G$56*I95),0)))))))/1000,0)*1000</f>
        <v>4104000</v>
      </c>
      <c r="AB95" s="408">
        <v>0</v>
      </c>
      <c r="AC95" s="478">
        <f t="shared" si="29"/>
        <v>4104000</v>
      </c>
      <c r="AD95" s="478">
        <f>IF(G95=3,AC95*BASE!$I$62,IF(G95=1,AC95*(BASE!$I$61),IF(G95=2,AC95*(BASE!$I$63),AC95*BASE!$I$64)))</f>
        <v>46648800</v>
      </c>
      <c r="AE95" s="411">
        <f>IF(I95&lt;10,0,IF(AC95&lt;=BASE!$C$3*2,BASE!$C$2,0)*(AD95/AC95))</f>
        <v>0</v>
      </c>
      <c r="AF95" s="13">
        <v>0</v>
      </c>
      <c r="AG95" s="14">
        <f t="shared" si="20"/>
        <v>2591600</v>
      </c>
      <c r="AH95" s="14">
        <f t="shared" si="30"/>
        <v>4103367</v>
      </c>
      <c r="AI95" s="14">
        <f t="shared" si="31"/>
        <v>4103366.6666666665</v>
      </c>
      <c r="AJ95" s="14">
        <f t="shared" si="21"/>
        <v>492403.99999999994</v>
      </c>
      <c r="AK95" s="14">
        <f>IF(I95=0,0,IF(G95=5,0,(AC95+AF95/12)*12*BASE!$C$5))</f>
        <v>4186080.0000000005</v>
      </c>
      <c r="AL95" s="14">
        <f>IF(I95=0,0,IF(G95=5,0,(AC95+AF95/12)*12*BASE!$C$7))</f>
        <v>5909760</v>
      </c>
      <c r="AM95" s="14">
        <f>IF(I95=0,0,IF(G95=5,0,(AC95+AF95/12)*12*BASE!$C$9))</f>
        <v>257074.56</v>
      </c>
      <c r="AN95" s="412">
        <f>IF(I95=0,0,IF(G95=5,0,(AD95+AF95+AG95)*BASE!$C$10))</f>
        <v>4431636</v>
      </c>
      <c r="AO95" s="837">
        <f t="shared" si="19"/>
        <v>72724088.226666659</v>
      </c>
      <c r="AP95" s="677">
        <f t="shared" si="32"/>
        <v>1.5589701820125417</v>
      </c>
      <c r="AQ95" s="1150" t="s">
        <v>1423</v>
      </c>
      <c r="AR95" s="1149"/>
      <c r="CG95" s="179">
        <v>0</v>
      </c>
      <c r="CH95" s="181">
        <v>1</v>
      </c>
      <c r="CI95" s="182" t="s">
        <v>168</v>
      </c>
    </row>
    <row r="96" spans="1:87" ht="13.5" customHeight="1" outlineLevel="1" x14ac:dyDescent="0.2">
      <c r="A96" s="368" t="s">
        <v>560</v>
      </c>
      <c r="B96" s="477" t="s">
        <v>1046</v>
      </c>
      <c r="C96" s="427"/>
      <c r="D96" s="431">
        <f>IF(E96="","",VLOOKUP(E96,BASE!$F$20:$H$25,2,FALSE))</f>
        <v>4</v>
      </c>
      <c r="E96" s="399" t="s">
        <v>539</v>
      </c>
      <c r="F96" s="436" t="s">
        <v>546</v>
      </c>
      <c r="G96" s="437">
        <f>IF(F96="","",VLOOKUP(F96,BASE!$B$15:$C$18,2,FALSE))</f>
        <v>3</v>
      </c>
      <c r="H96" s="355">
        <v>5</v>
      </c>
      <c r="I96" s="423">
        <f t="shared" si="22"/>
        <v>5</v>
      </c>
      <c r="J96" s="354">
        <v>2</v>
      </c>
      <c r="K96" s="354">
        <v>2</v>
      </c>
      <c r="L96" s="399">
        <v>1</v>
      </c>
      <c r="M96" s="354"/>
      <c r="N96" s="399"/>
      <c r="O96" s="355">
        <f t="shared" si="23"/>
        <v>5</v>
      </c>
      <c r="P96" s="399"/>
      <c r="Q96" s="354"/>
      <c r="R96" s="355">
        <f t="shared" si="24"/>
        <v>0</v>
      </c>
      <c r="S96" s="354"/>
      <c r="T96" s="354"/>
      <c r="U96" s="354"/>
      <c r="V96" s="355">
        <f t="shared" si="25"/>
        <v>0</v>
      </c>
      <c r="W96" s="354"/>
      <c r="X96" s="477">
        <f t="shared" si="26"/>
        <v>5</v>
      </c>
      <c r="Y96" s="19" t="str">
        <f t="shared" si="27"/>
        <v xml:space="preserve">OK </v>
      </c>
      <c r="Z96" s="404" t="str">
        <f t="shared" si="28"/>
        <v xml:space="preserve"> </v>
      </c>
      <c r="AA96" s="478">
        <f>ROUND((IF(D96=1,(BASE!$G$51*I96),IF(D96=2,(BASE!$G$52*I96),IF(D96=3,(BASE!$G$53*I96),IF(D96=4,(BASE!$G$54*I96),IF(D96=5,(BASE!$G$55*I96),IF(D96=6,(BASE!$G$56*I96),0)))))))/1000,0)*1000</f>
        <v>557000</v>
      </c>
      <c r="AB96" s="408">
        <v>0</v>
      </c>
      <c r="AC96" s="478">
        <f t="shared" si="29"/>
        <v>557000</v>
      </c>
      <c r="AD96" s="478">
        <f>IF(G96=3,AC96*BASE!$I$62,IF(G96=1,AC96*(BASE!$I$61),IF(G96=2,AC96*(BASE!$I$63),AC96*BASE!$I$64)))</f>
        <v>5959900</v>
      </c>
      <c r="AE96" s="411">
        <f>IF(I96&lt;10,0,IF(AC96&lt;=BASE!$C$3*2,BASE!$C$2,0)*(AD96/AC96))</f>
        <v>0</v>
      </c>
      <c r="AF96" s="13">
        <v>0</v>
      </c>
      <c r="AG96" s="14">
        <f t="shared" si="20"/>
        <v>331105.55555555556</v>
      </c>
      <c r="AH96" s="14">
        <f t="shared" si="30"/>
        <v>524250</v>
      </c>
      <c r="AI96" s="14">
        <f t="shared" si="31"/>
        <v>524250.46296296292</v>
      </c>
      <c r="AJ96" s="14">
        <f t="shared" si="21"/>
        <v>57667.55092592592</v>
      </c>
      <c r="AK96" s="14">
        <f>IF(I96=0,0,IF(G96=5,0,(AC96+AF96/12)*12*BASE!$C$5))</f>
        <v>568140</v>
      </c>
      <c r="AL96" s="14">
        <f>IF(I96=0,0,IF(G96=5,0,(AC96+AF96/12)*12*BASE!$C$7))</f>
        <v>802080</v>
      </c>
      <c r="AM96" s="14">
        <f>IF(I96=0,0,IF(G96=5,0,(AC96+AF96/12)*12*BASE!$C$9))</f>
        <v>34890.479999999996</v>
      </c>
      <c r="AN96" s="412">
        <f>IF(I96=0,0,IF(G96=5,0,(AD96+AF96+AG96)*BASE!$C$10))</f>
        <v>566190.5</v>
      </c>
      <c r="AO96" s="837">
        <f t="shared" si="19"/>
        <v>9368474.5494444445</v>
      </c>
      <c r="AP96" s="677">
        <f t="shared" si="32"/>
        <v>1.571918077391306</v>
      </c>
      <c r="AQ96" s="1148"/>
      <c r="AR96" s="1149"/>
      <c r="CG96" s="179">
        <v>0</v>
      </c>
      <c r="CH96" s="181">
        <v>1</v>
      </c>
      <c r="CI96" s="182" t="s">
        <v>168</v>
      </c>
    </row>
    <row r="97" spans="1:87" ht="13.5" customHeight="1" outlineLevel="1" x14ac:dyDescent="0.2">
      <c r="A97" s="368" t="s">
        <v>560</v>
      </c>
      <c r="B97" s="477" t="s">
        <v>1047</v>
      </c>
      <c r="C97" s="427"/>
      <c r="D97" s="431">
        <f>IF(E97="","",VLOOKUP(E97,BASE!$F$20:$H$25,2,FALSE))</f>
        <v>3</v>
      </c>
      <c r="E97" s="399" t="s">
        <v>540</v>
      </c>
      <c r="F97" s="436" t="s">
        <v>546</v>
      </c>
      <c r="G97" s="437">
        <f>IF(F97="","",VLOOKUP(F97,BASE!$B$15:$C$18,2,FALSE))</f>
        <v>3</v>
      </c>
      <c r="H97" s="355">
        <v>5</v>
      </c>
      <c r="I97" s="423">
        <f t="shared" si="22"/>
        <v>5</v>
      </c>
      <c r="J97" s="399">
        <v>3</v>
      </c>
      <c r="K97" s="354"/>
      <c r="L97" s="354"/>
      <c r="M97" s="354"/>
      <c r="N97" s="354"/>
      <c r="O97" s="355">
        <f t="shared" si="23"/>
        <v>3</v>
      </c>
      <c r="P97" s="354"/>
      <c r="Q97" s="354"/>
      <c r="R97" s="355">
        <f t="shared" si="24"/>
        <v>0</v>
      </c>
      <c r="S97" s="354">
        <v>2</v>
      </c>
      <c r="T97" s="354"/>
      <c r="U97" s="354"/>
      <c r="V97" s="355">
        <f t="shared" si="25"/>
        <v>2</v>
      </c>
      <c r="W97" s="354"/>
      <c r="X97" s="477">
        <f t="shared" si="26"/>
        <v>5</v>
      </c>
      <c r="Y97" s="19" t="str">
        <f t="shared" si="27"/>
        <v xml:space="preserve">OK </v>
      </c>
      <c r="Z97" s="404" t="str">
        <f t="shared" si="28"/>
        <v xml:space="preserve"> </v>
      </c>
      <c r="AA97" s="478">
        <f>ROUND((IF(D97=1,(BASE!$G$51*I97),IF(D97=2,(BASE!$G$52*I97),IF(D97=3,(BASE!$G$53*I97),IF(D97=4,(BASE!$G$54*I97),IF(D97=5,(BASE!$G$55*I97),IF(D97=6,(BASE!$G$56*I97),0)))))))/1000,0)*1000</f>
        <v>684000</v>
      </c>
      <c r="AB97" s="408">
        <v>0</v>
      </c>
      <c r="AC97" s="478">
        <f t="shared" si="29"/>
        <v>684000</v>
      </c>
      <c r="AD97" s="478">
        <f>IF(G97=3,AC97*BASE!$I$62,IF(G97=1,AC97*(BASE!$I$61),IF(G97=2,AC97*(BASE!$I$63),AC97*BASE!$I$64)))</f>
        <v>7318799.9999999991</v>
      </c>
      <c r="AE97" s="411">
        <f>IF(I97&lt;10,0,IF(AC97&lt;=BASE!$C$3*2,BASE!$C$2,0)*(AD97/AC97))</f>
        <v>0</v>
      </c>
      <c r="AF97" s="13">
        <v>0</v>
      </c>
      <c r="AG97" s="14">
        <f t="shared" si="20"/>
        <v>406599.99999999994</v>
      </c>
      <c r="AH97" s="14">
        <f t="shared" si="30"/>
        <v>643783</v>
      </c>
      <c r="AI97" s="14">
        <f t="shared" si="31"/>
        <v>643783.33333333326</v>
      </c>
      <c r="AJ97" s="14">
        <f t="shared" si="21"/>
        <v>70816.166666666657</v>
      </c>
      <c r="AK97" s="14">
        <f>IF(I97=0,0,IF(G97=5,0,(AC97+AF97/12)*12*BASE!$C$5))</f>
        <v>697680</v>
      </c>
      <c r="AL97" s="14">
        <f>IF(I97=0,0,IF(G97=5,0,(AC97+AF97/12)*12*BASE!$C$7))</f>
        <v>984960</v>
      </c>
      <c r="AM97" s="14">
        <f>IF(I97=0,0,IF(G97=5,0,(AC97+AF97/12)*12*BASE!$C$9))</f>
        <v>42845.760000000002</v>
      </c>
      <c r="AN97" s="412">
        <f>IF(I97=0,0,IF(G97=5,0,(AD97+AF97+AG97)*BASE!$C$10))</f>
        <v>695285.99999999988</v>
      </c>
      <c r="AO97" s="837">
        <f t="shared" si="19"/>
        <v>11504554.259999998</v>
      </c>
      <c r="AP97" s="677">
        <f t="shared" si="32"/>
        <v>1.5719181095261519</v>
      </c>
      <c r="AQ97" s="1148"/>
      <c r="AR97" s="1149"/>
      <c r="CG97" s="179">
        <v>0</v>
      </c>
      <c r="CH97" s="181">
        <v>1</v>
      </c>
      <c r="CI97" s="182" t="s">
        <v>168</v>
      </c>
    </row>
    <row r="98" spans="1:87" ht="13.5" customHeight="1" outlineLevel="1" x14ac:dyDescent="0.2">
      <c r="A98" s="368" t="s">
        <v>560</v>
      </c>
      <c r="B98" s="477" t="s">
        <v>1048</v>
      </c>
      <c r="C98" s="427"/>
      <c r="D98" s="431">
        <f>IF(E98="","",VLOOKUP(E98,BASE!$F$20:$H$25,2,FALSE))</f>
        <v>5</v>
      </c>
      <c r="E98" s="399" t="s">
        <v>538</v>
      </c>
      <c r="F98" s="436" t="s">
        <v>546</v>
      </c>
      <c r="G98" s="437">
        <f>IF(F98="","",VLOOKUP(F98,BASE!$B$15:$C$18,2,FALSE))</f>
        <v>3</v>
      </c>
      <c r="H98" s="355">
        <v>5</v>
      </c>
      <c r="I98" s="423">
        <f t="shared" si="22"/>
        <v>5</v>
      </c>
      <c r="J98" s="399">
        <v>3</v>
      </c>
      <c r="K98" s="354"/>
      <c r="L98" s="354"/>
      <c r="M98" s="354"/>
      <c r="N98" s="354"/>
      <c r="O98" s="355">
        <f t="shared" si="23"/>
        <v>3</v>
      </c>
      <c r="P98" s="354"/>
      <c r="Q98" s="354"/>
      <c r="R98" s="355">
        <f t="shared" si="24"/>
        <v>0</v>
      </c>
      <c r="S98" s="354">
        <v>2</v>
      </c>
      <c r="T98" s="354"/>
      <c r="U98" s="354"/>
      <c r="V98" s="355">
        <f t="shared" si="25"/>
        <v>2</v>
      </c>
      <c r="W98" s="354"/>
      <c r="X98" s="477">
        <f t="shared" si="26"/>
        <v>5</v>
      </c>
      <c r="Y98" s="19" t="str">
        <f t="shared" si="27"/>
        <v xml:space="preserve">OK </v>
      </c>
      <c r="Z98" s="404" t="str">
        <f t="shared" si="28"/>
        <v xml:space="preserve"> </v>
      </c>
      <c r="AA98" s="478">
        <f>ROUND((IF(D98=1,(BASE!$G$51*I98),IF(D98=2,(BASE!$G$52*I98),IF(D98=3,(BASE!$G$53*I98),IF(D98=4,(BASE!$G$54*I98),IF(D98=5,(BASE!$G$55*I98),IF(D98=6,(BASE!$G$56*I98),0)))))))/1000,0)*1000</f>
        <v>445000</v>
      </c>
      <c r="AB98" s="408">
        <v>0</v>
      </c>
      <c r="AC98" s="478">
        <f t="shared" si="29"/>
        <v>445000</v>
      </c>
      <c r="AD98" s="478">
        <f>IF(G98=3,AC98*BASE!$I$62,IF(G98=1,AC98*(BASE!$I$61),IF(G98=2,AC98*(BASE!$I$63),AC98*BASE!$I$64)))</f>
        <v>4761500</v>
      </c>
      <c r="AE98" s="411">
        <f>IF(I98&lt;10,0,IF(AC98&lt;=BASE!$C$3*2,BASE!$C$2,0)*(AD98/AC98))</f>
        <v>0</v>
      </c>
      <c r="AF98" s="13">
        <v>0</v>
      </c>
      <c r="AG98" s="14">
        <f t="shared" si="20"/>
        <v>264527.77777777781</v>
      </c>
      <c r="AH98" s="14">
        <f t="shared" si="30"/>
        <v>418836</v>
      </c>
      <c r="AI98" s="14">
        <f t="shared" si="31"/>
        <v>418835.64814814815</v>
      </c>
      <c r="AJ98" s="14">
        <f t="shared" si="21"/>
        <v>46071.921296296299</v>
      </c>
      <c r="AK98" s="14">
        <f>IF(I98=0,0,IF(G98=5,0,(AC98+AF98/12)*12*BASE!$C$5))</f>
        <v>453900.00000000006</v>
      </c>
      <c r="AL98" s="14">
        <f>IF(I98=0,0,IF(G98=5,0,(AC98+AF98/12)*12*BASE!$C$7))</f>
        <v>640800</v>
      </c>
      <c r="AM98" s="14">
        <f>IF(I98=0,0,IF(G98=5,0,(AC98+AF98/12)*12*BASE!$C$9))</f>
        <v>27874.799999999999</v>
      </c>
      <c r="AN98" s="412">
        <f>IF(I98=0,0,IF(G98=5,0,(AD98+AF98+AG98)*BASE!$C$10))</f>
        <v>452342.5</v>
      </c>
      <c r="AO98" s="837">
        <f t="shared" si="19"/>
        <v>7484688.6472222228</v>
      </c>
      <c r="AP98" s="677">
        <f t="shared" si="32"/>
        <v>1.5719182289661289</v>
      </c>
      <c r="AQ98" s="1148"/>
      <c r="AR98" s="1149"/>
      <c r="CG98" s="179">
        <v>0</v>
      </c>
      <c r="CH98" s="181">
        <v>1</v>
      </c>
      <c r="CI98" s="182" t="s">
        <v>168</v>
      </c>
    </row>
    <row r="99" spans="1:87" ht="13.5" customHeight="1" outlineLevel="1" x14ac:dyDescent="0.2">
      <c r="A99" s="368" t="s">
        <v>560</v>
      </c>
      <c r="B99" s="477" t="s">
        <v>1049</v>
      </c>
      <c r="C99" s="427"/>
      <c r="D99" s="431">
        <f>IF(E99="","",VLOOKUP(E99,BASE!$F$20:$H$25,2,FALSE))</f>
        <v>3</v>
      </c>
      <c r="E99" s="399" t="s">
        <v>540</v>
      </c>
      <c r="F99" s="436" t="s">
        <v>863</v>
      </c>
      <c r="G99" s="437">
        <f>IF(F99="","",VLOOKUP(F99,BASE!$B$15:$C$18,2,FALSE))</f>
        <v>4</v>
      </c>
      <c r="H99" s="355">
        <v>40</v>
      </c>
      <c r="I99" s="423">
        <f t="shared" si="22"/>
        <v>40</v>
      </c>
      <c r="J99" s="399">
        <v>20</v>
      </c>
      <c r="K99" s="399">
        <v>8</v>
      </c>
      <c r="L99" s="399">
        <v>5</v>
      </c>
      <c r="M99" s="399">
        <v>4</v>
      </c>
      <c r="N99" s="399">
        <v>3</v>
      </c>
      <c r="O99" s="355">
        <f t="shared" si="23"/>
        <v>40</v>
      </c>
      <c r="P99" s="354"/>
      <c r="Q99" s="354"/>
      <c r="R99" s="355">
        <f t="shared" si="24"/>
        <v>0</v>
      </c>
      <c r="S99" s="354"/>
      <c r="T99" s="354"/>
      <c r="U99" s="354"/>
      <c r="V99" s="355">
        <f t="shared" si="25"/>
        <v>0</v>
      </c>
      <c r="W99" s="354"/>
      <c r="X99" s="477">
        <f t="shared" si="26"/>
        <v>40</v>
      </c>
      <c r="Y99" s="19" t="str">
        <f t="shared" si="27"/>
        <v xml:space="preserve">OK </v>
      </c>
      <c r="Z99" s="404" t="str">
        <f t="shared" si="28"/>
        <v xml:space="preserve"> </v>
      </c>
      <c r="AA99" s="478">
        <f>ROUND((IF(D99=1,(BASE!$G$51*I99),IF(D99=2,(BASE!$G$52*I99),IF(D99=3,(BASE!$G$53*I99),IF(D99=4,(BASE!$G$54*I99),IF(D99=5,(BASE!$G$55*I99),IF(D99=6,(BASE!$G$56*I99),0)))))))/1000,0)*1000</f>
        <v>5472000</v>
      </c>
      <c r="AB99" s="408">
        <v>0</v>
      </c>
      <c r="AC99" s="478">
        <f t="shared" si="29"/>
        <v>5472000</v>
      </c>
      <c r="AD99" s="478">
        <f>IF(G99=3,AC99*BASE!$I$62,IF(G99=1,AC99*(BASE!$I$61),IF(G99=2,AC99*(BASE!$I$63),AC99*BASE!$I$64)))</f>
        <v>62198400</v>
      </c>
      <c r="AE99" s="411">
        <f>IF(I99&lt;10,0,IF(AC99&lt;=BASE!$C$3*2,BASE!$C$2,0)*(AD99/AC99))</f>
        <v>0</v>
      </c>
      <c r="AF99" s="13">
        <v>0</v>
      </c>
      <c r="AG99" s="14">
        <f t="shared" si="20"/>
        <v>3455466.6666666665</v>
      </c>
      <c r="AH99" s="14">
        <f t="shared" si="30"/>
        <v>5471156</v>
      </c>
      <c r="AI99" s="14">
        <f t="shared" si="31"/>
        <v>5471155.555555556</v>
      </c>
      <c r="AJ99" s="14">
        <f t="shared" si="21"/>
        <v>656538.66666666674</v>
      </c>
      <c r="AK99" s="14">
        <f>IF(I99=0,0,IF(G99=5,0,(AC99+AF99/12)*12*BASE!$C$5))</f>
        <v>5581440</v>
      </c>
      <c r="AL99" s="14">
        <f>IF(I99=0,0,IF(G99=5,0,(AC99+AF99/12)*12*BASE!$C$7))</f>
        <v>7879680</v>
      </c>
      <c r="AM99" s="14">
        <f>IF(I99=0,0,IF(G99=5,0,(AC99+AF99/12)*12*BASE!$C$9))</f>
        <v>342766.08000000002</v>
      </c>
      <c r="AN99" s="412">
        <f>IF(I99=0,0,IF(G99=5,0,(AD99+AF99+AG99)*BASE!$C$10))</f>
        <v>5908848</v>
      </c>
      <c r="AO99" s="837">
        <f t="shared" si="19"/>
        <v>96965450.968888879</v>
      </c>
      <c r="AP99" s="677">
        <f t="shared" si="32"/>
        <v>1.5589701820125417</v>
      </c>
      <c r="AQ99" s="1148"/>
      <c r="AR99" s="1149"/>
      <c r="CG99" s="179">
        <v>0</v>
      </c>
      <c r="CH99" s="181">
        <v>1</v>
      </c>
      <c r="CI99" s="182" t="s">
        <v>168</v>
      </c>
    </row>
    <row r="100" spans="1:87" ht="13.5" customHeight="1" outlineLevel="1" x14ac:dyDescent="0.2">
      <c r="A100" s="368" t="s">
        <v>560</v>
      </c>
      <c r="B100" s="477" t="s">
        <v>1050</v>
      </c>
      <c r="C100" s="427"/>
      <c r="D100" s="431">
        <f>IF(E100="","",VLOOKUP(E100,BASE!$F$20:$H$25,2,FALSE))</f>
        <v>5</v>
      </c>
      <c r="E100" s="399" t="s">
        <v>538</v>
      </c>
      <c r="F100" s="436" t="s">
        <v>546</v>
      </c>
      <c r="G100" s="437">
        <f>IF(F100="","",VLOOKUP(F100,BASE!$B$15:$C$18,2,FALSE))</f>
        <v>3</v>
      </c>
      <c r="H100" s="355">
        <v>10</v>
      </c>
      <c r="I100" s="423">
        <f t="shared" si="22"/>
        <v>10</v>
      </c>
      <c r="J100" s="399">
        <v>2</v>
      </c>
      <c r="K100" s="354">
        <v>1</v>
      </c>
      <c r="L100" s="399">
        <v>1</v>
      </c>
      <c r="M100" s="354"/>
      <c r="N100" s="354"/>
      <c r="O100" s="355">
        <f t="shared" si="23"/>
        <v>4</v>
      </c>
      <c r="P100" s="354"/>
      <c r="Q100" s="354"/>
      <c r="R100" s="355">
        <f t="shared" si="24"/>
        <v>0</v>
      </c>
      <c r="S100" s="354">
        <v>6</v>
      </c>
      <c r="T100" s="354"/>
      <c r="U100" s="354"/>
      <c r="V100" s="355">
        <f t="shared" si="25"/>
        <v>6</v>
      </c>
      <c r="W100" s="354"/>
      <c r="X100" s="477">
        <f t="shared" si="26"/>
        <v>10</v>
      </c>
      <c r="Y100" s="19" t="str">
        <f t="shared" si="27"/>
        <v xml:space="preserve">OK </v>
      </c>
      <c r="Z100" s="404" t="str">
        <f t="shared" si="28"/>
        <v xml:space="preserve"> </v>
      </c>
      <c r="AA100" s="478">
        <f>ROUND((IF(D100=1,(BASE!$G$51*I100),IF(D100=2,(BASE!$G$52*I100),IF(D100=3,(BASE!$G$53*I100),IF(D100=4,(BASE!$G$54*I100),IF(D100=5,(BASE!$G$55*I100),IF(D100=6,(BASE!$G$56*I100),0)))))))/1000,0)*1000</f>
        <v>890000</v>
      </c>
      <c r="AB100" s="408">
        <v>0</v>
      </c>
      <c r="AC100" s="478">
        <f t="shared" si="29"/>
        <v>890000</v>
      </c>
      <c r="AD100" s="478">
        <f>IF(G100=3,AC100*BASE!$I$62,IF(G100=1,AC100*(BASE!$I$61),IF(G100=2,AC100*(BASE!$I$63),AC100*BASE!$I$64)))</f>
        <v>9523000</v>
      </c>
      <c r="AE100" s="411">
        <f>IF(I100&lt;10,0,IF(AC100&lt;=BASE!$C$3*2,BASE!$C$2,0)*(AD100/AC100))</f>
        <v>943857.7</v>
      </c>
      <c r="AF100" s="13">
        <v>0</v>
      </c>
      <c r="AG100" s="14">
        <f t="shared" si="20"/>
        <v>529055.55555555562</v>
      </c>
      <c r="AH100" s="14">
        <f t="shared" si="30"/>
        <v>916326</v>
      </c>
      <c r="AI100" s="14">
        <f t="shared" si="31"/>
        <v>916326.10462962964</v>
      </c>
      <c r="AJ100" s="14">
        <f t="shared" si="21"/>
        <v>100795.87150925926</v>
      </c>
      <c r="AK100" s="14">
        <f>IF(I100=0,0,IF(G100=5,0,(AC100+AF100/12)*12*BASE!$C$5))</f>
        <v>907800.00000000012</v>
      </c>
      <c r="AL100" s="14">
        <f>IF(I100=0,0,IF(G100=5,0,(AC100+AF100/12)*12*BASE!$C$7))</f>
        <v>1281600</v>
      </c>
      <c r="AM100" s="14">
        <f>IF(I100=0,0,IF(G100=5,0,(AC100+AF100/12)*12*BASE!$C$9))</f>
        <v>55749.599999999999</v>
      </c>
      <c r="AN100" s="412">
        <f>IF(I100=0,0,IF(G100=5,0,(AD100+AF100+AG100)*BASE!$C$10))</f>
        <v>904685</v>
      </c>
      <c r="AO100" s="837">
        <f t="shared" si="19"/>
        <v>16079195.831694445</v>
      </c>
      <c r="AP100" s="677">
        <f t="shared" si="32"/>
        <v>1.6884590813498315</v>
      </c>
      <c r="AQ100" s="1148"/>
      <c r="AR100" s="1149"/>
      <c r="CG100" s="179">
        <v>0</v>
      </c>
      <c r="CH100" s="181">
        <v>1</v>
      </c>
      <c r="CI100" s="182" t="s">
        <v>168</v>
      </c>
    </row>
    <row r="101" spans="1:87" ht="13.5" customHeight="1" outlineLevel="1" x14ac:dyDescent="0.2">
      <c r="A101" s="368" t="s">
        <v>560</v>
      </c>
      <c r="B101" s="477" t="s">
        <v>1051</v>
      </c>
      <c r="C101" s="427"/>
      <c r="D101" s="431">
        <f>IF(E101="","",VLOOKUP(E101,BASE!$F$20:$H$25,2,FALSE))</f>
        <v>5</v>
      </c>
      <c r="E101" s="399" t="s">
        <v>538</v>
      </c>
      <c r="F101" s="436" t="s">
        <v>546</v>
      </c>
      <c r="G101" s="437">
        <f>IF(F101="","",VLOOKUP(F101,BASE!$B$15:$C$18,2,FALSE))</f>
        <v>3</v>
      </c>
      <c r="H101" s="355">
        <v>4</v>
      </c>
      <c r="I101" s="423">
        <f t="shared" si="22"/>
        <v>4</v>
      </c>
      <c r="J101" s="399">
        <v>1</v>
      </c>
      <c r="K101" s="354">
        <v>1</v>
      </c>
      <c r="L101" s="399">
        <v>1</v>
      </c>
      <c r="M101" s="354"/>
      <c r="N101" s="354"/>
      <c r="O101" s="355">
        <f t="shared" si="23"/>
        <v>3</v>
      </c>
      <c r="P101" s="354"/>
      <c r="Q101" s="354"/>
      <c r="R101" s="355">
        <f t="shared" si="24"/>
        <v>0</v>
      </c>
      <c r="S101" s="399">
        <v>1</v>
      </c>
      <c r="T101" s="354"/>
      <c r="U101" s="354"/>
      <c r="V101" s="355">
        <f t="shared" si="25"/>
        <v>1</v>
      </c>
      <c r="W101" s="354"/>
      <c r="X101" s="477">
        <f t="shared" si="26"/>
        <v>4</v>
      </c>
      <c r="Y101" s="19" t="str">
        <f t="shared" si="27"/>
        <v xml:space="preserve">OK </v>
      </c>
      <c r="Z101" s="404" t="str">
        <f t="shared" si="28"/>
        <v xml:space="preserve"> </v>
      </c>
      <c r="AA101" s="478">
        <f>ROUND((IF(D101=1,(BASE!$G$51*I101),IF(D101=2,(BASE!$G$52*I101),IF(D101=3,(BASE!$G$53*I101),IF(D101=4,(BASE!$G$54*I101),IF(D101=5,(BASE!$G$55*I101),IF(D101=6,(BASE!$G$56*I101),0)))))))/1000,0)*1000</f>
        <v>356000</v>
      </c>
      <c r="AB101" s="408">
        <v>0</v>
      </c>
      <c r="AC101" s="478">
        <f t="shared" si="29"/>
        <v>356000</v>
      </c>
      <c r="AD101" s="478">
        <f>IF(G101=3,AC101*BASE!$I$62,IF(G101=1,AC101*(BASE!$I$61),IF(G101=2,AC101*(BASE!$I$63),AC101*BASE!$I$64)))</f>
        <v>3809199.9999999995</v>
      </c>
      <c r="AE101" s="411">
        <f>IF(I101&lt;10,0,IF(AC101&lt;=BASE!$C$3*2,BASE!$C$2,0)*(AD101/AC101))</f>
        <v>0</v>
      </c>
      <c r="AF101" s="13">
        <v>0</v>
      </c>
      <c r="AG101" s="14">
        <f t="shared" si="20"/>
        <v>211622.22222222222</v>
      </c>
      <c r="AH101" s="14">
        <f t="shared" si="30"/>
        <v>335069</v>
      </c>
      <c r="AI101" s="14">
        <f t="shared" si="31"/>
        <v>335068.51851851848</v>
      </c>
      <c r="AJ101" s="14">
        <f t="shared" si="21"/>
        <v>36857.537037037036</v>
      </c>
      <c r="AK101" s="14">
        <f>IF(I101=0,0,IF(G101=5,0,(AC101+AF101/12)*12*BASE!$C$5))</f>
        <v>363120</v>
      </c>
      <c r="AL101" s="14">
        <f>IF(I101=0,0,IF(G101=5,0,(AC101+AF101/12)*12*BASE!$C$7))</f>
        <v>512640</v>
      </c>
      <c r="AM101" s="14">
        <f>IF(I101=0,0,IF(G101=5,0,(AC101+AF101/12)*12*BASE!$C$9))</f>
        <v>22299.84</v>
      </c>
      <c r="AN101" s="412">
        <f>IF(I101=0,0,IF(G101=5,0,(AD101+AF101+AG101)*BASE!$C$10))</f>
        <v>361873.99999999994</v>
      </c>
      <c r="AO101" s="837">
        <f t="shared" si="19"/>
        <v>5987751.1177777778</v>
      </c>
      <c r="AP101" s="677">
        <f t="shared" si="32"/>
        <v>1.5719182814705919</v>
      </c>
      <c r="AQ101" s="1148"/>
      <c r="AR101" s="1149"/>
      <c r="CG101" s="179">
        <v>0</v>
      </c>
      <c r="CH101" s="181">
        <v>1</v>
      </c>
      <c r="CI101" s="182" t="s">
        <v>168</v>
      </c>
    </row>
    <row r="102" spans="1:87" ht="13.5" customHeight="1" outlineLevel="1" x14ac:dyDescent="0.2">
      <c r="A102" s="368" t="s">
        <v>560</v>
      </c>
      <c r="B102" s="477" t="s">
        <v>1052</v>
      </c>
      <c r="C102" s="427"/>
      <c r="D102" s="431">
        <f>IF(E102="","",VLOOKUP(E102,BASE!$F$20:$H$25,2,FALSE))</f>
        <v>5</v>
      </c>
      <c r="E102" s="399" t="s">
        <v>538</v>
      </c>
      <c r="F102" s="436" t="s">
        <v>546</v>
      </c>
      <c r="G102" s="437">
        <f>IF(F102="","",VLOOKUP(F102,BASE!$B$15:$C$18,2,FALSE))</f>
        <v>3</v>
      </c>
      <c r="H102" s="355">
        <v>40</v>
      </c>
      <c r="I102" s="423">
        <f t="shared" si="22"/>
        <v>40</v>
      </c>
      <c r="J102" s="399">
        <v>20</v>
      </c>
      <c r="K102" s="354">
        <v>8</v>
      </c>
      <c r="L102" s="399">
        <v>5</v>
      </c>
      <c r="M102" s="399">
        <v>4</v>
      </c>
      <c r="N102" s="399">
        <v>3</v>
      </c>
      <c r="O102" s="355">
        <f t="shared" si="23"/>
        <v>40</v>
      </c>
      <c r="P102" s="354"/>
      <c r="Q102" s="354"/>
      <c r="R102" s="355">
        <f t="shared" si="24"/>
        <v>0</v>
      </c>
      <c r="S102" s="354"/>
      <c r="T102" s="354"/>
      <c r="U102" s="354"/>
      <c r="V102" s="355">
        <f t="shared" si="25"/>
        <v>0</v>
      </c>
      <c r="W102" s="354"/>
      <c r="X102" s="477">
        <f t="shared" si="26"/>
        <v>40</v>
      </c>
      <c r="Y102" s="19" t="str">
        <f t="shared" si="27"/>
        <v xml:space="preserve">OK </v>
      </c>
      <c r="Z102" s="404" t="str">
        <f t="shared" si="28"/>
        <v xml:space="preserve"> </v>
      </c>
      <c r="AA102" s="478">
        <f>ROUND((IF(D102=1,(BASE!$G$51*I102),IF(D102=2,(BASE!$G$52*I102),IF(D102=3,(BASE!$G$53*I102),IF(D102=4,(BASE!$G$54*I102),IF(D102=5,(BASE!$G$55*I102),IF(D102=6,(BASE!$G$56*I102),0)))))))/1000,0)*1000</f>
        <v>3560000</v>
      </c>
      <c r="AB102" s="408">
        <v>0</v>
      </c>
      <c r="AC102" s="478">
        <f t="shared" si="29"/>
        <v>3560000</v>
      </c>
      <c r="AD102" s="478">
        <f>IF(G102=3,AC102*BASE!$I$62,IF(G102=1,AC102*(BASE!$I$61),IF(G102=2,AC102*(BASE!$I$63),AC102*BASE!$I$64)))</f>
        <v>38092000</v>
      </c>
      <c r="AE102" s="411">
        <f>IF(I102&lt;10,0,IF(AC102&lt;=BASE!$C$3*2,BASE!$C$2,0)*(AD102/AC102))</f>
        <v>0</v>
      </c>
      <c r="AF102" s="13">
        <v>0</v>
      </c>
      <c r="AG102" s="14">
        <f t="shared" si="20"/>
        <v>2116222.2222222225</v>
      </c>
      <c r="AH102" s="14">
        <f t="shared" si="30"/>
        <v>3350685</v>
      </c>
      <c r="AI102" s="14">
        <f t="shared" si="31"/>
        <v>3350685.1851851852</v>
      </c>
      <c r="AJ102" s="14">
        <f t="shared" si="21"/>
        <v>368575.37037037039</v>
      </c>
      <c r="AK102" s="14">
        <f>IF(I102=0,0,IF(G102=5,0,(AC102+AF102/12)*12*BASE!$C$5))</f>
        <v>3631200.0000000005</v>
      </c>
      <c r="AL102" s="14">
        <f>IF(I102=0,0,IF(G102=5,0,(AC102+AF102/12)*12*BASE!$C$7))</f>
        <v>5126400</v>
      </c>
      <c r="AM102" s="14">
        <f>IF(I102=0,0,IF(G102=5,0,(AC102+AF102/12)*12*BASE!$C$9))</f>
        <v>222998.39999999999</v>
      </c>
      <c r="AN102" s="412">
        <f>IF(I102=0,0,IF(G102=5,0,(AD102+AF102+AG102)*BASE!$C$10))</f>
        <v>3618740</v>
      </c>
      <c r="AO102" s="837">
        <f t="shared" si="19"/>
        <v>59877506.177777782</v>
      </c>
      <c r="AP102" s="677">
        <f t="shared" si="32"/>
        <v>1.5719181502094346</v>
      </c>
      <c r="AQ102" s="1148"/>
      <c r="AR102" s="1149"/>
      <c r="CG102" s="179">
        <v>0</v>
      </c>
      <c r="CH102" s="181">
        <v>1</v>
      </c>
      <c r="CI102" s="182" t="s">
        <v>168</v>
      </c>
    </row>
    <row r="103" spans="1:87" ht="13.5" customHeight="1" outlineLevel="1" x14ac:dyDescent="0.2">
      <c r="A103" s="368" t="s">
        <v>560</v>
      </c>
      <c r="B103" s="477" t="s">
        <v>1053</v>
      </c>
      <c r="C103" s="427"/>
      <c r="D103" s="431">
        <f>IF(E103="","",VLOOKUP(E103,BASE!$F$20:$H$25,2,FALSE))</f>
        <v>5</v>
      </c>
      <c r="E103" s="399" t="s">
        <v>538</v>
      </c>
      <c r="F103" s="436" t="s">
        <v>546</v>
      </c>
      <c r="G103" s="437">
        <f>IF(F103="","",VLOOKUP(F103,BASE!$B$15:$C$18,2,FALSE))</f>
        <v>3</v>
      </c>
      <c r="H103" s="355">
        <v>40</v>
      </c>
      <c r="I103" s="423">
        <f t="shared" si="22"/>
        <v>40</v>
      </c>
      <c r="J103" s="399">
        <v>20</v>
      </c>
      <c r="K103" s="399">
        <v>8</v>
      </c>
      <c r="L103" s="399">
        <v>5</v>
      </c>
      <c r="M103" s="399">
        <v>4</v>
      </c>
      <c r="N103" s="399">
        <v>3</v>
      </c>
      <c r="O103" s="355">
        <f t="shared" si="23"/>
        <v>40</v>
      </c>
      <c r="P103" s="354"/>
      <c r="Q103" s="354"/>
      <c r="R103" s="355">
        <f t="shared" si="24"/>
        <v>0</v>
      </c>
      <c r="S103" s="354"/>
      <c r="T103" s="354"/>
      <c r="U103" s="354"/>
      <c r="V103" s="355">
        <f t="shared" si="25"/>
        <v>0</v>
      </c>
      <c r="W103" s="354"/>
      <c r="X103" s="477">
        <f t="shared" si="26"/>
        <v>40</v>
      </c>
      <c r="Y103" s="19" t="str">
        <f t="shared" si="27"/>
        <v xml:space="preserve">OK </v>
      </c>
      <c r="Z103" s="404" t="str">
        <f t="shared" si="28"/>
        <v xml:space="preserve"> </v>
      </c>
      <c r="AA103" s="478">
        <f>ROUND((IF(D103=1,(BASE!$G$51*I103),IF(D103=2,(BASE!$G$52*I103),IF(D103=3,(BASE!$G$53*I103),IF(D103=4,(BASE!$G$54*I103),IF(D103=5,(BASE!$G$55*I103),IF(D103=6,(BASE!$G$56*I103),0)))))))/1000,0)*1000</f>
        <v>3560000</v>
      </c>
      <c r="AB103" s="408">
        <v>0</v>
      </c>
      <c r="AC103" s="478">
        <f t="shared" si="29"/>
        <v>3560000</v>
      </c>
      <c r="AD103" s="478">
        <f>IF(G103=3,AC103*BASE!$I$62,IF(G103=1,AC103*(BASE!$I$61),IF(G103=2,AC103*(BASE!$I$63),AC103*BASE!$I$64)))</f>
        <v>38092000</v>
      </c>
      <c r="AE103" s="411">
        <f>IF(I103&lt;10,0,IF(AC103&lt;=BASE!$C$3*2,BASE!$C$2,0)*(AD103/AC103))</f>
        <v>0</v>
      </c>
      <c r="AF103" s="13">
        <v>0</v>
      </c>
      <c r="AG103" s="14">
        <f t="shared" si="20"/>
        <v>2116222.2222222225</v>
      </c>
      <c r="AH103" s="14">
        <f t="shared" si="30"/>
        <v>3350685</v>
      </c>
      <c r="AI103" s="14">
        <f t="shared" si="31"/>
        <v>3350685.1851851852</v>
      </c>
      <c r="AJ103" s="14">
        <f t="shared" si="21"/>
        <v>368575.37037037039</v>
      </c>
      <c r="AK103" s="14">
        <f>IF(I103=0,0,IF(G103=5,0,(AC103+AF103/12)*12*BASE!$C$5))</f>
        <v>3631200.0000000005</v>
      </c>
      <c r="AL103" s="14">
        <f>IF(I103=0,0,IF(G103=5,0,(AC103+AF103/12)*12*BASE!$C$7))</f>
        <v>5126400</v>
      </c>
      <c r="AM103" s="14">
        <f>IF(I103=0,0,IF(G103=5,0,(AC103+AF103/12)*12*BASE!$C$9))</f>
        <v>222998.39999999999</v>
      </c>
      <c r="AN103" s="412">
        <f>IF(I103=0,0,IF(G103=5,0,(AD103+AF103+AG103)*BASE!$C$10))</f>
        <v>3618740</v>
      </c>
      <c r="AO103" s="837">
        <f t="shared" si="19"/>
        <v>59877506.177777782</v>
      </c>
      <c r="AP103" s="677">
        <f t="shared" si="32"/>
        <v>1.5719181502094346</v>
      </c>
      <c r="AQ103" s="1148"/>
      <c r="AR103" s="1149"/>
      <c r="CG103" s="179">
        <v>0</v>
      </c>
      <c r="CH103" s="181">
        <v>1</v>
      </c>
      <c r="CI103" s="182" t="s">
        <v>168</v>
      </c>
    </row>
    <row r="104" spans="1:87" ht="13.5" customHeight="1" outlineLevel="1" x14ac:dyDescent="0.2">
      <c r="A104" s="368" t="s">
        <v>560</v>
      </c>
      <c r="B104" s="477" t="s">
        <v>1054</v>
      </c>
      <c r="C104" s="427"/>
      <c r="D104" s="431">
        <f>IF(E104="","",VLOOKUP(E104,BASE!$F$20:$H$25,2,FALSE))</f>
        <v>6</v>
      </c>
      <c r="E104" s="399" t="s">
        <v>537</v>
      </c>
      <c r="F104" s="436" t="s">
        <v>546</v>
      </c>
      <c r="G104" s="437">
        <f>IF(F104="","",VLOOKUP(F104,BASE!$B$15:$C$18,2,FALSE))</f>
        <v>3</v>
      </c>
      <c r="H104" s="355">
        <v>35</v>
      </c>
      <c r="I104" s="423">
        <f t="shared" si="22"/>
        <v>35</v>
      </c>
      <c r="J104" s="399">
        <v>15</v>
      </c>
      <c r="K104" s="399">
        <v>8</v>
      </c>
      <c r="L104" s="399">
        <v>5</v>
      </c>
      <c r="M104" s="399">
        <v>4</v>
      </c>
      <c r="N104" s="399">
        <v>3</v>
      </c>
      <c r="O104" s="355">
        <f t="shared" si="23"/>
        <v>35</v>
      </c>
      <c r="P104" s="354"/>
      <c r="Q104" s="354"/>
      <c r="R104" s="355">
        <f t="shared" si="24"/>
        <v>0</v>
      </c>
      <c r="S104" s="354"/>
      <c r="T104" s="354"/>
      <c r="U104" s="354"/>
      <c r="V104" s="355">
        <f t="shared" si="25"/>
        <v>0</v>
      </c>
      <c r="W104" s="354"/>
      <c r="X104" s="477">
        <f t="shared" si="26"/>
        <v>35</v>
      </c>
      <c r="Y104" s="19" t="str">
        <f t="shared" si="27"/>
        <v xml:space="preserve">OK </v>
      </c>
      <c r="Z104" s="404" t="str">
        <f t="shared" si="28"/>
        <v xml:space="preserve"> </v>
      </c>
      <c r="AA104" s="478">
        <f>ROUND((IF(D104=1,(BASE!$G$51*I104),IF(D104=2,(BASE!$G$52*I104),IF(D104=3,(BASE!$G$53*I104),IF(D104=4,(BASE!$G$54*I104),IF(D104=5,(BASE!$G$55*I104),IF(D104=6,(BASE!$G$56*I104),0)))))))/1000,0)*1000</f>
        <v>2450000</v>
      </c>
      <c r="AB104" s="408">
        <v>1066000</v>
      </c>
      <c r="AC104" s="478">
        <f t="shared" si="29"/>
        <v>3516000</v>
      </c>
      <c r="AD104" s="478">
        <f>IF(G104=3,AC104*BASE!$I$62,IF(G104=1,AC104*(BASE!$I$61),IF(G104=2,AC104*(BASE!$I$63),AC104*BASE!$I$64)))</f>
        <v>37621200</v>
      </c>
      <c r="AE104" s="411">
        <f>IF(I104&lt;10,0,IF(AC104&lt;=BASE!$C$3*2,BASE!$C$2,0)*(AD104/AC104))</f>
        <v>0</v>
      </c>
      <c r="AF104" s="13">
        <v>0</v>
      </c>
      <c r="AG104" s="14">
        <f t="shared" si="20"/>
        <v>2090066.6666666667</v>
      </c>
      <c r="AH104" s="14">
        <f t="shared" si="30"/>
        <v>3309272</v>
      </c>
      <c r="AI104" s="14">
        <f t="shared" si="31"/>
        <v>3309272.222222222</v>
      </c>
      <c r="AJ104" s="14">
        <f t="shared" si="21"/>
        <v>364019.94444444444</v>
      </c>
      <c r="AK104" s="14">
        <f>IF(I104=0,0,IF(G104=5,0,(AC104+AF104/12)*12*BASE!$C$5))</f>
        <v>3586320.0000000005</v>
      </c>
      <c r="AL104" s="14">
        <f>IF(I104=0,0,IF(G104=5,0,(AC104+AF104/12)*12*BASE!$C$7))</f>
        <v>5063040</v>
      </c>
      <c r="AM104" s="14">
        <f>IF(I104=0,0,IF(G104=5,0,(AC104+AF104/12)*12*BASE!$C$9))</f>
        <v>220242.24</v>
      </c>
      <c r="AN104" s="412">
        <f>IF(I104=0,0,IF(G104=5,0,(AD104+AF104+AG104)*BASE!$C$10))</f>
        <v>3574013.9999999995</v>
      </c>
      <c r="AO104" s="837">
        <f t="shared" si="19"/>
        <v>59137447.073333338</v>
      </c>
      <c r="AP104" s="677">
        <f t="shared" si="32"/>
        <v>1.5719181491641239</v>
      </c>
      <c r="AQ104" s="1148"/>
      <c r="AR104" s="1149"/>
      <c r="CG104" s="179">
        <v>0</v>
      </c>
      <c r="CH104" s="181">
        <v>1</v>
      </c>
      <c r="CI104" s="182" t="s">
        <v>168</v>
      </c>
    </row>
    <row r="105" spans="1:87" ht="13.5" customHeight="1" outlineLevel="1" x14ac:dyDescent="0.2">
      <c r="A105" s="368" t="s">
        <v>560</v>
      </c>
      <c r="B105" s="477" t="s">
        <v>1055</v>
      </c>
      <c r="C105" s="427"/>
      <c r="D105" s="431">
        <f>IF(E105="","",VLOOKUP(E105,BASE!$F$20:$H$25,2,FALSE))</f>
        <v>2</v>
      </c>
      <c r="E105" s="399" t="s">
        <v>541</v>
      </c>
      <c r="F105" s="436" t="s">
        <v>546</v>
      </c>
      <c r="G105" s="437">
        <f>IF(F105="","",VLOOKUP(F105,BASE!$B$15:$C$18,2,FALSE))</f>
        <v>3</v>
      </c>
      <c r="H105" s="355">
        <v>6</v>
      </c>
      <c r="I105" s="423">
        <f t="shared" si="22"/>
        <v>6</v>
      </c>
      <c r="J105" s="399">
        <v>4</v>
      </c>
      <c r="K105" s="354"/>
      <c r="L105" s="354"/>
      <c r="M105" s="354"/>
      <c r="N105" s="354"/>
      <c r="O105" s="355">
        <f t="shared" si="23"/>
        <v>4</v>
      </c>
      <c r="P105" s="354"/>
      <c r="Q105" s="354"/>
      <c r="R105" s="355">
        <f t="shared" si="24"/>
        <v>0</v>
      </c>
      <c r="S105" s="354">
        <v>2</v>
      </c>
      <c r="T105" s="354"/>
      <c r="U105" s="354"/>
      <c r="V105" s="355">
        <f t="shared" si="25"/>
        <v>2</v>
      </c>
      <c r="W105" s="354"/>
      <c r="X105" s="477">
        <f t="shared" si="26"/>
        <v>6</v>
      </c>
      <c r="Y105" s="19" t="str">
        <f t="shared" si="27"/>
        <v xml:space="preserve">OK </v>
      </c>
      <c r="Z105" s="404" t="str">
        <f t="shared" si="28"/>
        <v xml:space="preserve"> </v>
      </c>
      <c r="AA105" s="478">
        <f>ROUND((IF(D105=1,(BASE!$G$51*I105),IF(D105=2,(BASE!$G$52*I105),IF(D105=3,(BASE!$G$53*I105),IF(D105=4,(BASE!$G$54*I105),IF(D105=5,(BASE!$G$55*I105),IF(D105=6,(BASE!$G$56*I105),0)))))))/1000,0)*1000</f>
        <v>1202000</v>
      </c>
      <c r="AB105" s="408">
        <v>0</v>
      </c>
      <c r="AC105" s="478">
        <f t="shared" si="29"/>
        <v>1202000</v>
      </c>
      <c r="AD105" s="478">
        <f>IF(G105=3,AC105*BASE!$I$62,IF(G105=1,AC105*(BASE!$I$61),IF(G105=2,AC105*(BASE!$I$63),AC105*BASE!$I$64)))</f>
        <v>12861400</v>
      </c>
      <c r="AE105" s="411">
        <f>IF(I105&lt;10,0,IF(AC105&lt;=BASE!$C$3*2,BASE!$C$2,0)*(AD105/AC105))</f>
        <v>0</v>
      </c>
      <c r="AF105" s="13">
        <v>0</v>
      </c>
      <c r="AG105" s="14">
        <f t="shared" si="20"/>
        <v>714522.22222222213</v>
      </c>
      <c r="AH105" s="14">
        <f t="shared" si="30"/>
        <v>1131327</v>
      </c>
      <c r="AI105" s="14">
        <f t="shared" si="31"/>
        <v>1131326.8518518517</v>
      </c>
      <c r="AJ105" s="14">
        <f t="shared" si="21"/>
        <v>124445.95370370368</v>
      </c>
      <c r="AK105" s="14">
        <f>IF(I105=0,0,IF(G105=5,0,(AC105+AF105/12)*12*BASE!$C$5))</f>
        <v>1226040</v>
      </c>
      <c r="AL105" s="14">
        <v>0</v>
      </c>
      <c r="AM105" s="14">
        <f>IF(I105=0,0,IF(G105=5,0,(AC105+AF105/12)*12*BASE!$C$9))</f>
        <v>75293.279999999999</v>
      </c>
      <c r="AN105" s="412">
        <f>IF(I105=0,0,IF(G105=5,0,(AD105+AF105+AG105)*BASE!$C$10))</f>
        <v>1221833</v>
      </c>
      <c r="AO105" s="837">
        <f t="shared" si="19"/>
        <v>18486188.307777777</v>
      </c>
      <c r="AP105" s="677">
        <f t="shared" si="32"/>
        <v>1.4373387273374421</v>
      </c>
      <c r="AQ105" s="1148"/>
      <c r="AR105" s="1149"/>
      <c r="CG105" s="179">
        <v>0</v>
      </c>
      <c r="CH105" s="181">
        <v>1</v>
      </c>
      <c r="CI105" s="182" t="s">
        <v>168</v>
      </c>
    </row>
    <row r="106" spans="1:87" ht="13.5" customHeight="1" outlineLevel="1" x14ac:dyDescent="0.2">
      <c r="A106" s="368" t="s">
        <v>560</v>
      </c>
      <c r="B106" s="477" t="s">
        <v>1056</v>
      </c>
      <c r="C106" s="427"/>
      <c r="D106" s="431">
        <f>IF(E106="","",VLOOKUP(E106,BASE!$F$20:$H$25,2,FALSE))</f>
        <v>3</v>
      </c>
      <c r="E106" s="399" t="s">
        <v>540</v>
      </c>
      <c r="F106" s="436" t="s">
        <v>258</v>
      </c>
      <c r="G106" s="437">
        <f>IF(F106="","",VLOOKUP(F106,BASE!$B$15:$C$18,2,FALSE))</f>
        <v>2</v>
      </c>
      <c r="H106" s="355">
        <v>40</v>
      </c>
      <c r="I106" s="423">
        <f t="shared" si="22"/>
        <v>40</v>
      </c>
      <c r="J106" s="399">
        <v>20</v>
      </c>
      <c r="K106" s="399">
        <v>10</v>
      </c>
      <c r="L106" s="399">
        <v>6</v>
      </c>
      <c r="M106" s="399">
        <v>2</v>
      </c>
      <c r="N106" s="399">
        <v>2</v>
      </c>
      <c r="O106" s="355">
        <f t="shared" si="23"/>
        <v>40</v>
      </c>
      <c r="P106" s="354"/>
      <c r="Q106" s="354"/>
      <c r="R106" s="355">
        <f t="shared" si="24"/>
        <v>0</v>
      </c>
      <c r="S106" s="354"/>
      <c r="T106" s="354"/>
      <c r="U106" s="354"/>
      <c r="V106" s="355">
        <f t="shared" si="25"/>
        <v>0</v>
      </c>
      <c r="W106" s="354"/>
      <c r="X106" s="477">
        <f t="shared" si="26"/>
        <v>40</v>
      </c>
      <c r="Y106" s="19" t="str">
        <f t="shared" si="27"/>
        <v xml:space="preserve">OK </v>
      </c>
      <c r="Z106" s="404" t="str">
        <f t="shared" si="28"/>
        <v xml:space="preserve"> </v>
      </c>
      <c r="AA106" s="478">
        <f>ROUND((IF(D106=1,(BASE!$G$51*I106),IF(D106=2,(BASE!$G$52*I106),IF(D106=3,(BASE!$G$53*I106),IF(D106=4,(BASE!$G$54*I106),IF(D106=5,(BASE!$G$55*I106),IF(D106=6,(BASE!$G$56*I106),0)))))))/1000,0)*1000</f>
        <v>5472000</v>
      </c>
      <c r="AB106" s="408">
        <v>0</v>
      </c>
      <c r="AC106" s="478">
        <f t="shared" si="29"/>
        <v>5472000</v>
      </c>
      <c r="AD106" s="478">
        <f>IF(G106=3,AC106*BASE!$I$62,IF(G106=1,AC106*(BASE!$I$61),IF(G106=2,AC106*(BASE!$I$63),AC106*BASE!$I$64)))</f>
        <v>62198400</v>
      </c>
      <c r="AE106" s="411">
        <f>IF(I106&lt;10,0,IF(AC106&lt;=BASE!$C$3*2,BASE!$C$2,0)*(AD106/AC106))</f>
        <v>0</v>
      </c>
      <c r="AF106" s="13">
        <v>0</v>
      </c>
      <c r="AG106" s="14">
        <f t="shared" si="20"/>
        <v>3455466.6666666665</v>
      </c>
      <c r="AH106" s="14">
        <f t="shared" si="30"/>
        <v>5471156</v>
      </c>
      <c r="AI106" s="14">
        <f t="shared" si="31"/>
        <v>5471155.555555556</v>
      </c>
      <c r="AJ106" s="14">
        <f t="shared" si="21"/>
        <v>656538.66666666674</v>
      </c>
      <c r="AK106" s="14">
        <f>IF(I106=0,0,IF(G106=5,0,(AC106+AF106/12)*12*BASE!$C$5))</f>
        <v>5581440</v>
      </c>
      <c r="AL106" s="14">
        <f>IF(I106=0,0,IF(G106=5,0,(AC106+AF106/12)*12*BASE!$C$7))</f>
        <v>7879680</v>
      </c>
      <c r="AM106" s="14">
        <f>IF(I106=0,0,IF(G106=5,0,(AC106+AF106/12)*12*BASE!$C$9))</f>
        <v>342766.08000000002</v>
      </c>
      <c r="AN106" s="412">
        <f>IF(I106=0,0,IF(G106=5,0,(AD106+AF106+AG106)*BASE!$C$10))</f>
        <v>5908848</v>
      </c>
      <c r="AO106" s="837">
        <f t="shared" si="19"/>
        <v>96965450.968888879</v>
      </c>
      <c r="AP106" s="677">
        <f t="shared" si="32"/>
        <v>1.5589701820125417</v>
      </c>
      <c r="AQ106" s="1148"/>
      <c r="AR106" s="1149"/>
      <c r="CG106" s="179">
        <v>0</v>
      </c>
      <c r="CH106" s="181">
        <v>1</v>
      </c>
      <c r="CI106" s="182" t="s">
        <v>168</v>
      </c>
    </row>
    <row r="107" spans="1:87" ht="13.5" customHeight="1" outlineLevel="1" x14ac:dyDescent="0.2">
      <c r="A107" s="368" t="s">
        <v>560</v>
      </c>
      <c r="B107" s="477" t="s">
        <v>1057</v>
      </c>
      <c r="C107" s="427"/>
      <c r="D107" s="431">
        <f>IF(E107="","",VLOOKUP(E107,BASE!$F$20:$H$25,2,FALSE))</f>
        <v>4</v>
      </c>
      <c r="E107" s="399" t="s">
        <v>539</v>
      </c>
      <c r="F107" s="436" t="s">
        <v>863</v>
      </c>
      <c r="G107" s="437">
        <f>IF(F107="","",VLOOKUP(F107,BASE!$B$15:$C$18,2,FALSE))</f>
        <v>4</v>
      </c>
      <c r="H107" s="355">
        <v>25</v>
      </c>
      <c r="I107" s="423">
        <f t="shared" si="22"/>
        <v>25</v>
      </c>
      <c r="J107" s="399">
        <v>9</v>
      </c>
      <c r="K107" s="399">
        <v>4</v>
      </c>
      <c r="L107" s="399">
        <v>4</v>
      </c>
      <c r="M107" s="399">
        <v>2</v>
      </c>
      <c r="N107" s="399">
        <v>2</v>
      </c>
      <c r="O107" s="355">
        <f t="shared" si="23"/>
        <v>21</v>
      </c>
      <c r="P107" s="399"/>
      <c r="Q107" s="399">
        <v>2</v>
      </c>
      <c r="R107" s="355">
        <f t="shared" si="24"/>
        <v>2</v>
      </c>
      <c r="S107" s="354"/>
      <c r="T107" s="354"/>
      <c r="U107" s="354"/>
      <c r="V107" s="355">
        <f t="shared" si="25"/>
        <v>0</v>
      </c>
      <c r="W107" s="354">
        <v>2</v>
      </c>
      <c r="X107" s="477">
        <f t="shared" si="26"/>
        <v>25</v>
      </c>
      <c r="Y107" s="19" t="str">
        <f t="shared" si="27"/>
        <v xml:space="preserve">OK </v>
      </c>
      <c r="Z107" s="404" t="str">
        <f t="shared" si="28"/>
        <v xml:space="preserve"> </v>
      </c>
      <c r="AA107" s="478">
        <f>ROUND((IF(D107=1,(BASE!$G$51*I107),IF(D107=2,(BASE!$G$52*I107),IF(D107=3,(BASE!$G$53*I107),IF(D107=4,(BASE!$G$54*I107),IF(D107=5,(BASE!$G$55*I107),IF(D107=6,(BASE!$G$56*I107),0)))))))/1000,0)*1000</f>
        <v>2785000</v>
      </c>
      <c r="AB107" s="408">
        <v>388000</v>
      </c>
      <c r="AC107" s="478">
        <f t="shared" si="29"/>
        <v>3173000</v>
      </c>
      <c r="AD107" s="478">
        <f>IF(G107=3,AC107*BASE!$I$62,IF(G107=1,AC107*(BASE!$I$61),IF(G107=2,AC107*(BASE!$I$63),AC107*BASE!$I$64)))</f>
        <v>36066433.333333336</v>
      </c>
      <c r="AE107" s="411">
        <f>IF(I107&lt;10,0,IF(AC107&lt;=BASE!$C$3*2,BASE!$C$2,0)*(AD107/AC107))</f>
        <v>0</v>
      </c>
      <c r="AF107" s="13">
        <v>0</v>
      </c>
      <c r="AG107" s="14">
        <f t="shared" si="20"/>
        <v>2003690.7407407409</v>
      </c>
      <c r="AH107" s="14">
        <f t="shared" si="30"/>
        <v>3172510</v>
      </c>
      <c r="AI107" s="14">
        <f t="shared" si="31"/>
        <v>3172510.339506173</v>
      </c>
      <c r="AJ107" s="14">
        <f t="shared" si="21"/>
        <v>380701.24074074073</v>
      </c>
      <c r="AK107" s="14">
        <f>IF(I107=0,0,IF(G107=5,0,(AC107+AF107/12)*12*BASE!$C$5))</f>
        <v>3236460</v>
      </c>
      <c r="AL107" s="14">
        <f>IF(I107=0,0,IF(G107=5,0,(AC107+AF107/12)*12*BASE!$C$7))</f>
        <v>4569120</v>
      </c>
      <c r="AM107" s="14">
        <f>IF(I107=0,0,IF(G107=5,0,(AC107+AF107/12)*12*BASE!$C$9))</f>
        <v>198756.72</v>
      </c>
      <c r="AN107" s="412">
        <f>IF(I107=0,0,IF(G107=5,0,(AD107+AF107+AG107)*BASE!$C$10))</f>
        <v>3426311.1666666665</v>
      </c>
      <c r="AO107" s="837">
        <f t="shared" si="19"/>
        <v>56226493.540987648</v>
      </c>
      <c r="AP107" s="677">
        <f t="shared" si="32"/>
        <v>1.5589701654535928</v>
      </c>
      <c r="AQ107" s="1148"/>
      <c r="AR107" s="1149"/>
      <c r="CG107" s="179">
        <v>0</v>
      </c>
      <c r="CH107" s="181">
        <v>1</v>
      </c>
      <c r="CI107" s="182" t="s">
        <v>168</v>
      </c>
    </row>
    <row r="108" spans="1:87" ht="13.5" customHeight="1" outlineLevel="1" x14ac:dyDescent="0.2">
      <c r="A108" s="368" t="s">
        <v>560</v>
      </c>
      <c r="B108" s="477" t="s">
        <v>1058</v>
      </c>
      <c r="C108" s="427"/>
      <c r="D108" s="431">
        <f>IF(E108="","",VLOOKUP(E108,BASE!$F$20:$H$25,2,FALSE))</f>
        <v>2</v>
      </c>
      <c r="E108" s="399" t="s">
        <v>541</v>
      </c>
      <c r="F108" s="436" t="s">
        <v>258</v>
      </c>
      <c r="G108" s="437">
        <f>IF(F108="","",VLOOKUP(F108,BASE!$B$15:$C$18,2,FALSE))</f>
        <v>2</v>
      </c>
      <c r="H108" s="355">
        <v>10</v>
      </c>
      <c r="I108" s="423">
        <f t="shared" si="22"/>
        <v>10</v>
      </c>
      <c r="J108" s="354"/>
      <c r="K108" s="354"/>
      <c r="L108" s="354"/>
      <c r="M108" s="399">
        <v>10</v>
      </c>
      <c r="N108" s="354"/>
      <c r="O108" s="355">
        <f t="shared" si="23"/>
        <v>10</v>
      </c>
      <c r="P108" s="354"/>
      <c r="Q108" s="354"/>
      <c r="R108" s="355">
        <f t="shared" si="24"/>
        <v>0</v>
      </c>
      <c r="S108" s="354"/>
      <c r="T108" s="354"/>
      <c r="U108" s="354"/>
      <c r="V108" s="355">
        <f t="shared" si="25"/>
        <v>0</v>
      </c>
      <c r="W108" s="354"/>
      <c r="X108" s="477">
        <f t="shared" si="26"/>
        <v>10</v>
      </c>
      <c r="Y108" s="19" t="str">
        <f t="shared" si="27"/>
        <v xml:space="preserve">OK </v>
      </c>
      <c r="Z108" s="404" t="str">
        <f t="shared" si="28"/>
        <v xml:space="preserve"> </v>
      </c>
      <c r="AA108" s="478">
        <f>ROUND((IF(D108=1,(BASE!$G$51*I108),IF(D108=2,(BASE!$G$52*I108),IF(D108=3,(BASE!$G$53*I108),IF(D108=4,(BASE!$G$54*I108),IF(D108=5,(BASE!$G$55*I108),IF(D108=6,(BASE!$G$56*I108),0)))))))/1000,0)*1000</f>
        <v>2004000</v>
      </c>
      <c r="AB108" s="408">
        <v>0</v>
      </c>
      <c r="AC108" s="478">
        <f t="shared" si="29"/>
        <v>2004000</v>
      </c>
      <c r="AD108" s="478">
        <f>IF(G108=3,AC108*BASE!$I$62,IF(G108=1,AC108*(BASE!$I$61),IF(G108=2,AC108*(BASE!$I$63),AC108*BASE!$I$64)))</f>
        <v>22778800</v>
      </c>
      <c r="AE108" s="411">
        <f>IF(I108&lt;10,0,IF(AC108&lt;=BASE!$C$3*2,BASE!$C$2,0)*(AD108/AC108))</f>
        <v>0</v>
      </c>
      <c r="AF108" s="13">
        <v>0</v>
      </c>
      <c r="AG108" s="14">
        <f t="shared" si="20"/>
        <v>1265488.8888888888</v>
      </c>
      <c r="AH108" s="14">
        <f t="shared" si="30"/>
        <v>2003691</v>
      </c>
      <c r="AI108" s="14">
        <f t="shared" si="31"/>
        <v>2003690.7407407407</v>
      </c>
      <c r="AJ108" s="14">
        <f t="shared" si="21"/>
        <v>240442.88888888888</v>
      </c>
      <c r="AK108" s="14">
        <f>IF(I108=0,0,IF(G108=5,0,(AC108+AF108/12)*12*BASE!$C$5))</f>
        <v>2044080.0000000002</v>
      </c>
      <c r="AL108" s="14">
        <v>0</v>
      </c>
      <c r="AM108" s="14">
        <f>IF(I108=0,0,IF(G108=5,0,(AC108+AF108/12)*12*BASE!$C$9))</f>
        <v>125530.56</v>
      </c>
      <c r="AN108" s="412">
        <f>IF(I108=0,0,IF(G108=5,0,(AD108+AF108+AG108)*BASE!$C$10))</f>
        <v>2163986</v>
      </c>
      <c r="AO108" s="837">
        <f t="shared" si="19"/>
        <v>32625710.078518514</v>
      </c>
      <c r="AP108" s="677">
        <f t="shared" si="32"/>
        <v>1.4322839692397542</v>
      </c>
      <c r="AQ108" s="1148"/>
      <c r="AR108" s="1149"/>
      <c r="CG108" s="179">
        <v>0</v>
      </c>
      <c r="CH108" s="181">
        <v>1</v>
      </c>
      <c r="CI108" s="182" t="s">
        <v>168</v>
      </c>
    </row>
    <row r="109" spans="1:87" ht="13.5" customHeight="1" outlineLevel="1" x14ac:dyDescent="0.2">
      <c r="A109" s="368" t="s">
        <v>560</v>
      </c>
      <c r="B109" s="477" t="s">
        <v>1058</v>
      </c>
      <c r="C109" s="427"/>
      <c r="D109" s="431">
        <f>IF(E109="","",VLOOKUP(E109,BASE!$F$20:$H$25,2,FALSE))</f>
        <v>2</v>
      </c>
      <c r="E109" s="399" t="s">
        <v>541</v>
      </c>
      <c r="F109" s="436" t="s">
        <v>258</v>
      </c>
      <c r="G109" s="437">
        <f>IF(F109="","",VLOOKUP(F109,BASE!$B$15:$C$18,2,FALSE))</f>
        <v>2</v>
      </c>
      <c r="H109" s="355">
        <v>20</v>
      </c>
      <c r="I109" s="423">
        <f t="shared" si="22"/>
        <v>20</v>
      </c>
      <c r="J109" s="354"/>
      <c r="K109" s="354"/>
      <c r="L109" s="354"/>
      <c r="M109" s="399">
        <v>20</v>
      </c>
      <c r="N109" s="354"/>
      <c r="O109" s="355">
        <f t="shared" si="23"/>
        <v>20</v>
      </c>
      <c r="P109" s="354"/>
      <c r="Q109" s="354"/>
      <c r="R109" s="355">
        <f t="shared" si="24"/>
        <v>0</v>
      </c>
      <c r="S109" s="354"/>
      <c r="T109" s="354"/>
      <c r="U109" s="354"/>
      <c r="V109" s="355">
        <f t="shared" si="25"/>
        <v>0</v>
      </c>
      <c r="W109" s="354"/>
      <c r="X109" s="477">
        <f t="shared" si="26"/>
        <v>20</v>
      </c>
      <c r="Y109" s="19" t="str">
        <f t="shared" si="27"/>
        <v xml:space="preserve">OK </v>
      </c>
      <c r="Z109" s="404" t="str">
        <f t="shared" si="28"/>
        <v xml:space="preserve"> </v>
      </c>
      <c r="AA109" s="478">
        <f>ROUND((IF(D109=1,(BASE!$G$51*I109),IF(D109=2,(BASE!$G$52*I109),IF(D109=3,(BASE!$G$53*I109),IF(D109=4,(BASE!$G$54*I109),IF(D109=5,(BASE!$G$55*I109),IF(D109=6,(BASE!$G$56*I109),0)))))))/1000,0)*1000</f>
        <v>4008000</v>
      </c>
      <c r="AB109" s="408">
        <v>0</v>
      </c>
      <c r="AC109" s="478">
        <f t="shared" si="29"/>
        <v>4008000</v>
      </c>
      <c r="AD109" s="478">
        <f>IF(G109=3,AC109*BASE!$I$62,IF(G109=1,AC109*(BASE!$I$61),IF(G109=2,AC109*(BASE!$I$63),AC109*BASE!$I$64)))</f>
        <v>45557600</v>
      </c>
      <c r="AE109" s="411">
        <f>IF(I109&lt;10,0,IF(AC109&lt;=BASE!$C$3*2,BASE!$C$2,0)*(AD109/AC109))</f>
        <v>0</v>
      </c>
      <c r="AF109" s="13">
        <v>0</v>
      </c>
      <c r="AG109" s="14">
        <f t="shared" si="20"/>
        <v>2530977.7777777775</v>
      </c>
      <c r="AH109" s="14">
        <f t="shared" si="30"/>
        <v>4007381</v>
      </c>
      <c r="AI109" s="14">
        <f t="shared" si="31"/>
        <v>4007381.4814814813</v>
      </c>
      <c r="AJ109" s="14">
        <f t="shared" si="21"/>
        <v>480885.77777777775</v>
      </c>
      <c r="AK109" s="14">
        <f>IF(I109=0,0,IF(G109=5,0,(AC109+AF109/12)*12*BASE!$C$5))</f>
        <v>4088160.0000000005</v>
      </c>
      <c r="AL109" s="14">
        <v>0</v>
      </c>
      <c r="AM109" s="14">
        <f>IF(I109=0,0,IF(G109=5,0,(AC109+AF109/12)*12*BASE!$C$9))</f>
        <v>251061.12</v>
      </c>
      <c r="AN109" s="412">
        <f>IF(I109=0,0,IF(G109=5,0,(AD109+AF109+AG109)*BASE!$C$10))</f>
        <v>4327972</v>
      </c>
      <c r="AO109" s="837">
        <f t="shared" si="19"/>
        <v>65251419.157037027</v>
      </c>
      <c r="AP109" s="677">
        <f t="shared" si="32"/>
        <v>1.4322839472895197</v>
      </c>
      <c r="AQ109" s="1148"/>
      <c r="AR109" s="1149"/>
      <c r="CG109" s="179">
        <v>0</v>
      </c>
      <c r="CH109" s="181">
        <v>1</v>
      </c>
      <c r="CI109" s="182" t="s">
        <v>168</v>
      </c>
    </row>
    <row r="110" spans="1:87" ht="13.5" customHeight="1" outlineLevel="1" x14ac:dyDescent="0.2">
      <c r="A110" s="368" t="s">
        <v>560</v>
      </c>
      <c r="B110" s="477" t="s">
        <v>1059</v>
      </c>
      <c r="C110" s="427"/>
      <c r="D110" s="431">
        <f>IF(E110="","",VLOOKUP(E110,BASE!$F$20:$H$25,2,FALSE))</f>
        <v>2</v>
      </c>
      <c r="E110" s="399" t="s">
        <v>541</v>
      </c>
      <c r="F110" s="436" t="s">
        <v>258</v>
      </c>
      <c r="G110" s="437">
        <f>IF(F110="","",VLOOKUP(F110,BASE!$B$15:$C$18,2,FALSE))</f>
        <v>2</v>
      </c>
      <c r="H110" s="355">
        <v>40</v>
      </c>
      <c r="I110" s="423">
        <f t="shared" si="22"/>
        <v>40</v>
      </c>
      <c r="J110" s="354"/>
      <c r="K110" s="354"/>
      <c r="L110" s="354"/>
      <c r="M110" s="354"/>
      <c r="N110" s="354"/>
      <c r="O110" s="355">
        <f t="shared" si="23"/>
        <v>0</v>
      </c>
      <c r="P110" s="354"/>
      <c r="Q110" s="354"/>
      <c r="R110" s="355">
        <f t="shared" si="24"/>
        <v>0</v>
      </c>
      <c r="S110" s="354"/>
      <c r="T110" s="354"/>
      <c r="U110" s="354"/>
      <c r="V110" s="355">
        <f t="shared" si="25"/>
        <v>0</v>
      </c>
      <c r="W110" s="354">
        <v>40</v>
      </c>
      <c r="X110" s="477">
        <f t="shared" si="26"/>
        <v>40</v>
      </c>
      <c r="Y110" s="19" t="str">
        <f t="shared" si="27"/>
        <v xml:space="preserve">OK </v>
      </c>
      <c r="Z110" s="404" t="str">
        <f t="shared" si="28"/>
        <v xml:space="preserve"> </v>
      </c>
      <c r="AA110" s="478">
        <v>12365000</v>
      </c>
      <c r="AB110" s="408">
        <v>0</v>
      </c>
      <c r="AC110" s="478">
        <f t="shared" si="29"/>
        <v>12365000</v>
      </c>
      <c r="AD110" s="478">
        <f>IF(G110=3,AC110*BASE!$I$62,IF(G110=1,AC110*(BASE!$I$61),IF(G110=2,AC110*(BASE!$I$63),AC110*BASE!$I$64)))</f>
        <v>140548833.33333334</v>
      </c>
      <c r="AE110" s="411">
        <f>IF(I110&lt;10,0,IF(AC110&lt;=BASE!$C$3*2,BASE!$C$2,0)*(AD110/AC110))</f>
        <v>0</v>
      </c>
      <c r="AF110" s="13">
        <v>0</v>
      </c>
      <c r="AG110" s="14">
        <f t="shared" si="20"/>
        <v>7808268.5185185187</v>
      </c>
      <c r="AH110" s="14">
        <f t="shared" si="30"/>
        <v>12363092</v>
      </c>
      <c r="AI110" s="14">
        <f t="shared" si="31"/>
        <v>12363091.820987655</v>
      </c>
      <c r="AJ110" s="14">
        <f t="shared" si="21"/>
        <v>1483571.0185185184</v>
      </c>
      <c r="AK110" s="14">
        <f>IF(I110=0,0,IF(G110=5,0,(AC110+AF110/12)*12*BASE!$C$5))</f>
        <v>12612300</v>
      </c>
      <c r="AL110" s="14">
        <v>0</v>
      </c>
      <c r="AM110" s="14">
        <f>IF(I110=0,0,IF(G110=5,0,(AC110+AF110/12)*12*BASE!$C$9))</f>
        <v>774543.6</v>
      </c>
      <c r="AN110" s="412">
        <f>IF(I110=0,0,IF(G110=5,0,(AD110+AF110+AG110)*BASE!$C$10))</f>
        <v>13352139.166666666</v>
      </c>
      <c r="AO110" s="837">
        <f t="shared" si="19"/>
        <v>201305839.45802465</v>
      </c>
      <c r="AP110" s="677">
        <f t="shared" si="32"/>
        <v>1.4322839591318175</v>
      </c>
      <c r="AQ110" s="1148"/>
      <c r="AR110" s="1149"/>
      <c r="CG110" s="179">
        <v>0</v>
      </c>
      <c r="CH110" s="181">
        <v>1</v>
      </c>
      <c r="CI110" s="182" t="s">
        <v>168</v>
      </c>
    </row>
    <row r="111" spans="1:87" ht="13.5" customHeight="1" outlineLevel="1" x14ac:dyDescent="0.2">
      <c r="A111" s="368" t="s">
        <v>560</v>
      </c>
      <c r="B111" s="477" t="s">
        <v>1060</v>
      </c>
      <c r="C111" s="427"/>
      <c r="D111" s="431">
        <f>IF(E111="","",VLOOKUP(E111,BASE!$F$20:$H$25,2,FALSE))</f>
        <v>2</v>
      </c>
      <c r="E111" s="399" t="s">
        <v>541</v>
      </c>
      <c r="F111" s="436" t="s">
        <v>258</v>
      </c>
      <c r="G111" s="437">
        <f>IF(F111="","",VLOOKUP(F111,BASE!$B$15:$C$18,2,FALSE))</f>
        <v>2</v>
      </c>
      <c r="H111" s="355">
        <v>40</v>
      </c>
      <c r="I111" s="423">
        <f t="shared" si="22"/>
        <v>40</v>
      </c>
      <c r="J111" s="354"/>
      <c r="K111" s="354"/>
      <c r="L111" s="354"/>
      <c r="M111" s="354"/>
      <c r="N111" s="354"/>
      <c r="O111" s="355">
        <f t="shared" si="23"/>
        <v>0</v>
      </c>
      <c r="P111" s="354"/>
      <c r="Q111" s="354"/>
      <c r="R111" s="355">
        <f t="shared" si="24"/>
        <v>0</v>
      </c>
      <c r="S111" s="354"/>
      <c r="T111" s="354"/>
      <c r="U111" s="354"/>
      <c r="V111" s="355">
        <f t="shared" si="25"/>
        <v>0</v>
      </c>
      <c r="W111" s="354">
        <v>40</v>
      </c>
      <c r="X111" s="477">
        <f t="shared" si="26"/>
        <v>40</v>
      </c>
      <c r="Y111" s="19" t="str">
        <f t="shared" si="27"/>
        <v xml:space="preserve">OK </v>
      </c>
      <c r="Z111" s="404" t="str">
        <f t="shared" si="28"/>
        <v xml:space="preserve"> </v>
      </c>
      <c r="AA111" s="478">
        <v>12365000</v>
      </c>
      <c r="AB111" s="408">
        <v>0</v>
      </c>
      <c r="AC111" s="478">
        <f t="shared" si="29"/>
        <v>12365000</v>
      </c>
      <c r="AD111" s="478">
        <f>IF(G111=3,AC111*BASE!$I$62,IF(G111=1,AC111*(BASE!$I$61),IF(G111=2,AC111*(BASE!$I$63),AC111*BASE!$I$64)))</f>
        <v>140548833.33333334</v>
      </c>
      <c r="AE111" s="411">
        <f>IF(I111&lt;10,0,IF(AC111&lt;=BASE!$C$3*2,BASE!$C$2,0)*(AD111/AC111))</f>
        <v>0</v>
      </c>
      <c r="AF111" s="13">
        <v>0</v>
      </c>
      <c r="AG111" s="14">
        <f t="shared" si="20"/>
        <v>7808268.5185185187</v>
      </c>
      <c r="AH111" s="14">
        <f t="shared" si="30"/>
        <v>12363092</v>
      </c>
      <c r="AI111" s="14">
        <f t="shared" si="31"/>
        <v>12363091.820987655</v>
      </c>
      <c r="AJ111" s="14">
        <f t="shared" si="21"/>
        <v>1483571.0185185184</v>
      </c>
      <c r="AK111" s="14">
        <f>IF(I111=0,0,IF(G111=5,0,(AC111+AF111/12)*12*BASE!$C$5))</f>
        <v>12612300</v>
      </c>
      <c r="AL111" s="14">
        <v>0</v>
      </c>
      <c r="AM111" s="14">
        <f>IF(I111=0,0,IF(G111=5,0,(AC111+AF111/12)*12*BASE!$C$9))</f>
        <v>774543.6</v>
      </c>
      <c r="AN111" s="412">
        <f>IF(I111=0,0,IF(G111=5,0,(AD111+AF111+AG111)*BASE!$C$10))</f>
        <v>13352139.166666666</v>
      </c>
      <c r="AO111" s="837">
        <f t="shared" si="19"/>
        <v>201305839.45802465</v>
      </c>
      <c r="AP111" s="677">
        <f t="shared" si="32"/>
        <v>1.4322839591318175</v>
      </c>
      <c r="AQ111" s="1148"/>
      <c r="AR111" s="1149"/>
      <c r="CG111" s="179">
        <v>0</v>
      </c>
      <c r="CH111" s="181">
        <v>1</v>
      </c>
      <c r="CI111" s="182" t="s">
        <v>168</v>
      </c>
    </row>
    <row r="112" spans="1:87" ht="13.5" customHeight="1" outlineLevel="1" x14ac:dyDescent="0.2">
      <c r="A112" s="368" t="s">
        <v>560</v>
      </c>
      <c r="B112" s="477" t="s">
        <v>1061</v>
      </c>
      <c r="C112" s="427"/>
      <c r="D112" s="431">
        <f>IF(E112="","",VLOOKUP(E112,BASE!$F$20:$H$25,2,FALSE))</f>
        <v>5</v>
      </c>
      <c r="E112" s="399" t="s">
        <v>538</v>
      </c>
      <c r="F112" s="436" t="s">
        <v>546</v>
      </c>
      <c r="G112" s="437">
        <f>IF(F112="","",VLOOKUP(F112,BASE!$B$15:$C$18,2,FALSE))</f>
        <v>3</v>
      </c>
      <c r="H112" s="355">
        <v>5</v>
      </c>
      <c r="I112" s="423">
        <f t="shared" si="22"/>
        <v>5</v>
      </c>
      <c r="J112" s="354">
        <v>4</v>
      </c>
      <c r="K112" s="354"/>
      <c r="L112" s="354"/>
      <c r="M112" s="354"/>
      <c r="N112" s="354"/>
      <c r="O112" s="355">
        <f t="shared" si="23"/>
        <v>4</v>
      </c>
      <c r="P112" s="354"/>
      <c r="Q112" s="354"/>
      <c r="R112" s="355">
        <f t="shared" si="24"/>
        <v>0</v>
      </c>
      <c r="S112" s="354"/>
      <c r="T112" s="354"/>
      <c r="U112" s="354"/>
      <c r="V112" s="355">
        <f t="shared" si="25"/>
        <v>0</v>
      </c>
      <c r="W112" s="354">
        <v>1</v>
      </c>
      <c r="X112" s="477">
        <f t="shared" si="26"/>
        <v>5</v>
      </c>
      <c r="Y112" s="19" t="str">
        <f t="shared" si="27"/>
        <v xml:space="preserve">OK </v>
      </c>
      <c r="Z112" s="404" t="str">
        <f t="shared" si="28"/>
        <v xml:space="preserve"> </v>
      </c>
      <c r="AA112" s="478">
        <f>ROUND((IF(D112=1,(BASE!$G$51*I112),IF(D112=2,(BASE!$G$52*I112),IF(D112=3,(BASE!$G$53*I112),IF(D112=4,(BASE!$G$54*I112),IF(D112=5,(BASE!$G$55*I112),IF(D112=6,(BASE!$G$56*I112),0)))))))/1000,0)*1000</f>
        <v>445000</v>
      </c>
      <c r="AB112" s="408">
        <v>0</v>
      </c>
      <c r="AC112" s="478">
        <f t="shared" si="29"/>
        <v>445000</v>
      </c>
      <c r="AD112" s="478">
        <f>IF(G112=3,AC112*BASE!$I$62,IF(G112=1,AC112*(BASE!$I$61),IF(G112=2,AC112*(BASE!$I$63),AC112*BASE!$I$64)))</f>
        <v>4761500</v>
      </c>
      <c r="AE112" s="411">
        <f>IF(I112&lt;10,0,IF(AC112&lt;=BASE!$C$3*2,BASE!$C$2,0)*(AD112/AC112))</f>
        <v>0</v>
      </c>
      <c r="AF112" s="13">
        <v>0</v>
      </c>
      <c r="AG112" s="14">
        <f t="shared" si="20"/>
        <v>264527.77777777781</v>
      </c>
      <c r="AH112" s="14">
        <f t="shared" si="30"/>
        <v>418836</v>
      </c>
      <c r="AI112" s="14">
        <f t="shared" si="31"/>
        <v>418835.64814814815</v>
      </c>
      <c r="AJ112" s="14">
        <f t="shared" si="21"/>
        <v>46071.921296296299</v>
      </c>
      <c r="AK112" s="14">
        <f>IF(I112=0,0,IF(G112=5,0,(AC112+AF112/12)*12*BASE!$C$5))</f>
        <v>453900.00000000006</v>
      </c>
      <c r="AL112" s="14">
        <f>IF(I112=0,0,IF(G112=5,0,(AC112+AF112/12)*12*BASE!$C$7))</f>
        <v>640800</v>
      </c>
      <c r="AM112" s="14">
        <f>IF(I112=0,0,IF(G112=5,0,(AC112+AF112/12)*12*BASE!$C$9))</f>
        <v>27874.799999999999</v>
      </c>
      <c r="AN112" s="412">
        <f>IF(I112=0,0,IF(G112=5,0,(AD112+AF112+AG112)*BASE!$C$10))</f>
        <v>452342.5</v>
      </c>
      <c r="AO112" s="837">
        <f t="shared" si="19"/>
        <v>7484688.6472222228</v>
      </c>
      <c r="AP112" s="677">
        <f t="shared" si="32"/>
        <v>1.5719182289661289</v>
      </c>
      <c r="AQ112" s="1148"/>
      <c r="AR112" s="1149"/>
      <c r="CG112" s="179">
        <v>0</v>
      </c>
      <c r="CH112" s="181">
        <v>1</v>
      </c>
      <c r="CI112" s="182" t="s">
        <v>168</v>
      </c>
    </row>
    <row r="113" spans="1:87" ht="13.5" customHeight="1" outlineLevel="1" x14ac:dyDescent="0.2">
      <c r="A113" s="368" t="s">
        <v>560</v>
      </c>
      <c r="B113" s="477" t="s">
        <v>1062</v>
      </c>
      <c r="C113" s="427"/>
      <c r="D113" s="431">
        <f>IF(E113="","",VLOOKUP(E113,BASE!$F$20:$H$25,2,FALSE))</f>
        <v>5</v>
      </c>
      <c r="E113" s="399" t="s">
        <v>538</v>
      </c>
      <c r="F113" s="436" t="s">
        <v>546</v>
      </c>
      <c r="G113" s="437">
        <f>IF(F113="","",VLOOKUP(F113,BASE!$B$15:$C$18,2,FALSE))</f>
        <v>3</v>
      </c>
      <c r="H113" s="355">
        <v>5</v>
      </c>
      <c r="I113" s="423">
        <f t="shared" si="22"/>
        <v>5</v>
      </c>
      <c r="J113" s="354">
        <v>4</v>
      </c>
      <c r="K113" s="354"/>
      <c r="L113" s="354"/>
      <c r="M113" s="354"/>
      <c r="N113" s="354"/>
      <c r="O113" s="355">
        <f t="shared" si="23"/>
        <v>4</v>
      </c>
      <c r="P113" s="354"/>
      <c r="Q113" s="354"/>
      <c r="R113" s="355">
        <f t="shared" si="24"/>
        <v>0</v>
      </c>
      <c r="S113" s="354"/>
      <c r="T113" s="354"/>
      <c r="U113" s="354"/>
      <c r="V113" s="355">
        <f t="shared" si="25"/>
        <v>0</v>
      </c>
      <c r="W113" s="354">
        <v>1</v>
      </c>
      <c r="X113" s="477">
        <f t="shared" si="26"/>
        <v>5</v>
      </c>
      <c r="Y113" s="19" t="str">
        <f t="shared" si="27"/>
        <v xml:space="preserve">OK </v>
      </c>
      <c r="Z113" s="404" t="str">
        <f t="shared" si="28"/>
        <v xml:space="preserve"> </v>
      </c>
      <c r="AA113" s="478">
        <f>ROUND((IF(D113=1,(BASE!$G$51*I113),IF(D113=2,(BASE!$G$52*I113),IF(D113=3,(BASE!$G$53*I113),IF(D113=4,(BASE!$G$54*I113),IF(D113=5,(BASE!$G$55*I113),IF(D113=6,(BASE!$G$56*I113),0)))))))/1000,0)*1000</f>
        <v>445000</v>
      </c>
      <c r="AB113" s="408">
        <v>0</v>
      </c>
      <c r="AC113" s="478">
        <f t="shared" si="29"/>
        <v>445000</v>
      </c>
      <c r="AD113" s="478">
        <f>IF(G113=3,AC113*BASE!$I$62,IF(G113=1,AC113*(BASE!$I$61),IF(G113=2,AC113*(BASE!$I$63),AC113*BASE!$I$64)))</f>
        <v>4761500</v>
      </c>
      <c r="AE113" s="411">
        <f>IF(I113&lt;10,0,IF(AC113&lt;=BASE!$C$3*2,BASE!$C$2,0)*(AD113/AC113))</f>
        <v>0</v>
      </c>
      <c r="AF113" s="13">
        <v>0</v>
      </c>
      <c r="AG113" s="14">
        <f t="shared" si="20"/>
        <v>264527.77777777781</v>
      </c>
      <c r="AH113" s="14">
        <f t="shared" si="30"/>
        <v>418836</v>
      </c>
      <c r="AI113" s="14">
        <f t="shared" si="31"/>
        <v>418835.64814814815</v>
      </c>
      <c r="AJ113" s="14">
        <f t="shared" si="21"/>
        <v>46071.921296296299</v>
      </c>
      <c r="AK113" s="14">
        <f>IF(I113=0,0,IF(G113=5,0,(AC113+AF113/12)*12*BASE!$C$5))</f>
        <v>453900.00000000006</v>
      </c>
      <c r="AL113" s="14">
        <f>IF(I113=0,0,IF(G113=5,0,(AC113+AF113/12)*12*BASE!$C$7))</f>
        <v>640800</v>
      </c>
      <c r="AM113" s="14">
        <f>IF(I113=0,0,IF(G113=5,0,(AC113+AF113/12)*12*BASE!$C$9))</f>
        <v>27874.799999999999</v>
      </c>
      <c r="AN113" s="412">
        <f>IF(I113=0,0,IF(G113=5,0,(AD113+AF113+AG113)*BASE!$C$10))</f>
        <v>452342.5</v>
      </c>
      <c r="AO113" s="837">
        <f t="shared" si="19"/>
        <v>7484688.6472222228</v>
      </c>
      <c r="AP113" s="677">
        <f t="shared" si="32"/>
        <v>1.5719182289661289</v>
      </c>
      <c r="AQ113" s="1148"/>
      <c r="AR113" s="1149"/>
      <c r="CG113" s="179">
        <v>0</v>
      </c>
      <c r="CH113" s="181">
        <v>1</v>
      </c>
      <c r="CI113" s="182" t="s">
        <v>168</v>
      </c>
    </row>
    <row r="114" spans="1:87" ht="13.5" customHeight="1" outlineLevel="1" x14ac:dyDescent="0.2">
      <c r="A114" s="368" t="s">
        <v>560</v>
      </c>
      <c r="B114" s="477" t="s">
        <v>1063</v>
      </c>
      <c r="C114" s="427"/>
      <c r="D114" s="431">
        <f>IF(E114="","",VLOOKUP(E114,BASE!$F$20:$H$25,2,FALSE))</f>
        <v>5</v>
      </c>
      <c r="E114" s="399" t="s">
        <v>538</v>
      </c>
      <c r="F114" s="436" t="s">
        <v>261</v>
      </c>
      <c r="G114" s="437">
        <f>IF(F114="","",VLOOKUP(F114,BASE!$B$15:$C$18,2,FALSE))</f>
        <v>1</v>
      </c>
      <c r="H114" s="355">
        <v>5</v>
      </c>
      <c r="I114" s="423">
        <f t="shared" si="22"/>
        <v>5</v>
      </c>
      <c r="J114" s="354"/>
      <c r="K114" s="354"/>
      <c r="L114" s="354"/>
      <c r="M114" s="354"/>
      <c r="N114" s="354"/>
      <c r="O114" s="355">
        <f t="shared" si="23"/>
        <v>0</v>
      </c>
      <c r="P114" s="354"/>
      <c r="Q114" s="354"/>
      <c r="R114" s="355">
        <f t="shared" si="24"/>
        <v>0</v>
      </c>
      <c r="S114" s="354">
        <v>5</v>
      </c>
      <c r="T114" s="354"/>
      <c r="U114" s="354"/>
      <c r="V114" s="355">
        <f t="shared" si="25"/>
        <v>5</v>
      </c>
      <c r="W114" s="399"/>
      <c r="X114" s="477">
        <f t="shared" si="26"/>
        <v>5</v>
      </c>
      <c r="Y114" s="19" t="str">
        <f t="shared" si="27"/>
        <v xml:space="preserve">OK </v>
      </c>
      <c r="Z114" s="404" t="str">
        <f t="shared" si="28"/>
        <v xml:space="preserve"> </v>
      </c>
      <c r="AA114" s="478">
        <f>ROUND((IF(D114=1,(BASE!$G$51*I114),IF(D114=2,(BASE!$G$52*I114),IF(D114=3,(BASE!$G$53*I114),IF(D114=4,(BASE!$G$54*I114),IF(D114=5,(BASE!$G$55*I114),IF(D114=6,(BASE!$G$56*I114),0)))))))/1000,0)*1000</f>
        <v>445000</v>
      </c>
      <c r="AB114" s="408">
        <v>0</v>
      </c>
      <c r="AC114" s="478">
        <f t="shared" si="29"/>
        <v>445000</v>
      </c>
      <c r="AD114" s="478">
        <f>IF(G114=3,AC114*BASE!$I$62,IF(G114=1,AC114*(BASE!$I$61),IF(G114=2,AC114*(BASE!$I$63),AC114*BASE!$I$64)))</f>
        <v>4390666.666666667</v>
      </c>
      <c r="AE114" s="411">
        <f>IF(I114&lt;10,0,IF(AC114&lt;=BASE!$C$3*2,BASE!$C$2,0)*(AD114/AC114))</f>
        <v>0</v>
      </c>
      <c r="AF114" s="13">
        <v>0</v>
      </c>
      <c r="AG114" s="14">
        <f t="shared" si="20"/>
        <v>243925.92592592596</v>
      </c>
      <c r="AH114" s="14">
        <f t="shared" si="30"/>
        <v>386216</v>
      </c>
      <c r="AI114" s="14">
        <f t="shared" si="31"/>
        <v>386216.04938271607</v>
      </c>
      <c r="AJ114" s="14">
        <f t="shared" si="21"/>
        <v>38621.604938271608</v>
      </c>
      <c r="AK114" s="14">
        <f>IF(I114=0,0,IF(G114=5,0,(AC114+AF114/12)*12*BASE!$C$5))</f>
        <v>453900.00000000006</v>
      </c>
      <c r="AL114" s="14">
        <f>IF(I114=0,0,IF(G114=5,0,(AC114+AF114/12)*12*BASE!$C$7))</f>
        <v>640800</v>
      </c>
      <c r="AM114" s="14">
        <f>IF(I114=0,0,IF(G114=5,0,(AC114+AF114/12)*12*BASE!$C$9))</f>
        <v>27874.799999999999</v>
      </c>
      <c r="AN114" s="412">
        <f>IF(I114=0,0,IF(G114=5,0,(AD114+AF114+AG114)*BASE!$C$10))</f>
        <v>417113.33333333337</v>
      </c>
      <c r="AO114" s="837">
        <f t="shared" si="19"/>
        <v>6985334.380246914</v>
      </c>
      <c r="AP114" s="677">
        <f t="shared" si="32"/>
        <v>1.5909507395035485</v>
      </c>
      <c r="AQ114" s="1148"/>
      <c r="AR114" s="1149"/>
      <c r="CG114" s="179">
        <v>0</v>
      </c>
      <c r="CH114" s="181">
        <v>1</v>
      </c>
      <c r="CI114" s="182" t="s">
        <v>168</v>
      </c>
    </row>
    <row r="115" spans="1:87" ht="13.5" customHeight="1" outlineLevel="1" x14ac:dyDescent="0.2">
      <c r="A115" s="368" t="s">
        <v>560</v>
      </c>
      <c r="B115" s="477" t="s">
        <v>1064</v>
      </c>
      <c r="C115" s="427"/>
      <c r="D115" s="431">
        <f>IF(E115="","",VLOOKUP(E115,BASE!$F$20:$H$25,2,FALSE))</f>
        <v>2</v>
      </c>
      <c r="E115" s="399" t="s">
        <v>541</v>
      </c>
      <c r="F115" s="436" t="s">
        <v>546</v>
      </c>
      <c r="G115" s="437">
        <f>IF(F115="","",VLOOKUP(F115,BASE!$B$15:$C$18,2,FALSE))</f>
        <v>3</v>
      </c>
      <c r="H115" s="355">
        <v>20</v>
      </c>
      <c r="I115" s="423">
        <f t="shared" si="22"/>
        <v>20</v>
      </c>
      <c r="J115" s="399">
        <v>4</v>
      </c>
      <c r="K115" s="354">
        <v>2</v>
      </c>
      <c r="L115" s="399">
        <v>1</v>
      </c>
      <c r="M115" s="399">
        <v>2</v>
      </c>
      <c r="N115" s="354"/>
      <c r="O115" s="355">
        <f t="shared" si="23"/>
        <v>9</v>
      </c>
      <c r="P115" s="354"/>
      <c r="Q115" s="354"/>
      <c r="R115" s="355">
        <f t="shared" si="24"/>
        <v>0</v>
      </c>
      <c r="S115" s="354">
        <v>9</v>
      </c>
      <c r="T115" s="354">
        <v>2</v>
      </c>
      <c r="U115" s="354"/>
      <c r="V115" s="355">
        <f t="shared" si="25"/>
        <v>11</v>
      </c>
      <c r="W115" s="354"/>
      <c r="X115" s="477">
        <f t="shared" si="26"/>
        <v>20</v>
      </c>
      <c r="Y115" s="19" t="str">
        <f t="shared" si="27"/>
        <v xml:space="preserve">OK </v>
      </c>
      <c r="Z115" s="404" t="str">
        <f t="shared" si="28"/>
        <v xml:space="preserve"> </v>
      </c>
      <c r="AA115" s="478">
        <f>ROUND((IF(D115=1,(BASE!$G$51*I115),IF(D115=2,(BASE!$G$52*I115),IF(D115=3,(BASE!$G$53*I115),IF(D115=4,(BASE!$G$54*I115),IF(D115=5,(BASE!$G$55*I115),IF(D115=6,(BASE!$G$56*I115),0)))))))/1000,0)*1000</f>
        <v>4008000</v>
      </c>
      <c r="AB115" s="408">
        <v>0</v>
      </c>
      <c r="AC115" s="478">
        <f t="shared" si="29"/>
        <v>4008000</v>
      </c>
      <c r="AD115" s="478">
        <f>IF(G115=3,AC115*BASE!$I$62,IF(G115=1,AC115*(BASE!$I$61),IF(G115=2,AC115*(BASE!$I$63),AC115*BASE!$I$64)))</f>
        <v>42885600</v>
      </c>
      <c r="AE115" s="411">
        <f>IF(I115&lt;10,0,IF(AC115&lt;=BASE!$C$3*2,BASE!$C$2,0)*(AD115/AC115))</f>
        <v>0</v>
      </c>
      <c r="AF115" s="13">
        <v>0</v>
      </c>
      <c r="AG115" s="14">
        <f t="shared" si="20"/>
        <v>2382533.3333333335</v>
      </c>
      <c r="AH115" s="14">
        <f t="shared" si="30"/>
        <v>3772344</v>
      </c>
      <c r="AI115" s="14">
        <f t="shared" si="31"/>
        <v>3772344.4444444445</v>
      </c>
      <c r="AJ115" s="14">
        <f t="shared" si="21"/>
        <v>414957.88888888888</v>
      </c>
      <c r="AK115" s="14">
        <f>IF(I115=0,0,IF(G115=5,0,(AC115+AF115/12)*12*BASE!$C$5))</f>
        <v>4088160.0000000005</v>
      </c>
      <c r="AL115" s="14">
        <f>IF(I115=0,0,IF(G115=5,0,(AC115+AF115/12)*12*BASE!$C$7))</f>
        <v>5771520</v>
      </c>
      <c r="AM115" s="14">
        <f>IF(I115=0,0,IF(G115=5,0,(AC115+AF115/12)*12*BASE!$C$9))</f>
        <v>251061.12</v>
      </c>
      <c r="AN115" s="412">
        <f>IF(I115=0,0,IF(G115=5,0,(AD115+AF115+AG115)*BASE!$C$10))</f>
        <v>4074132</v>
      </c>
      <c r="AO115" s="837">
        <f t="shared" ref="AO115:AO129" si="33">+AD115+AE115+AF115+AG115+AH115+AI115+AJ115+AK115+AL115+AM115+AN115</f>
        <v>67412652.786666662</v>
      </c>
      <c r="AP115" s="677">
        <f t="shared" si="32"/>
        <v>1.5719181447074697</v>
      </c>
      <c r="AQ115" s="1148"/>
      <c r="AR115" s="1149"/>
      <c r="CG115" s="179">
        <v>0</v>
      </c>
      <c r="CH115" s="181">
        <v>1</v>
      </c>
      <c r="CI115" s="182" t="s">
        <v>168</v>
      </c>
    </row>
    <row r="116" spans="1:87" ht="13.5" customHeight="1" outlineLevel="1" x14ac:dyDescent="0.2">
      <c r="A116" s="368" t="s">
        <v>560</v>
      </c>
      <c r="B116" s="477" t="s">
        <v>1065</v>
      </c>
      <c r="C116" s="427"/>
      <c r="D116" s="431">
        <f>IF(E116="","",VLOOKUP(E116,BASE!$F$20:$H$25,2,FALSE))</f>
        <v>3</v>
      </c>
      <c r="E116" s="399" t="s">
        <v>540</v>
      </c>
      <c r="F116" s="436" t="s">
        <v>863</v>
      </c>
      <c r="G116" s="437">
        <f>IF(F116="","",VLOOKUP(F116,BASE!$B$15:$C$18,2,FALSE))</f>
        <v>4</v>
      </c>
      <c r="H116" s="355">
        <v>23</v>
      </c>
      <c r="I116" s="423">
        <f t="shared" si="22"/>
        <v>23</v>
      </c>
      <c r="J116" s="399">
        <v>11</v>
      </c>
      <c r="K116" s="354">
        <v>4</v>
      </c>
      <c r="L116" s="399">
        <v>4</v>
      </c>
      <c r="M116" s="399">
        <v>3</v>
      </c>
      <c r="N116" s="399">
        <v>1</v>
      </c>
      <c r="O116" s="355">
        <f t="shared" si="23"/>
        <v>23</v>
      </c>
      <c r="P116" s="354"/>
      <c r="Q116" s="354"/>
      <c r="R116" s="355">
        <f t="shared" si="24"/>
        <v>0</v>
      </c>
      <c r="S116" s="354"/>
      <c r="T116" s="354"/>
      <c r="U116" s="354"/>
      <c r="V116" s="355">
        <f t="shared" si="25"/>
        <v>0</v>
      </c>
      <c r="W116" s="354"/>
      <c r="X116" s="477">
        <f t="shared" si="26"/>
        <v>23</v>
      </c>
      <c r="Y116" s="19" t="str">
        <f t="shared" si="27"/>
        <v xml:space="preserve">OK </v>
      </c>
      <c r="Z116" s="404" t="str">
        <f t="shared" si="28"/>
        <v xml:space="preserve"> </v>
      </c>
      <c r="AA116" s="478">
        <f>ROUND((IF(D116=1,(BASE!$G$51*I116),IF(D116=2,(BASE!$G$52*I116),IF(D116=3,(BASE!$G$53*I116),IF(D116=4,(BASE!$G$54*I116),IF(D116=5,(BASE!$G$55*I116),IF(D116=6,(BASE!$G$56*I116),0)))))))/1000,0)*1000</f>
        <v>3146000</v>
      </c>
      <c r="AB116" s="408">
        <v>1563000</v>
      </c>
      <c r="AC116" s="478">
        <f t="shared" si="29"/>
        <v>4709000</v>
      </c>
      <c r="AD116" s="478">
        <f>IF(G116=3,AC116*BASE!$I$62,IF(G116=1,AC116*(BASE!$I$61),IF(G116=2,AC116*(BASE!$I$63),AC116*BASE!$I$64)))</f>
        <v>53525633.333333336</v>
      </c>
      <c r="AE116" s="411">
        <f>IF(I116&lt;10,0,IF(AC116&lt;=BASE!$C$3*2,BASE!$C$2,0)*(AD116/AC116))</f>
        <v>0</v>
      </c>
      <c r="AF116" s="13">
        <v>0</v>
      </c>
      <c r="AG116" s="14">
        <f t="shared" si="20"/>
        <v>2973646.2962962966</v>
      </c>
      <c r="AH116" s="14">
        <f t="shared" si="30"/>
        <v>4708273</v>
      </c>
      <c r="AI116" s="14">
        <f t="shared" si="31"/>
        <v>4708273.3024691362</v>
      </c>
      <c r="AJ116" s="14">
        <f t="shared" si="21"/>
        <v>564992.79629629629</v>
      </c>
      <c r="AK116" s="14">
        <f>IF(I116=0,0,IF(G116=5,0,(AC116+AF116/12)*12*BASE!$C$5))</f>
        <v>4803180</v>
      </c>
      <c r="AL116" s="14">
        <f>IF(I116=0,0,IF(G116=5,0,(AC116+AF116/12)*12*BASE!$C$7))</f>
        <v>6780960</v>
      </c>
      <c r="AM116" s="14">
        <f>IF(I116=0,0,IF(G116=5,0,(AC116+AF116/12)*12*BASE!$C$9))</f>
        <v>294971.76</v>
      </c>
      <c r="AN116" s="412">
        <f>IF(I116=0,0,IF(G116=5,0,(AD116+AF116+AG116)*BASE!$C$10))</f>
        <v>5084935.166666667</v>
      </c>
      <c r="AO116" s="837">
        <f t="shared" si="33"/>
        <v>83444865.655061752</v>
      </c>
      <c r="AP116" s="677">
        <f t="shared" si="32"/>
        <v>1.5589701692160283</v>
      </c>
      <c r="AQ116" s="1148"/>
      <c r="AR116" s="1149"/>
      <c r="CG116" s="179">
        <v>0</v>
      </c>
      <c r="CH116" s="181">
        <v>1</v>
      </c>
      <c r="CI116" s="182" t="s">
        <v>168</v>
      </c>
    </row>
    <row r="117" spans="1:87" ht="13.5" customHeight="1" outlineLevel="1" x14ac:dyDescent="0.2">
      <c r="A117" s="368" t="s">
        <v>560</v>
      </c>
      <c r="B117" s="477" t="s">
        <v>1066</v>
      </c>
      <c r="C117" s="427"/>
      <c r="D117" s="431">
        <f>IF(E117="","",VLOOKUP(E117,BASE!$F$20:$H$25,2,FALSE))</f>
        <v>2</v>
      </c>
      <c r="E117" s="399" t="s">
        <v>541</v>
      </c>
      <c r="F117" s="436" t="s">
        <v>258</v>
      </c>
      <c r="G117" s="437">
        <f>IF(F117="","",VLOOKUP(F117,BASE!$B$15:$C$18,2,FALSE))</f>
        <v>2</v>
      </c>
      <c r="H117" s="355">
        <v>20</v>
      </c>
      <c r="I117" s="423">
        <f t="shared" si="22"/>
        <v>20</v>
      </c>
      <c r="J117" s="399">
        <v>4</v>
      </c>
      <c r="K117" s="354">
        <v>2</v>
      </c>
      <c r="L117" s="399">
        <v>1</v>
      </c>
      <c r="M117" s="399">
        <v>3</v>
      </c>
      <c r="N117" s="354"/>
      <c r="O117" s="355">
        <f t="shared" si="23"/>
        <v>10</v>
      </c>
      <c r="P117" s="354"/>
      <c r="Q117" s="354">
        <v>5</v>
      </c>
      <c r="R117" s="355">
        <f t="shared" si="24"/>
        <v>5</v>
      </c>
      <c r="S117" s="354">
        <v>5</v>
      </c>
      <c r="T117" s="354"/>
      <c r="U117" s="354"/>
      <c r="V117" s="355">
        <f t="shared" si="25"/>
        <v>5</v>
      </c>
      <c r="W117" s="354"/>
      <c r="X117" s="477">
        <f t="shared" si="26"/>
        <v>20</v>
      </c>
      <c r="Y117" s="19" t="str">
        <f t="shared" si="27"/>
        <v xml:space="preserve">OK </v>
      </c>
      <c r="Z117" s="404" t="str">
        <f t="shared" si="28"/>
        <v xml:space="preserve"> </v>
      </c>
      <c r="AA117" s="478">
        <v>6183000</v>
      </c>
      <c r="AB117" s="408">
        <v>0</v>
      </c>
      <c r="AC117" s="478">
        <f t="shared" si="29"/>
        <v>6183000</v>
      </c>
      <c r="AD117" s="478">
        <f>IF(G117=3,AC117*BASE!$I$62,IF(G117=1,AC117*(BASE!$I$61),IF(G117=2,AC117*(BASE!$I$63),AC117*BASE!$I$64)))</f>
        <v>70280100</v>
      </c>
      <c r="AE117" s="411">
        <f>IF(I117&lt;10,0,IF(AC117&lt;=BASE!$C$3*2,BASE!$C$2,0)*(AD117/AC117))</f>
        <v>0</v>
      </c>
      <c r="AF117" s="13">
        <v>0</v>
      </c>
      <c r="AG117" s="14">
        <f t="shared" si="20"/>
        <v>3904450</v>
      </c>
      <c r="AH117" s="14">
        <f t="shared" si="30"/>
        <v>6182046</v>
      </c>
      <c r="AI117" s="14">
        <f t="shared" si="31"/>
        <v>6182045.833333333</v>
      </c>
      <c r="AJ117" s="14">
        <f t="shared" si="21"/>
        <v>741845.49999999988</v>
      </c>
      <c r="AK117" s="14">
        <f>IF(I117=0,0,IF(G117=5,0,(AC117+AF117/12)*12*BASE!$C$5))</f>
        <v>6306660</v>
      </c>
      <c r="AL117" s="14">
        <v>0</v>
      </c>
      <c r="AM117" s="14">
        <f>IF(I117=0,0,IF(G117=5,0,(AC117+AF117/12)*12*BASE!$C$9))</f>
        <v>387303.12</v>
      </c>
      <c r="AN117" s="412">
        <f>IF(I117=0,0,IF(G117=5,0,(AD117+AF117+AG117)*BASE!$C$10))</f>
        <v>6676609.5</v>
      </c>
      <c r="AO117" s="837">
        <f t="shared" si="33"/>
        <v>100661059.95333333</v>
      </c>
      <c r="AP117" s="677">
        <f t="shared" si="32"/>
        <v>1.4322839602296145</v>
      </c>
      <c r="AQ117" s="1148"/>
      <c r="AR117" s="1149"/>
      <c r="CG117" s="179">
        <v>0</v>
      </c>
      <c r="CH117" s="181">
        <v>1</v>
      </c>
      <c r="CI117" s="182" t="s">
        <v>168</v>
      </c>
    </row>
    <row r="118" spans="1:87" ht="13.5" customHeight="1" outlineLevel="1" x14ac:dyDescent="0.2">
      <c r="A118" s="368" t="s">
        <v>560</v>
      </c>
      <c r="B118" s="477" t="s">
        <v>1067</v>
      </c>
      <c r="C118" s="427"/>
      <c r="D118" s="431">
        <f>IF(E118="","",VLOOKUP(E118,BASE!$F$20:$H$25,2,FALSE))</f>
        <v>5</v>
      </c>
      <c r="E118" s="399" t="s">
        <v>538</v>
      </c>
      <c r="F118" s="436" t="s">
        <v>546</v>
      </c>
      <c r="G118" s="437">
        <f>IF(F118="","",VLOOKUP(F118,BASE!$B$15:$C$18,2,FALSE))</f>
        <v>3</v>
      </c>
      <c r="H118" s="355">
        <v>10</v>
      </c>
      <c r="I118" s="423">
        <f t="shared" si="22"/>
        <v>10</v>
      </c>
      <c r="J118" s="354">
        <v>4</v>
      </c>
      <c r="K118" s="354">
        <v>1</v>
      </c>
      <c r="L118" s="399">
        <v>1</v>
      </c>
      <c r="M118" s="399">
        <v>1</v>
      </c>
      <c r="N118" s="354"/>
      <c r="O118" s="355">
        <f t="shared" si="23"/>
        <v>7</v>
      </c>
      <c r="P118" s="354"/>
      <c r="Q118" s="354"/>
      <c r="R118" s="355">
        <f t="shared" si="24"/>
        <v>0</v>
      </c>
      <c r="S118" s="354"/>
      <c r="T118" s="354"/>
      <c r="U118" s="354"/>
      <c r="V118" s="355">
        <f t="shared" si="25"/>
        <v>0</v>
      </c>
      <c r="W118" s="354">
        <v>3</v>
      </c>
      <c r="X118" s="477">
        <f t="shared" si="26"/>
        <v>10</v>
      </c>
      <c r="Y118" s="19" t="str">
        <f t="shared" si="27"/>
        <v xml:space="preserve">OK </v>
      </c>
      <c r="Z118" s="404" t="str">
        <f t="shared" si="28"/>
        <v xml:space="preserve"> </v>
      </c>
      <c r="AA118" s="478">
        <f>ROUND((IF(D118=1,(BASE!$G$51*I118),IF(D118=2,(BASE!$G$52*I118),IF(D118=3,(BASE!$G$53*I118),IF(D118=4,(BASE!$G$54*I118),IF(D118=5,(BASE!$G$55*I118),IF(D118=6,(BASE!$G$56*I118),0)))))))/1000,0)*1000</f>
        <v>890000</v>
      </c>
      <c r="AB118" s="408">
        <v>0</v>
      </c>
      <c r="AC118" s="478">
        <f t="shared" si="29"/>
        <v>890000</v>
      </c>
      <c r="AD118" s="478">
        <f>IF(G118=3,AC118*BASE!$I$62,IF(G118=1,AC118*(BASE!$I$61),IF(G118=2,AC118*(BASE!$I$63),AC118*BASE!$I$64)))</f>
        <v>9523000</v>
      </c>
      <c r="AE118" s="411">
        <f>IF(I118&lt;10,0,IF(AC118&lt;=BASE!$C$3*2,BASE!$C$2,0)*(AD118/AC118))</f>
        <v>943857.7</v>
      </c>
      <c r="AF118" s="13">
        <v>0</v>
      </c>
      <c r="AG118" s="14">
        <f t="shared" si="20"/>
        <v>529055.55555555562</v>
      </c>
      <c r="AH118" s="14">
        <f t="shared" si="30"/>
        <v>916326</v>
      </c>
      <c r="AI118" s="14">
        <f t="shared" si="31"/>
        <v>916326.10462962964</v>
      </c>
      <c r="AJ118" s="14">
        <f t="shared" si="21"/>
        <v>100795.87150925926</v>
      </c>
      <c r="AK118" s="14">
        <f>IF(I118=0,0,IF(G118=5,0,(AC118+AF118/12)*12*BASE!$C$5))</f>
        <v>907800.00000000012</v>
      </c>
      <c r="AL118" s="14">
        <f>IF(I118=0,0,IF(G118=5,0,(AC118+AF118/12)*12*BASE!$C$7))</f>
        <v>1281600</v>
      </c>
      <c r="AM118" s="14">
        <f>IF(I118=0,0,IF(G118=5,0,(AC118+AF118/12)*12*BASE!$C$9))</f>
        <v>55749.599999999999</v>
      </c>
      <c r="AN118" s="412">
        <f>IF(I118=0,0,IF(G118=5,0,(AD118+AF118+AG118)*BASE!$C$10))</f>
        <v>904685</v>
      </c>
      <c r="AO118" s="837">
        <f t="shared" si="33"/>
        <v>16079195.831694445</v>
      </c>
      <c r="AP118" s="677">
        <f t="shared" si="32"/>
        <v>1.6884590813498315</v>
      </c>
      <c r="AQ118" s="1148"/>
      <c r="AR118" s="1149"/>
      <c r="CG118" s="179">
        <v>0</v>
      </c>
      <c r="CH118" s="181">
        <v>1</v>
      </c>
      <c r="CI118" s="182" t="s">
        <v>168</v>
      </c>
    </row>
    <row r="119" spans="1:87" ht="13.5" customHeight="1" outlineLevel="1" x14ac:dyDescent="0.2">
      <c r="A119" s="368" t="s">
        <v>560</v>
      </c>
      <c r="B119" s="477" t="s">
        <v>1068</v>
      </c>
      <c r="C119" s="427"/>
      <c r="D119" s="431">
        <f>IF(E119="","",VLOOKUP(E119,BASE!$F$20:$H$25,2,FALSE))</f>
        <v>3</v>
      </c>
      <c r="E119" s="399" t="s">
        <v>540</v>
      </c>
      <c r="F119" s="436" t="s">
        <v>863</v>
      </c>
      <c r="G119" s="437">
        <f>IF(F119="","",VLOOKUP(F119,BASE!$B$15:$C$18,2,FALSE))</f>
        <v>4</v>
      </c>
      <c r="H119" s="355">
        <v>5</v>
      </c>
      <c r="I119" s="423">
        <f t="shared" si="22"/>
        <v>5</v>
      </c>
      <c r="J119" s="399">
        <v>5</v>
      </c>
      <c r="K119" s="354"/>
      <c r="L119" s="354"/>
      <c r="M119" s="354"/>
      <c r="N119" s="354"/>
      <c r="O119" s="355">
        <f t="shared" si="23"/>
        <v>5</v>
      </c>
      <c r="P119" s="354"/>
      <c r="Q119" s="354"/>
      <c r="R119" s="355">
        <f t="shared" si="24"/>
        <v>0</v>
      </c>
      <c r="S119" s="354"/>
      <c r="T119" s="354"/>
      <c r="U119" s="354"/>
      <c r="V119" s="355">
        <f t="shared" si="25"/>
        <v>0</v>
      </c>
      <c r="W119" s="354"/>
      <c r="X119" s="477">
        <f t="shared" si="26"/>
        <v>5</v>
      </c>
      <c r="Y119" s="19" t="str">
        <f t="shared" si="27"/>
        <v xml:space="preserve">OK </v>
      </c>
      <c r="Z119" s="404" t="str">
        <f t="shared" si="28"/>
        <v xml:space="preserve"> </v>
      </c>
      <c r="AA119" s="478">
        <f>ROUND((IF(D119=1,(BASE!$G$51*I119),IF(D119=2,(BASE!$G$52*I119),IF(D119=3,(BASE!$G$53*I119),IF(D119=4,(BASE!$G$54*I119),IF(D119=5,(BASE!$G$55*I119),IF(D119=6,(BASE!$G$56*I119),0)))))))/1000,0)*1000</f>
        <v>684000</v>
      </c>
      <c r="AB119" s="408">
        <v>0</v>
      </c>
      <c r="AC119" s="478">
        <f t="shared" si="29"/>
        <v>684000</v>
      </c>
      <c r="AD119" s="478">
        <f>IF(G119=3,AC119*BASE!$I$62,IF(G119=1,AC119*(BASE!$I$61),IF(G119=2,AC119*(BASE!$I$63),AC119*BASE!$I$64)))</f>
        <v>7774800</v>
      </c>
      <c r="AE119" s="411">
        <f>IF(I119&lt;10,0,IF(AC119&lt;=BASE!$C$3*2,BASE!$C$2,0)*(AD119/AC119))</f>
        <v>0</v>
      </c>
      <c r="AF119" s="13">
        <v>0</v>
      </c>
      <c r="AG119" s="14">
        <f t="shared" si="20"/>
        <v>431933.33333333331</v>
      </c>
      <c r="AH119" s="14">
        <f t="shared" si="30"/>
        <v>683894</v>
      </c>
      <c r="AI119" s="14">
        <f t="shared" si="31"/>
        <v>683894.4444444445</v>
      </c>
      <c r="AJ119" s="14">
        <f t="shared" si="21"/>
        <v>82067.333333333343</v>
      </c>
      <c r="AK119" s="14">
        <f>IF(I119=0,0,IF(G119=5,0,(AC119+AF119/12)*12*BASE!$C$5))</f>
        <v>697680</v>
      </c>
      <c r="AL119" s="14">
        <f>IF(I119=0,0,IF(G119=5,0,(AC119+AF119/12)*12*BASE!$C$7))</f>
        <v>984960</v>
      </c>
      <c r="AM119" s="14">
        <f>IF(I119=0,0,IF(G119=5,0,(AC119+AF119/12)*12*BASE!$C$9))</f>
        <v>42845.760000000002</v>
      </c>
      <c r="AN119" s="412">
        <f>IF(I119=0,0,IF(G119=5,0,(AD119+AF119+AG119)*BASE!$C$10))</f>
        <v>738606</v>
      </c>
      <c r="AO119" s="837">
        <f t="shared" si="33"/>
        <v>12120680.87111111</v>
      </c>
      <c r="AP119" s="677">
        <f t="shared" si="32"/>
        <v>1.5589701177022057</v>
      </c>
      <c r="AQ119" s="1148"/>
      <c r="AR119" s="1149"/>
      <c r="CG119" s="179">
        <v>0</v>
      </c>
      <c r="CH119" s="181">
        <v>1</v>
      </c>
      <c r="CI119" s="182" t="s">
        <v>168</v>
      </c>
    </row>
    <row r="120" spans="1:87" ht="13.5" customHeight="1" outlineLevel="1" x14ac:dyDescent="0.2">
      <c r="A120" s="368" t="s">
        <v>560</v>
      </c>
      <c r="B120" s="477" t="s">
        <v>1069</v>
      </c>
      <c r="C120" s="427"/>
      <c r="D120" s="431">
        <f>IF(E120="","",VLOOKUP(E120,BASE!$F$20:$H$25,2,FALSE))</f>
        <v>5</v>
      </c>
      <c r="E120" s="399" t="s">
        <v>538</v>
      </c>
      <c r="F120" s="436" t="s">
        <v>546</v>
      </c>
      <c r="G120" s="437">
        <f>IF(F120="","",VLOOKUP(F120,BASE!$B$15:$C$18,2,FALSE))</f>
        <v>3</v>
      </c>
      <c r="H120" s="355">
        <v>8</v>
      </c>
      <c r="I120" s="423">
        <f t="shared" si="22"/>
        <v>8</v>
      </c>
      <c r="J120" s="399">
        <v>4</v>
      </c>
      <c r="K120" s="354"/>
      <c r="L120" s="354"/>
      <c r="M120" s="354"/>
      <c r="N120" s="354"/>
      <c r="O120" s="355">
        <f t="shared" si="23"/>
        <v>4</v>
      </c>
      <c r="P120" s="354"/>
      <c r="Q120" s="354"/>
      <c r="R120" s="355">
        <f t="shared" si="24"/>
        <v>0</v>
      </c>
      <c r="S120" s="354">
        <v>4</v>
      </c>
      <c r="T120" s="354"/>
      <c r="U120" s="354"/>
      <c r="V120" s="355">
        <f t="shared" si="25"/>
        <v>4</v>
      </c>
      <c r="W120" s="354"/>
      <c r="X120" s="477">
        <f t="shared" si="26"/>
        <v>8</v>
      </c>
      <c r="Y120" s="19" t="str">
        <f t="shared" si="27"/>
        <v xml:space="preserve">OK </v>
      </c>
      <c r="Z120" s="404" t="str">
        <f t="shared" si="28"/>
        <v xml:space="preserve"> </v>
      </c>
      <c r="AA120" s="478">
        <f>ROUND((IF(D120=1,(BASE!$G$51*I120),IF(D120=2,(BASE!$G$52*I120),IF(D120=3,(BASE!$G$53*I120),IF(D120=4,(BASE!$G$54*I120),IF(D120=5,(BASE!$G$55*I120),IF(D120=6,(BASE!$G$56*I120),0)))))))/1000,0)*1000</f>
        <v>712000</v>
      </c>
      <c r="AB120" s="408">
        <v>0</v>
      </c>
      <c r="AC120" s="478">
        <f t="shared" si="29"/>
        <v>712000</v>
      </c>
      <c r="AD120" s="478">
        <f>IF(G120=3,AC120*BASE!$I$62,IF(G120=1,AC120*(BASE!$I$61),IF(G120=2,AC120*(BASE!$I$63),AC120*BASE!$I$64)))</f>
        <v>7618399.9999999991</v>
      </c>
      <c r="AE120" s="411">
        <f>IF(I120&lt;10,0,IF(AC120&lt;=BASE!$C$3*2,BASE!$C$2,0)*(AD120/AC120))</f>
        <v>0</v>
      </c>
      <c r="AF120" s="13">
        <v>0</v>
      </c>
      <c r="AG120" s="14">
        <f t="shared" si="20"/>
        <v>423244.44444444444</v>
      </c>
      <c r="AH120" s="14">
        <f t="shared" si="30"/>
        <v>670137</v>
      </c>
      <c r="AI120" s="14">
        <f t="shared" si="31"/>
        <v>670137.03703703696</v>
      </c>
      <c r="AJ120" s="14">
        <f t="shared" si="21"/>
        <v>73715.074074074073</v>
      </c>
      <c r="AK120" s="14">
        <f>IF(I120=0,0,IF(G120=5,0,(AC120+AF120/12)*12*BASE!$C$5))</f>
        <v>726240</v>
      </c>
      <c r="AL120" s="14">
        <f>IF(I120=0,0,IF(G120=5,0,(AC120+AF120/12)*12*BASE!$C$7))</f>
        <v>1025280</v>
      </c>
      <c r="AM120" s="14">
        <f>IF(I120=0,0,IF(G120=5,0,(AC120+AF120/12)*12*BASE!$C$9))</f>
        <v>44599.68</v>
      </c>
      <c r="AN120" s="412">
        <f>IF(I120=0,0,IF(G120=5,0,(AD120+AF120+AG120)*BASE!$C$10))</f>
        <v>723747.99999999988</v>
      </c>
      <c r="AO120" s="837">
        <f t="shared" si="33"/>
        <v>11975501.235555556</v>
      </c>
      <c r="AP120" s="677">
        <f t="shared" si="32"/>
        <v>1.5719181502094346</v>
      </c>
      <c r="AQ120" s="1148"/>
      <c r="AR120" s="1149"/>
      <c r="CG120" s="179">
        <v>0</v>
      </c>
      <c r="CH120" s="181">
        <v>1</v>
      </c>
      <c r="CI120" s="182" t="s">
        <v>168</v>
      </c>
    </row>
    <row r="121" spans="1:87" ht="13.5" customHeight="1" outlineLevel="1" x14ac:dyDescent="0.2">
      <c r="A121" s="368" t="s">
        <v>560</v>
      </c>
      <c r="B121" s="477" t="s">
        <v>1070</v>
      </c>
      <c r="C121" s="427"/>
      <c r="D121" s="431">
        <f>IF(E121="","",VLOOKUP(E121,BASE!$F$20:$H$25,2,FALSE))</f>
        <v>4</v>
      </c>
      <c r="E121" s="399" t="s">
        <v>539</v>
      </c>
      <c r="F121" s="436" t="s">
        <v>863</v>
      </c>
      <c r="G121" s="437">
        <f>IF(F121="","",VLOOKUP(F121,BASE!$B$15:$C$18,2,FALSE))</f>
        <v>4</v>
      </c>
      <c r="H121" s="355">
        <v>21</v>
      </c>
      <c r="I121" s="423">
        <f t="shared" si="22"/>
        <v>21</v>
      </c>
      <c r="J121" s="399">
        <v>10</v>
      </c>
      <c r="K121" s="399">
        <v>4</v>
      </c>
      <c r="L121" s="399">
        <v>2</v>
      </c>
      <c r="M121" s="399">
        <v>1</v>
      </c>
      <c r="N121" s="354"/>
      <c r="O121" s="355">
        <f t="shared" si="23"/>
        <v>17</v>
      </c>
      <c r="P121" s="354"/>
      <c r="Q121" s="354"/>
      <c r="R121" s="355">
        <f t="shared" si="24"/>
        <v>0</v>
      </c>
      <c r="S121" s="354">
        <v>4</v>
      </c>
      <c r="T121" s="354"/>
      <c r="U121" s="354"/>
      <c r="V121" s="355">
        <f t="shared" si="25"/>
        <v>4</v>
      </c>
      <c r="W121" s="354"/>
      <c r="X121" s="477">
        <f t="shared" si="26"/>
        <v>21</v>
      </c>
      <c r="Y121" s="19" t="str">
        <f t="shared" si="27"/>
        <v xml:space="preserve">OK </v>
      </c>
      <c r="Z121" s="404" t="str">
        <f t="shared" si="28"/>
        <v xml:space="preserve"> </v>
      </c>
      <c r="AA121" s="478">
        <f>ROUND((IF(D121=1,(BASE!$G$51*I121),IF(D121=2,(BASE!$G$52*I121),IF(D121=3,(BASE!$G$53*I121),IF(D121=4,(BASE!$G$54*I121),IF(D121=5,(BASE!$G$55*I121),IF(D121=6,(BASE!$G$56*I121),0)))))))/1000,0)*1000</f>
        <v>2339000</v>
      </c>
      <c r="AB121" s="408">
        <v>0</v>
      </c>
      <c r="AC121" s="478">
        <f t="shared" si="29"/>
        <v>2339000</v>
      </c>
      <c r="AD121" s="478">
        <f>IF(G121=3,AC121*BASE!$I$62,IF(G121=1,AC121*(BASE!$I$61),IF(G121=2,AC121*(BASE!$I$63),AC121*BASE!$I$64)))</f>
        <v>26586633.333333336</v>
      </c>
      <c r="AE121" s="411">
        <f>IF(I121&lt;10,0,IF(AC121&lt;=BASE!$C$3*2,BASE!$C$2,0)*(AD121/AC121))</f>
        <v>0</v>
      </c>
      <c r="AF121" s="13">
        <v>0</v>
      </c>
      <c r="AG121" s="14">
        <f t="shared" si="20"/>
        <v>1477035.1851851854</v>
      </c>
      <c r="AH121" s="14">
        <f t="shared" si="30"/>
        <v>2338639</v>
      </c>
      <c r="AI121" s="14">
        <f t="shared" si="31"/>
        <v>2338639.0432098769</v>
      </c>
      <c r="AJ121" s="14">
        <f t="shared" si="21"/>
        <v>280636.68518518523</v>
      </c>
      <c r="AK121" s="14">
        <f>IF(I121=0,0,IF(G121=5,0,(AC121+AF121/12)*12*BASE!$C$5))</f>
        <v>2385780</v>
      </c>
      <c r="AL121" s="14">
        <f>IF(I121=0,0,IF(G121=5,0,(AC121+AF121/12)*12*BASE!$C$7))</f>
        <v>3368160</v>
      </c>
      <c r="AM121" s="14">
        <f>IF(I121=0,0,IF(G121=5,0,(AC121+AF121/12)*12*BASE!$C$9))</f>
        <v>146514.96</v>
      </c>
      <c r="AN121" s="412">
        <f>IF(I121=0,0,IF(G121=5,0,(AD121+AF121+AG121)*BASE!$C$10))</f>
        <v>2525730.166666667</v>
      </c>
      <c r="AO121" s="837">
        <f t="shared" si="33"/>
        <v>41447768.373580247</v>
      </c>
      <c r="AP121" s="677">
        <f t="shared" si="32"/>
        <v>1.5589701732417007</v>
      </c>
      <c r="AQ121" s="1148"/>
      <c r="AR121" s="1149"/>
      <c r="CG121" s="179">
        <v>0</v>
      </c>
      <c r="CH121" s="181">
        <v>1</v>
      </c>
      <c r="CI121" s="182" t="s">
        <v>168</v>
      </c>
    </row>
    <row r="122" spans="1:87" ht="13.5" customHeight="1" outlineLevel="1" x14ac:dyDescent="0.2">
      <c r="A122" s="368" t="s">
        <v>560</v>
      </c>
      <c r="B122" s="477" t="s">
        <v>1071</v>
      </c>
      <c r="C122" s="427"/>
      <c r="D122" s="431">
        <f>IF(E122="","",VLOOKUP(E122,BASE!$F$20:$H$25,2,FALSE))</f>
        <v>2</v>
      </c>
      <c r="E122" s="399" t="s">
        <v>541</v>
      </c>
      <c r="F122" s="436" t="s">
        <v>863</v>
      </c>
      <c r="G122" s="437">
        <f>IF(F122="","",VLOOKUP(F122,BASE!$B$15:$C$18,2,FALSE))</f>
        <v>4</v>
      </c>
      <c r="H122" s="355">
        <v>40</v>
      </c>
      <c r="I122" s="423">
        <f t="shared" si="22"/>
        <v>40</v>
      </c>
      <c r="J122" s="354">
        <v>10</v>
      </c>
      <c r="K122" s="354">
        <v>5</v>
      </c>
      <c r="L122" s="399">
        <v>5</v>
      </c>
      <c r="M122" s="354"/>
      <c r="N122" s="399">
        <v>2</v>
      </c>
      <c r="O122" s="355">
        <f t="shared" si="23"/>
        <v>22</v>
      </c>
      <c r="P122" s="354"/>
      <c r="Q122" s="354">
        <v>10</v>
      </c>
      <c r="R122" s="355">
        <f t="shared" si="24"/>
        <v>10</v>
      </c>
      <c r="S122" s="354">
        <v>8</v>
      </c>
      <c r="T122" s="354"/>
      <c r="U122" s="354"/>
      <c r="V122" s="355">
        <f t="shared" si="25"/>
        <v>8</v>
      </c>
      <c r="W122" s="354"/>
      <c r="X122" s="477">
        <f t="shared" si="26"/>
        <v>40</v>
      </c>
      <c r="Y122" s="19" t="str">
        <f t="shared" si="27"/>
        <v xml:space="preserve">OK </v>
      </c>
      <c r="Z122" s="404" t="str">
        <f t="shared" si="28"/>
        <v xml:space="preserve"> </v>
      </c>
      <c r="AA122" s="478">
        <f>ROUND((IF(D122=1,(BASE!$G$51*I122),IF(D122=2,(BASE!$G$52*I122),IF(D122=3,(BASE!$G$53*I122),IF(D122=4,(BASE!$G$54*I122),IF(D122=5,(BASE!$G$55*I122),IF(D122=6,(BASE!$G$56*I122),0)))))))/1000,0)*1000</f>
        <v>8016000</v>
      </c>
      <c r="AB122" s="408">
        <v>0</v>
      </c>
      <c r="AC122" s="478">
        <f t="shared" si="29"/>
        <v>8016000</v>
      </c>
      <c r="AD122" s="478">
        <f>IF(G122=3,AC122*BASE!$I$62,IF(G122=1,AC122*(BASE!$I$61),IF(G122=2,AC122*(BASE!$I$63),AC122*BASE!$I$64)))</f>
        <v>91115200</v>
      </c>
      <c r="AE122" s="411">
        <f>IF(I122&lt;10,0,IF(AC122&lt;=BASE!$C$3*2,BASE!$C$2,0)*(AD122/AC122))</f>
        <v>0</v>
      </c>
      <c r="AF122" s="13">
        <v>0</v>
      </c>
      <c r="AG122" s="14">
        <f t="shared" si="20"/>
        <v>5061955.555555555</v>
      </c>
      <c r="AH122" s="14">
        <f t="shared" si="30"/>
        <v>8014763</v>
      </c>
      <c r="AI122" s="14">
        <f t="shared" si="31"/>
        <v>8014762.9629629627</v>
      </c>
      <c r="AJ122" s="14">
        <f t="shared" si="21"/>
        <v>961771.5555555555</v>
      </c>
      <c r="AK122" s="14">
        <f>IF(I122=0,0,IF(G122=5,0,(AC122+AF122/12)*12*BASE!$C$5))</f>
        <v>8176320.0000000009</v>
      </c>
      <c r="AL122" s="14">
        <v>0</v>
      </c>
      <c r="AM122" s="14">
        <f>IF(I122=0,0,IF(G122=5,0,(AC122+AF122/12)*12*BASE!$C$9))</f>
        <v>502122.23999999999</v>
      </c>
      <c r="AN122" s="412">
        <f>IF(I122=0,0,IF(G122=5,0,(AD122+AF122+AG122)*BASE!$C$10))</f>
        <v>8655944</v>
      </c>
      <c r="AO122" s="837">
        <f t="shared" si="33"/>
        <v>130502839.31407405</v>
      </c>
      <c r="AP122" s="677">
        <f t="shared" si="32"/>
        <v>1.4322839582646369</v>
      </c>
      <c r="AQ122" s="1148"/>
      <c r="AR122" s="1149"/>
      <c r="CG122" s="179">
        <v>0</v>
      </c>
      <c r="CH122" s="181">
        <v>1</v>
      </c>
      <c r="CI122" s="182" t="s">
        <v>168</v>
      </c>
    </row>
    <row r="123" spans="1:87" ht="13.5" customHeight="1" outlineLevel="1" x14ac:dyDescent="0.2">
      <c r="A123" s="368" t="s">
        <v>560</v>
      </c>
      <c r="B123" s="477" t="s">
        <v>1072</v>
      </c>
      <c r="C123" s="427"/>
      <c r="D123" s="431">
        <f>IF(E123="","",VLOOKUP(E123,BASE!$F$20:$H$25,2,FALSE))</f>
        <v>4</v>
      </c>
      <c r="E123" s="399" t="s">
        <v>539</v>
      </c>
      <c r="F123" s="436" t="s">
        <v>546</v>
      </c>
      <c r="G123" s="437">
        <f>IF(F123="","",VLOOKUP(F123,BASE!$B$15:$C$18,2,FALSE))</f>
        <v>3</v>
      </c>
      <c r="H123" s="355">
        <v>10</v>
      </c>
      <c r="I123" s="423">
        <f t="shared" si="22"/>
        <v>10</v>
      </c>
      <c r="J123" s="354">
        <v>4</v>
      </c>
      <c r="K123" s="354">
        <v>2</v>
      </c>
      <c r="L123" s="399">
        <v>2</v>
      </c>
      <c r="M123" s="354"/>
      <c r="N123" s="399">
        <v>2</v>
      </c>
      <c r="O123" s="355">
        <f t="shared" si="23"/>
        <v>10</v>
      </c>
      <c r="P123" s="354"/>
      <c r="Q123" s="354"/>
      <c r="R123" s="355">
        <f t="shared" si="24"/>
        <v>0</v>
      </c>
      <c r="S123" s="354"/>
      <c r="T123" s="354"/>
      <c r="U123" s="354"/>
      <c r="V123" s="355">
        <f t="shared" si="25"/>
        <v>0</v>
      </c>
      <c r="W123" s="354"/>
      <c r="X123" s="477">
        <f t="shared" si="26"/>
        <v>10</v>
      </c>
      <c r="Y123" s="19" t="str">
        <f t="shared" si="27"/>
        <v xml:space="preserve">OK </v>
      </c>
      <c r="Z123" s="404" t="str">
        <f t="shared" si="28"/>
        <v xml:space="preserve"> </v>
      </c>
      <c r="AA123" s="478">
        <f>ROUND((IF(D123=1,(BASE!$G$51*I123),IF(D123=2,(BASE!$G$52*I123),IF(D123=3,(BASE!$G$53*I123),IF(D123=4,(BASE!$G$54*I123),IF(D123=5,(BASE!$G$55*I123),IF(D123=6,(BASE!$G$56*I123),0)))))))/1000,0)*1000</f>
        <v>1114000</v>
      </c>
      <c r="AB123" s="408">
        <v>0</v>
      </c>
      <c r="AC123" s="478">
        <f t="shared" si="29"/>
        <v>1114000</v>
      </c>
      <c r="AD123" s="478">
        <f>IF(G123=3,AC123*BASE!$I$62,IF(G123=1,AC123*(BASE!$I$61),IF(G123=2,AC123*(BASE!$I$63),AC123*BASE!$I$64)))</f>
        <v>11919800</v>
      </c>
      <c r="AE123" s="411">
        <f>IF(I123&lt;10,0,IF(AC123&lt;=BASE!$C$3*2,BASE!$C$2,0)*(AD123/AC123))</f>
        <v>943857.7</v>
      </c>
      <c r="AF123" s="13">
        <v>0</v>
      </c>
      <c r="AG123" s="14">
        <f t="shared" si="20"/>
        <v>662211.11111111112</v>
      </c>
      <c r="AH123" s="14">
        <f t="shared" si="30"/>
        <v>1127156</v>
      </c>
      <c r="AI123" s="14">
        <f t="shared" si="31"/>
        <v>1127155.7342592592</v>
      </c>
      <c r="AJ123" s="14">
        <f t="shared" si="21"/>
        <v>123987.13076851852</v>
      </c>
      <c r="AK123" s="14">
        <f>IF(I123=0,0,IF(G123=5,0,(AC123+AF123/12)*12*BASE!$C$5))</f>
        <v>1136280</v>
      </c>
      <c r="AL123" s="14">
        <f>IF(I123=0,0,IF(G123=5,0,(AC123+AF123/12)*12*BASE!$C$7))</f>
        <v>1604160</v>
      </c>
      <c r="AM123" s="14">
        <f>IF(I123=0,0,IF(G123=5,0,(AC123+AF123/12)*12*BASE!$C$9))</f>
        <v>69780.959999999992</v>
      </c>
      <c r="AN123" s="412">
        <f>IF(I123=0,0,IF(G123=5,0,(AD123+AF123+AG123)*BASE!$C$10))</f>
        <v>1132381</v>
      </c>
      <c r="AO123" s="837">
        <f t="shared" si="33"/>
        <v>19846769.63613889</v>
      </c>
      <c r="AP123" s="677">
        <f t="shared" si="32"/>
        <v>1.6650253893638223</v>
      </c>
      <c r="AQ123" s="1148"/>
      <c r="AR123" s="1149"/>
      <c r="CG123" s="179">
        <v>0</v>
      </c>
      <c r="CH123" s="181">
        <v>1</v>
      </c>
      <c r="CI123" s="182" t="s">
        <v>168</v>
      </c>
    </row>
    <row r="124" spans="1:87" ht="13.5" customHeight="1" outlineLevel="1" x14ac:dyDescent="0.2">
      <c r="A124" s="368" t="s">
        <v>560</v>
      </c>
      <c r="B124" s="477" t="s">
        <v>1073</v>
      </c>
      <c r="C124" s="427"/>
      <c r="D124" s="431">
        <f>IF(E124="","",VLOOKUP(E124,BASE!$F$20:$H$25,2,FALSE))</f>
        <v>1</v>
      </c>
      <c r="E124" s="399" t="s">
        <v>168</v>
      </c>
      <c r="F124" s="436" t="s">
        <v>258</v>
      </c>
      <c r="G124" s="437">
        <f>IF(F124="","",VLOOKUP(F124,BASE!$B$15:$C$18,2,FALSE))</f>
        <v>2</v>
      </c>
      <c r="H124" s="355">
        <v>40</v>
      </c>
      <c r="I124" s="423">
        <f t="shared" si="22"/>
        <v>40</v>
      </c>
      <c r="J124" s="399">
        <v>20</v>
      </c>
      <c r="K124" s="399">
        <v>8</v>
      </c>
      <c r="L124" s="399">
        <v>4</v>
      </c>
      <c r="M124" s="399">
        <v>3</v>
      </c>
      <c r="N124" s="399">
        <v>5</v>
      </c>
      <c r="O124" s="355">
        <f t="shared" si="23"/>
        <v>40</v>
      </c>
      <c r="P124" s="354"/>
      <c r="Q124" s="354"/>
      <c r="R124" s="355">
        <f t="shared" si="24"/>
        <v>0</v>
      </c>
      <c r="S124" s="354"/>
      <c r="T124" s="354"/>
      <c r="U124" s="354"/>
      <c r="V124" s="355">
        <f t="shared" si="25"/>
        <v>0</v>
      </c>
      <c r="W124" s="354"/>
      <c r="X124" s="477">
        <f t="shared" si="26"/>
        <v>40</v>
      </c>
      <c r="Y124" s="19" t="str">
        <f t="shared" si="27"/>
        <v xml:space="preserve">OK </v>
      </c>
      <c r="Z124" s="404" t="str">
        <f t="shared" si="28"/>
        <v xml:space="preserve"> </v>
      </c>
      <c r="AA124" s="478">
        <v>12365000</v>
      </c>
      <c r="AB124" s="408">
        <v>0</v>
      </c>
      <c r="AC124" s="478">
        <f t="shared" si="29"/>
        <v>12365000</v>
      </c>
      <c r="AD124" s="478">
        <f>IF(G124=3,AC124*BASE!$I$62,IF(G124=1,AC124*(BASE!$I$61),IF(G124=2,AC124*(BASE!$I$63),AC124*BASE!$I$64)))</f>
        <v>140548833.33333334</v>
      </c>
      <c r="AE124" s="411">
        <f>IF(I124&lt;10,0,IF(AC124&lt;=BASE!$C$3*2,BASE!$C$2,0)*(AD124/AC124))</f>
        <v>0</v>
      </c>
      <c r="AF124" s="13">
        <v>0</v>
      </c>
      <c r="AG124" s="14">
        <f t="shared" si="20"/>
        <v>7808268.5185185187</v>
      </c>
      <c r="AH124" s="14">
        <f t="shared" si="30"/>
        <v>12363092</v>
      </c>
      <c r="AI124" s="14">
        <f t="shared" si="31"/>
        <v>12363091.820987655</v>
      </c>
      <c r="AJ124" s="14">
        <f t="shared" si="21"/>
        <v>1483571.0185185184</v>
      </c>
      <c r="AK124" s="14">
        <f>IF(I124=0,0,IF(G124=5,0,(AC124+AF124/12)*12*BASE!$C$5))</f>
        <v>12612300</v>
      </c>
      <c r="AL124" s="14">
        <v>0</v>
      </c>
      <c r="AM124" s="14">
        <f>IF(I124=0,0,IF(G124=5,0,(AC124+AF124/12)*12*BASE!$C$9))</f>
        <v>774543.6</v>
      </c>
      <c r="AN124" s="412">
        <f>IF(I124=0,0,IF(G124=5,0,(AD124+AF124+AG124)*BASE!$C$10))</f>
        <v>13352139.166666666</v>
      </c>
      <c r="AO124" s="837">
        <f t="shared" si="33"/>
        <v>201305839.45802465</v>
      </c>
      <c r="AP124" s="677">
        <f t="shared" si="32"/>
        <v>1.4322839591318175</v>
      </c>
      <c r="AQ124" s="1148"/>
      <c r="AR124" s="1149"/>
      <c r="CG124" s="179">
        <v>0</v>
      </c>
      <c r="CH124" s="181">
        <v>1</v>
      </c>
      <c r="CI124" s="182" t="s">
        <v>168</v>
      </c>
    </row>
    <row r="125" spans="1:87" ht="13.5" customHeight="1" outlineLevel="1" x14ac:dyDescent="0.2">
      <c r="A125" s="368" t="s">
        <v>560</v>
      </c>
      <c r="B125" s="477" t="s">
        <v>1074</v>
      </c>
      <c r="C125" s="427"/>
      <c r="D125" s="431">
        <f>IF(E125="","",VLOOKUP(E125,BASE!$F$20:$H$25,2,FALSE))</f>
        <v>3</v>
      </c>
      <c r="E125" s="399" t="s">
        <v>540</v>
      </c>
      <c r="F125" s="436" t="s">
        <v>863</v>
      </c>
      <c r="G125" s="437">
        <f>IF(F125="","",VLOOKUP(F125,BASE!$B$15:$C$18,2,FALSE))</f>
        <v>4</v>
      </c>
      <c r="H125" s="355">
        <v>10</v>
      </c>
      <c r="I125" s="423">
        <f t="shared" si="22"/>
        <v>10</v>
      </c>
      <c r="J125" s="354">
        <v>4</v>
      </c>
      <c r="K125" s="354">
        <v>2</v>
      </c>
      <c r="L125" s="399">
        <v>2</v>
      </c>
      <c r="M125" s="399">
        <v>1</v>
      </c>
      <c r="N125" s="399">
        <v>1</v>
      </c>
      <c r="O125" s="355">
        <f t="shared" si="23"/>
        <v>10</v>
      </c>
      <c r="P125" s="354"/>
      <c r="Q125" s="354"/>
      <c r="R125" s="355">
        <f t="shared" si="24"/>
        <v>0</v>
      </c>
      <c r="S125" s="354"/>
      <c r="T125" s="354"/>
      <c r="U125" s="354"/>
      <c r="V125" s="355">
        <f t="shared" si="25"/>
        <v>0</v>
      </c>
      <c r="W125" s="354"/>
      <c r="X125" s="477">
        <f t="shared" si="26"/>
        <v>10</v>
      </c>
      <c r="Y125" s="19" t="str">
        <f t="shared" si="27"/>
        <v xml:space="preserve">OK </v>
      </c>
      <c r="Z125" s="404" t="str">
        <f t="shared" si="28"/>
        <v xml:space="preserve"> </v>
      </c>
      <c r="AA125" s="478">
        <f>ROUND((IF(D125=1,(BASE!$G$51*I125),IF(D125=2,(BASE!$G$52*I125),IF(D125=3,(BASE!$G$53*I125),IF(D125=4,(BASE!$G$54*I125),IF(D125=5,(BASE!$G$55*I125),IF(D125=6,(BASE!$G$56*I125),0)))))))/1000,0)*1000</f>
        <v>1368000</v>
      </c>
      <c r="AB125" s="408">
        <v>581000</v>
      </c>
      <c r="AC125" s="478">
        <f t="shared" si="29"/>
        <v>1949000</v>
      </c>
      <c r="AD125" s="478">
        <f>IF(G125=3,AC125*BASE!$I$62,IF(G125=1,AC125*(BASE!$I$61),IF(G125=2,AC125*(BASE!$I$63),AC125*BASE!$I$64)))</f>
        <v>22153633.333333336</v>
      </c>
      <c r="AE125" s="411">
        <f>IF(I125&lt;10,0,IF(AC125&lt;=BASE!$C$3*2,BASE!$C$2,0)*(AD125/AC125))</f>
        <v>0</v>
      </c>
      <c r="AF125" s="13">
        <v>0</v>
      </c>
      <c r="AG125" s="14">
        <f t="shared" si="20"/>
        <v>1230757.4074074074</v>
      </c>
      <c r="AH125" s="14">
        <f t="shared" si="30"/>
        <v>1948699</v>
      </c>
      <c r="AI125" s="14">
        <f t="shared" si="31"/>
        <v>1948699.2283950618</v>
      </c>
      <c r="AJ125" s="14">
        <f t="shared" si="21"/>
        <v>233843.90740740742</v>
      </c>
      <c r="AK125" s="14">
        <f>IF(I125=0,0,IF(G125=5,0,(AC125+AF125/12)*12*BASE!$C$5))</f>
        <v>1987980.0000000002</v>
      </c>
      <c r="AL125" s="14">
        <f>IF(I125=0,0,IF(G125=5,0,(AC125+AF125/12)*12*BASE!$C$7))</f>
        <v>2806560</v>
      </c>
      <c r="AM125" s="14">
        <f>IF(I125=0,0,IF(G125=5,0,(AC125+AF125/12)*12*BASE!$C$9))</f>
        <v>122085.36</v>
      </c>
      <c r="AN125" s="412">
        <f>IF(I125=0,0,IF(G125=5,0,(AD125+AF125+AG125)*BASE!$C$10))</f>
        <v>2104595.166666667</v>
      </c>
      <c r="AO125" s="837">
        <f t="shared" si="33"/>
        <v>34536853.40320988</v>
      </c>
      <c r="AP125" s="677">
        <f t="shared" si="32"/>
        <v>1.5589701645573506</v>
      </c>
      <c r="AQ125" s="1148"/>
      <c r="AR125" s="1149"/>
      <c r="CG125" s="179">
        <v>0</v>
      </c>
      <c r="CH125" s="181">
        <v>1</v>
      </c>
      <c r="CI125" s="182" t="s">
        <v>168</v>
      </c>
    </row>
    <row r="126" spans="1:87" ht="13.5" customHeight="1" outlineLevel="1" x14ac:dyDescent="0.2">
      <c r="A126" s="368" t="s">
        <v>561</v>
      </c>
      <c r="B126" s="477" t="s">
        <v>1075</v>
      </c>
      <c r="C126" s="427"/>
      <c r="D126" s="431">
        <f>IF(E126="","",VLOOKUP(E126,BASE!$F$20:$H$25,2,FALSE))</f>
        <v>2</v>
      </c>
      <c r="E126" s="399" t="s">
        <v>541</v>
      </c>
      <c r="F126" s="436" t="s">
        <v>258</v>
      </c>
      <c r="G126" s="437">
        <f>IF(F126="","",VLOOKUP(F126,BASE!$B$15:$C$18,2,FALSE))</f>
        <v>2</v>
      </c>
      <c r="H126" s="355">
        <v>27</v>
      </c>
      <c r="I126" s="423">
        <f t="shared" si="22"/>
        <v>27</v>
      </c>
      <c r="J126" s="399">
        <v>13</v>
      </c>
      <c r="K126" s="399">
        <v>6</v>
      </c>
      <c r="L126" s="399">
        <v>4</v>
      </c>
      <c r="M126" s="399">
        <v>4</v>
      </c>
      <c r="N126" s="354"/>
      <c r="O126" s="355">
        <f t="shared" si="23"/>
        <v>27</v>
      </c>
      <c r="P126" s="354"/>
      <c r="Q126" s="354"/>
      <c r="R126" s="355">
        <f t="shared" si="24"/>
        <v>0</v>
      </c>
      <c r="S126" s="354"/>
      <c r="T126" s="354"/>
      <c r="U126" s="354"/>
      <c r="V126" s="355">
        <f t="shared" si="25"/>
        <v>0</v>
      </c>
      <c r="W126" s="354"/>
      <c r="X126" s="477">
        <f t="shared" si="26"/>
        <v>27</v>
      </c>
      <c r="Y126" s="19" t="str">
        <f t="shared" si="27"/>
        <v xml:space="preserve">OK </v>
      </c>
      <c r="Z126" s="404" t="str">
        <f t="shared" si="28"/>
        <v xml:space="preserve"> </v>
      </c>
      <c r="AA126" s="478">
        <f>ROUND((IF(D126=1,(BASE!$G$51*I126),IF(D126=2,(BASE!$G$52*I126),IF(D126=3,(BASE!$G$53*I126),IF(D126=4,(BASE!$G$54*I126),IF(D126=5,(BASE!$G$55*I126),IF(D126=6,(BASE!$G$56*I126),0)))))))/1000,0)*1000</f>
        <v>5411000</v>
      </c>
      <c r="AB126" s="408">
        <v>1145000</v>
      </c>
      <c r="AC126" s="478">
        <f t="shared" si="29"/>
        <v>6556000</v>
      </c>
      <c r="AD126" s="478">
        <f>IF(G126=3,AC126*BASE!$I$62,IF(G126=1,AC126*(BASE!$I$61),IF(G126=2,AC126*(BASE!$I$63),AC126*BASE!$I$64)))</f>
        <v>74519866.666666672</v>
      </c>
      <c r="AE126" s="411">
        <f>IF(I126&lt;10,0,IF(AC126&lt;=BASE!$C$3*2,BASE!$C$2,0)*(AD126/AC126))</f>
        <v>0</v>
      </c>
      <c r="AF126" s="13">
        <v>0</v>
      </c>
      <c r="AG126" s="14">
        <f t="shared" si="20"/>
        <v>4139992.5925925928</v>
      </c>
      <c r="AH126" s="14">
        <f t="shared" si="30"/>
        <v>6554988</v>
      </c>
      <c r="AI126" s="14">
        <f t="shared" si="31"/>
        <v>6554988.2716049384</v>
      </c>
      <c r="AJ126" s="14">
        <f t="shared" si="21"/>
        <v>786598.59259259258</v>
      </c>
      <c r="AK126" s="14">
        <f>IF(I126=0,0,IF(G126=5,0,(AC126+AF126/12)*12*BASE!$C$5))</f>
        <v>6687120.0000000009</v>
      </c>
      <c r="AL126" s="14">
        <v>0</v>
      </c>
      <c r="AM126" s="14">
        <f>IF(I126=0,0,IF(G126=5,0,(AC126+AF126/12)*12*BASE!$C$9))</f>
        <v>410667.83999999997</v>
      </c>
      <c r="AN126" s="412">
        <f>IF(I126=0,0,IF(G126=5,0,(AD126+AF126+AG126)*BASE!$C$10))</f>
        <v>7079387.333333334</v>
      </c>
      <c r="AO126" s="837">
        <f t="shared" si="33"/>
        <v>106733609.29679014</v>
      </c>
      <c r="AP126" s="677">
        <f t="shared" si="32"/>
        <v>1.4322839542134196</v>
      </c>
      <c r="AQ126" s="1148"/>
      <c r="AR126" s="1149"/>
      <c r="CG126" s="179">
        <v>0</v>
      </c>
      <c r="CH126" s="181">
        <v>1</v>
      </c>
      <c r="CI126" s="182" t="s">
        <v>168</v>
      </c>
    </row>
    <row r="127" spans="1:87" ht="13.5" customHeight="1" outlineLevel="1" x14ac:dyDescent="0.2">
      <c r="A127" s="368" t="s">
        <v>562</v>
      </c>
      <c r="B127" s="477" t="s">
        <v>1076</v>
      </c>
      <c r="C127" s="427"/>
      <c r="D127" s="431">
        <f>IF(E127="","",VLOOKUP(E127,BASE!$F$20:$H$25,2,FALSE))</f>
        <v>4</v>
      </c>
      <c r="E127" s="399" t="s">
        <v>539</v>
      </c>
      <c r="F127" s="436" t="s">
        <v>258</v>
      </c>
      <c r="G127" s="437">
        <f>IF(F127="","",VLOOKUP(F127,BASE!$B$15:$C$18,2,FALSE))</f>
        <v>2</v>
      </c>
      <c r="H127" s="355">
        <v>40</v>
      </c>
      <c r="I127" s="423">
        <f t="shared" si="22"/>
        <v>40</v>
      </c>
      <c r="J127" s="399">
        <v>20</v>
      </c>
      <c r="K127" s="399">
        <v>8</v>
      </c>
      <c r="L127" s="399">
        <v>4</v>
      </c>
      <c r="M127" s="399">
        <v>3</v>
      </c>
      <c r="N127" s="399">
        <v>5</v>
      </c>
      <c r="O127" s="355">
        <f t="shared" si="23"/>
        <v>40</v>
      </c>
      <c r="P127" s="354"/>
      <c r="Q127" s="354"/>
      <c r="R127" s="355">
        <f t="shared" si="24"/>
        <v>0</v>
      </c>
      <c r="S127" s="354"/>
      <c r="T127" s="354"/>
      <c r="U127" s="354"/>
      <c r="V127" s="355">
        <f t="shared" si="25"/>
        <v>0</v>
      </c>
      <c r="W127" s="354"/>
      <c r="X127" s="477">
        <f t="shared" si="26"/>
        <v>40</v>
      </c>
      <c r="Y127" s="19" t="str">
        <f t="shared" si="27"/>
        <v xml:space="preserve">OK </v>
      </c>
      <c r="Z127" s="404" t="str">
        <f t="shared" si="28"/>
        <v xml:space="preserve"> </v>
      </c>
      <c r="AA127" s="478">
        <v>12365000</v>
      </c>
      <c r="AB127" s="408">
        <v>0</v>
      </c>
      <c r="AC127" s="478">
        <f t="shared" si="29"/>
        <v>12365000</v>
      </c>
      <c r="AD127" s="478">
        <f>IF(G127=3,AC127*BASE!$I$62,IF(G127=1,AC127*(BASE!$I$61),IF(G127=2,AC127*(BASE!$I$63),AC127*BASE!$I$64)))</f>
        <v>140548833.33333334</v>
      </c>
      <c r="AE127" s="411">
        <f>IF(I127&lt;10,0,IF(AC127&lt;=BASE!$C$3*2,BASE!$C$2,0)*(AD127/AC127))</f>
        <v>0</v>
      </c>
      <c r="AF127" s="13">
        <v>0</v>
      </c>
      <c r="AG127" s="14">
        <f t="shared" si="20"/>
        <v>7808268.5185185187</v>
      </c>
      <c r="AH127" s="14">
        <f t="shared" si="30"/>
        <v>12363092</v>
      </c>
      <c r="AI127" s="14">
        <f t="shared" si="31"/>
        <v>12363091.820987655</v>
      </c>
      <c r="AJ127" s="14">
        <f t="shared" si="21"/>
        <v>1483571.0185185184</v>
      </c>
      <c r="AK127" s="14">
        <f>IF(I127=0,0,IF(G127=5,0,(AC127+AF127/12)*12*BASE!$C$5))</f>
        <v>12612300</v>
      </c>
      <c r="AL127" s="14">
        <v>0</v>
      </c>
      <c r="AM127" s="14">
        <f>IF(I127=0,0,IF(G127=5,0,(AC127+AF127/12)*12*BASE!$C$9))</f>
        <v>774543.6</v>
      </c>
      <c r="AN127" s="412">
        <f>IF(I127=0,0,IF(G127=5,0,(AD127+AF127+AG127)*BASE!$C$10))</f>
        <v>13352139.166666666</v>
      </c>
      <c r="AO127" s="837">
        <f t="shared" si="33"/>
        <v>201305839.45802465</v>
      </c>
      <c r="AP127" s="677">
        <f t="shared" si="32"/>
        <v>1.4322839591318175</v>
      </c>
      <c r="AQ127" s="1148"/>
      <c r="AR127" s="1149"/>
      <c r="CG127" s="179">
        <v>0</v>
      </c>
      <c r="CH127" s="181">
        <v>1</v>
      </c>
      <c r="CI127" s="182" t="s">
        <v>168</v>
      </c>
    </row>
    <row r="128" spans="1:87" ht="13.5" customHeight="1" outlineLevel="1" x14ac:dyDescent="0.2">
      <c r="A128" s="368" t="s">
        <v>563</v>
      </c>
      <c r="B128" s="477" t="s">
        <v>1077</v>
      </c>
      <c r="C128" s="427"/>
      <c r="D128" s="431">
        <f>IF(E128="","",VLOOKUP(E128,BASE!$F$20:$H$25,2,FALSE))</f>
        <v>4</v>
      </c>
      <c r="E128" s="399" t="s">
        <v>539</v>
      </c>
      <c r="F128" s="436" t="s">
        <v>863</v>
      </c>
      <c r="G128" s="437">
        <f>IF(F128="","",VLOOKUP(F128,BASE!$B$15:$C$18,2,FALSE))</f>
        <v>4</v>
      </c>
      <c r="H128" s="355">
        <v>40</v>
      </c>
      <c r="I128" s="423">
        <f t="shared" si="22"/>
        <v>40</v>
      </c>
      <c r="J128" s="399">
        <v>8</v>
      </c>
      <c r="K128" s="399">
        <v>4</v>
      </c>
      <c r="L128" s="399">
        <v>2</v>
      </c>
      <c r="M128" s="399">
        <v>2</v>
      </c>
      <c r="N128" s="399">
        <v>2</v>
      </c>
      <c r="O128" s="355">
        <f t="shared" si="23"/>
        <v>18</v>
      </c>
      <c r="P128" s="399">
        <v>4</v>
      </c>
      <c r="Q128" s="399">
        <v>16</v>
      </c>
      <c r="R128" s="355">
        <f t="shared" si="24"/>
        <v>20</v>
      </c>
      <c r="S128" s="354"/>
      <c r="T128" s="354">
        <v>2</v>
      </c>
      <c r="U128" s="354"/>
      <c r="V128" s="355">
        <f t="shared" si="25"/>
        <v>2</v>
      </c>
      <c r="W128" s="354"/>
      <c r="X128" s="477">
        <f t="shared" si="26"/>
        <v>40</v>
      </c>
      <c r="Y128" s="19" t="str">
        <f t="shared" si="27"/>
        <v xml:space="preserve">OK </v>
      </c>
      <c r="Z128" s="404" t="str">
        <f t="shared" si="28"/>
        <v xml:space="preserve"> </v>
      </c>
      <c r="AA128" s="478">
        <f>ROUND((IF(D128=1,(BASE!$G$51*I128),IF(D128=2,(BASE!$G$52*I128),IF(D128=3,(BASE!$G$53*I128),IF(D128=4,(BASE!$G$54*I128),IF(D128=5,(BASE!$G$55*I128),IF(D128=6,(BASE!$G$56*I128),0)))))))/1000,0)*1000</f>
        <v>4456000</v>
      </c>
      <c r="AB128" s="408">
        <v>0</v>
      </c>
      <c r="AC128" s="478">
        <f t="shared" si="29"/>
        <v>4456000</v>
      </c>
      <c r="AD128" s="478">
        <f>IF(G128=3,AC128*BASE!$I$62,IF(G128=1,AC128*(BASE!$I$61),IF(G128=2,AC128*(BASE!$I$63),AC128*BASE!$I$64)))</f>
        <v>50649866.666666672</v>
      </c>
      <c r="AE128" s="411">
        <f>IF(I128&lt;10,0,IF(AC128&lt;=BASE!$C$3*2,BASE!$C$2,0)*(AD128/AC128))</f>
        <v>0</v>
      </c>
      <c r="AF128" s="13">
        <v>0</v>
      </c>
      <c r="AG128" s="14">
        <f t="shared" si="20"/>
        <v>2813881.4814814818</v>
      </c>
      <c r="AH128" s="14">
        <f t="shared" si="30"/>
        <v>4455312</v>
      </c>
      <c r="AI128" s="14">
        <f t="shared" si="31"/>
        <v>4455312.3456790131</v>
      </c>
      <c r="AJ128" s="14">
        <f t="shared" si="21"/>
        <v>534637.48148148158</v>
      </c>
      <c r="AK128" s="14">
        <f>IF(I128=0,0,IF(G128=5,0,(AC128+AF128/12)*12*BASE!$C$5))</f>
        <v>4545120</v>
      </c>
      <c r="AL128" s="14">
        <f>IF(I128=0,0,IF(G128=5,0,(AC128+AF128/12)*12*BASE!$C$7))</f>
        <v>6416640</v>
      </c>
      <c r="AM128" s="14">
        <f>IF(I128=0,0,IF(G128=5,0,(AC128+AF128/12)*12*BASE!$C$9))</f>
        <v>279123.83999999997</v>
      </c>
      <c r="AN128" s="412">
        <f>IF(I128=0,0,IF(G128=5,0,(AD128+AF128+AG128)*BASE!$C$10))</f>
        <v>4811737.333333334</v>
      </c>
      <c r="AO128" s="837">
        <f t="shared" si="33"/>
        <v>78961631.148641989</v>
      </c>
      <c r="AP128" s="677">
        <f t="shared" si="32"/>
        <v>1.558970168042074</v>
      </c>
      <c r="AQ128" s="1148"/>
      <c r="AR128" s="1149"/>
      <c r="CG128" s="179">
        <v>0</v>
      </c>
      <c r="CH128" s="181">
        <v>1</v>
      </c>
      <c r="CI128" s="182" t="s">
        <v>168</v>
      </c>
    </row>
    <row r="129" spans="1:87" ht="13.5" customHeight="1" outlineLevel="1" x14ac:dyDescent="0.2">
      <c r="A129" s="368" t="s">
        <v>564</v>
      </c>
      <c r="B129" s="477" t="s">
        <v>1078</v>
      </c>
      <c r="C129" s="427"/>
      <c r="D129" s="431">
        <f>IF(E129="","",VLOOKUP(E129,BASE!$F$20:$H$25,2,FALSE))</f>
        <v>2</v>
      </c>
      <c r="E129" s="399" t="s">
        <v>541</v>
      </c>
      <c r="F129" s="436" t="s">
        <v>546</v>
      </c>
      <c r="G129" s="437">
        <f>IF(F129="","",VLOOKUP(F129,BASE!$B$15:$C$18,2,FALSE))</f>
        <v>3</v>
      </c>
      <c r="H129" s="355">
        <v>20</v>
      </c>
      <c r="I129" s="423">
        <f t="shared" si="22"/>
        <v>20</v>
      </c>
      <c r="J129" s="354">
        <v>6</v>
      </c>
      <c r="K129" s="354">
        <v>3</v>
      </c>
      <c r="L129" s="399">
        <v>3</v>
      </c>
      <c r="M129" s="354"/>
      <c r="N129" s="399">
        <v>1</v>
      </c>
      <c r="O129" s="355">
        <f t="shared" si="23"/>
        <v>13</v>
      </c>
      <c r="P129" s="354"/>
      <c r="Q129" s="354"/>
      <c r="R129" s="355">
        <f t="shared" si="24"/>
        <v>0</v>
      </c>
      <c r="S129" s="354">
        <v>3</v>
      </c>
      <c r="T129" s="354"/>
      <c r="U129" s="354"/>
      <c r="V129" s="355">
        <f t="shared" si="25"/>
        <v>3</v>
      </c>
      <c r="W129" s="354">
        <v>4</v>
      </c>
      <c r="X129" s="477">
        <f t="shared" si="26"/>
        <v>20</v>
      </c>
      <c r="Y129" s="19" t="str">
        <f t="shared" si="27"/>
        <v xml:space="preserve">OK </v>
      </c>
      <c r="Z129" s="404" t="str">
        <f t="shared" si="28"/>
        <v xml:space="preserve"> </v>
      </c>
      <c r="AA129" s="478">
        <f>ROUND((IF(D129=1,(BASE!$G$51*I129),IF(D129=2,(BASE!$G$52*I129),IF(D129=3,(BASE!$G$53*I129),IF(D129=4,(BASE!$G$54*I129),IF(D129=5,(BASE!$G$55*I129),IF(D129=6,(BASE!$G$56*I129),0)))))))/1000,0)*1000</f>
        <v>4008000</v>
      </c>
      <c r="AB129" s="408">
        <v>0</v>
      </c>
      <c r="AC129" s="478">
        <f t="shared" si="29"/>
        <v>4008000</v>
      </c>
      <c r="AD129" s="478">
        <f>IF(G129=3,AC129*BASE!$I$62,IF(G129=1,AC129*(BASE!$I$61),IF(G129=2,AC129*(BASE!$I$63),AC129*BASE!$I$64)))</f>
        <v>42885600</v>
      </c>
      <c r="AE129" s="411">
        <f>IF(I129&lt;10,0,IF(AC129&lt;=BASE!$C$3*2,BASE!$C$2,0)*(AD129/AC129))</f>
        <v>0</v>
      </c>
      <c r="AF129" s="13">
        <v>0</v>
      </c>
      <c r="AG129" s="14">
        <f t="shared" si="20"/>
        <v>2382533.3333333335</v>
      </c>
      <c r="AH129" s="14">
        <f t="shared" si="30"/>
        <v>3772344</v>
      </c>
      <c r="AI129" s="14">
        <f t="shared" si="31"/>
        <v>3772344.4444444445</v>
      </c>
      <c r="AJ129" s="14">
        <f t="shared" si="21"/>
        <v>414957.88888888888</v>
      </c>
      <c r="AK129" s="14">
        <f>IF(I129=0,0,IF(G129=5,0,(AC129+AF129/12)*12*BASE!$C$5))</f>
        <v>4088160.0000000005</v>
      </c>
      <c r="AL129" s="14">
        <f>IF(I129=0,0,IF(G129=5,0,(AC129+AF129/12)*12*BASE!$C$7))</f>
        <v>5771520</v>
      </c>
      <c r="AM129" s="14">
        <f>IF(I129=0,0,IF(G129=5,0,(AC129+AF129/12)*12*BASE!$C$9))</f>
        <v>251061.12</v>
      </c>
      <c r="AN129" s="412">
        <f>IF(I129=0,0,IF(G129=5,0,(AD129+AF129+AG129)*BASE!$C$10))</f>
        <v>4074132</v>
      </c>
      <c r="AO129" s="837">
        <f t="shared" si="33"/>
        <v>67412652.786666662</v>
      </c>
      <c r="AP129" s="677">
        <f t="shared" si="32"/>
        <v>1.5719181447074697</v>
      </c>
      <c r="AQ129" s="1148"/>
      <c r="AR129" s="1149"/>
      <c r="CG129" s="179">
        <v>0</v>
      </c>
      <c r="CH129" s="181">
        <v>1</v>
      </c>
      <c r="CI129" s="182" t="s">
        <v>168</v>
      </c>
    </row>
    <row r="130" spans="1:87" ht="13.5" customHeight="1" outlineLevel="1" x14ac:dyDescent="0.2">
      <c r="A130" s="368" t="s">
        <v>564</v>
      </c>
      <c r="B130" s="477" t="s">
        <v>1079</v>
      </c>
      <c r="C130" s="427"/>
      <c r="D130" s="431">
        <f>IF(E130="","",VLOOKUP(E130,BASE!$F$20:$H$25,2,FALSE))</f>
        <v>2</v>
      </c>
      <c r="E130" s="399" t="s">
        <v>541</v>
      </c>
      <c r="F130" s="436" t="s">
        <v>546</v>
      </c>
      <c r="G130" s="437">
        <f>IF(F130="","",VLOOKUP(F130,BASE!$B$15:$C$18,2,FALSE))</f>
        <v>3</v>
      </c>
      <c r="H130" s="355">
        <v>20</v>
      </c>
      <c r="I130" s="423">
        <f t="shared" si="22"/>
        <v>20</v>
      </c>
      <c r="J130" s="399">
        <v>9</v>
      </c>
      <c r="K130" s="399">
        <v>3</v>
      </c>
      <c r="L130" s="399">
        <v>4</v>
      </c>
      <c r="M130" s="399">
        <v>1</v>
      </c>
      <c r="N130" s="399">
        <v>1</v>
      </c>
      <c r="O130" s="355">
        <f t="shared" si="23"/>
        <v>18</v>
      </c>
      <c r="P130" s="354"/>
      <c r="Q130" s="354"/>
      <c r="R130" s="355">
        <f t="shared" si="24"/>
        <v>0</v>
      </c>
      <c r="S130" s="354"/>
      <c r="T130" s="354"/>
      <c r="U130" s="354"/>
      <c r="V130" s="355">
        <f t="shared" si="25"/>
        <v>0</v>
      </c>
      <c r="W130" s="354">
        <v>2</v>
      </c>
      <c r="X130" s="477">
        <f t="shared" si="26"/>
        <v>20</v>
      </c>
      <c r="Y130" s="19" t="str">
        <f t="shared" si="27"/>
        <v xml:space="preserve">OK </v>
      </c>
      <c r="Z130" s="404" t="str">
        <f t="shared" si="28"/>
        <v xml:space="preserve"> </v>
      </c>
      <c r="AA130" s="478">
        <f>ROUND((IF(D130=1,(BASE!$G$51*I130),IF(D130=2,(BASE!$G$52*I130),IF(D130=3,(BASE!$G$53*I130),IF(D130=4,(BASE!$G$54*I130),IF(D130=5,(BASE!$G$55*I130),IF(D130=6,(BASE!$G$56*I130),0)))))))/1000,0)*1000</f>
        <v>4008000</v>
      </c>
      <c r="AB130" s="408">
        <v>775000</v>
      </c>
      <c r="AC130" s="478">
        <f t="shared" si="29"/>
        <v>4783000</v>
      </c>
      <c r="AD130" s="478">
        <f>IF(G130=3,AC130*BASE!$I$62,IF(G130=1,AC130*(BASE!$I$61),IF(G130=2,AC130*(BASE!$I$63),AC130*BASE!$I$64)))</f>
        <v>51178100</v>
      </c>
      <c r="AE130" s="411">
        <f>IF(I130&lt;10,0,IF(AC130&lt;=BASE!$C$3*2,BASE!$C$2,0)*(AD130/AC130))</f>
        <v>0</v>
      </c>
      <c r="AF130" s="13">
        <v>0</v>
      </c>
      <c r="AG130" s="14">
        <f t="shared" si="20"/>
        <v>2843227.777777778</v>
      </c>
      <c r="AH130" s="14">
        <f t="shared" si="30"/>
        <v>4501777</v>
      </c>
      <c r="AI130" s="14">
        <f t="shared" si="31"/>
        <v>4501777.3148148153</v>
      </c>
      <c r="AJ130" s="14">
        <f t="shared" si="21"/>
        <v>495195.50462962966</v>
      </c>
      <c r="AK130" s="14">
        <f>IF(I130=0,0,IF(G130=5,0,(AC130+AF130/12)*12*BASE!$C$5))</f>
        <v>4878660</v>
      </c>
      <c r="AL130" s="14">
        <v>0</v>
      </c>
      <c r="AM130" s="14">
        <f>IF(I130=0,0,IF(G130=5,0,(AC130+AF130/12)*12*BASE!$C$9))</f>
        <v>299607.12</v>
      </c>
      <c r="AN130" s="412">
        <f>IF(I130=0,0,IF(G130=5,0,(AD130+AF130+AG130)*BASE!$C$10))</f>
        <v>4861919.5</v>
      </c>
      <c r="AO130" s="837">
        <f t="shared" ref="AO130:AO152" si="34">+AD130+AE130+AF130+AG130+AH130+AI130+AJ130+AK130+AL130+AM130+AN130</f>
        <v>73560264.217222214</v>
      </c>
      <c r="AP130" s="677">
        <f t="shared" si="32"/>
        <v>1.4373387096672643</v>
      </c>
      <c r="AQ130" s="1150" t="s">
        <v>1445</v>
      </c>
      <c r="AR130" s="1149"/>
      <c r="CG130" s="179">
        <v>0</v>
      </c>
      <c r="CH130" s="181">
        <v>1</v>
      </c>
      <c r="CI130" s="182" t="s">
        <v>168</v>
      </c>
    </row>
    <row r="131" spans="1:87" ht="13.5" customHeight="1" outlineLevel="1" x14ac:dyDescent="0.2">
      <c r="A131" s="368" t="s">
        <v>564</v>
      </c>
      <c r="B131" s="477" t="s">
        <v>1080</v>
      </c>
      <c r="C131" s="427"/>
      <c r="D131" s="431">
        <f>IF(E131="","",VLOOKUP(E131,BASE!$F$20:$H$25,2,FALSE))</f>
        <v>2</v>
      </c>
      <c r="E131" s="399" t="s">
        <v>541</v>
      </c>
      <c r="F131" s="436" t="s">
        <v>863</v>
      </c>
      <c r="G131" s="437">
        <f>IF(F131="","",VLOOKUP(F131,BASE!$B$15:$C$18,2,FALSE))</f>
        <v>4</v>
      </c>
      <c r="H131" s="355">
        <v>40</v>
      </c>
      <c r="I131" s="423">
        <f t="shared" si="22"/>
        <v>40</v>
      </c>
      <c r="J131" s="399">
        <v>12</v>
      </c>
      <c r="K131" s="399">
        <v>2</v>
      </c>
      <c r="L131" s="399">
        <v>2</v>
      </c>
      <c r="M131" s="399">
        <v>2</v>
      </c>
      <c r="N131" s="399">
        <v>2</v>
      </c>
      <c r="O131" s="355">
        <f t="shared" si="23"/>
        <v>20</v>
      </c>
      <c r="P131" s="354"/>
      <c r="Q131" s="354"/>
      <c r="R131" s="355">
        <f t="shared" si="24"/>
        <v>0</v>
      </c>
      <c r="S131" s="354"/>
      <c r="T131" s="354"/>
      <c r="U131" s="354"/>
      <c r="V131" s="355">
        <f t="shared" si="25"/>
        <v>0</v>
      </c>
      <c r="W131" s="354">
        <v>20</v>
      </c>
      <c r="X131" s="477">
        <f t="shared" si="26"/>
        <v>40</v>
      </c>
      <c r="Y131" s="19" t="str">
        <f t="shared" si="27"/>
        <v xml:space="preserve">OK </v>
      </c>
      <c r="Z131" s="404" t="str">
        <f t="shared" si="28"/>
        <v xml:space="preserve"> </v>
      </c>
      <c r="AA131" s="478">
        <v>12365000</v>
      </c>
      <c r="AB131" s="408">
        <v>0</v>
      </c>
      <c r="AC131" s="478">
        <f t="shared" si="29"/>
        <v>12365000</v>
      </c>
      <c r="AD131" s="478">
        <f>IF(G131=3,AC131*BASE!$I$62,IF(G131=1,AC131*(BASE!$I$61),IF(G131=2,AC131*(BASE!$I$63),AC131*BASE!$I$64)))</f>
        <v>140548833.33333334</v>
      </c>
      <c r="AE131" s="411">
        <f>IF(I131&lt;10,0,IF(AC131&lt;=BASE!$C$3*2,BASE!$C$2,0)*(AD131/AC131))</f>
        <v>0</v>
      </c>
      <c r="AF131" s="13">
        <v>0</v>
      </c>
      <c r="AG131" s="14">
        <f t="shared" si="20"/>
        <v>7808268.5185185187</v>
      </c>
      <c r="AH131" s="14">
        <f t="shared" si="30"/>
        <v>12363092</v>
      </c>
      <c r="AI131" s="14">
        <f t="shared" si="31"/>
        <v>12363091.820987655</v>
      </c>
      <c r="AJ131" s="14">
        <f t="shared" si="21"/>
        <v>1483571.0185185184</v>
      </c>
      <c r="AK131" s="14">
        <f>IF(I131=0,0,IF(G131=5,0,(AC131+AF131/12)*12*BASE!$C$5))</f>
        <v>12612300</v>
      </c>
      <c r="AL131" s="14">
        <v>0</v>
      </c>
      <c r="AM131" s="14">
        <f>IF(I131=0,0,IF(G131=5,0,(AC131+AF131/12)*12*BASE!$C$9))</f>
        <v>774543.6</v>
      </c>
      <c r="AN131" s="412">
        <f>IF(I131=0,0,IF(G131=5,0,(AD131+AF131+AG131)*BASE!$C$10))</f>
        <v>13352139.166666666</v>
      </c>
      <c r="AO131" s="837">
        <f t="shared" si="34"/>
        <v>201305839.45802465</v>
      </c>
      <c r="AP131" s="677">
        <f t="shared" si="32"/>
        <v>1.4322839591318175</v>
      </c>
      <c r="AQ131" s="1148"/>
      <c r="AR131" s="1149"/>
      <c r="CG131" s="179">
        <v>0</v>
      </c>
      <c r="CH131" s="181">
        <v>1</v>
      </c>
      <c r="CI131" s="182" t="s">
        <v>168</v>
      </c>
    </row>
    <row r="132" spans="1:87" ht="13.5" customHeight="1" outlineLevel="1" x14ac:dyDescent="0.2">
      <c r="A132" s="368" t="s">
        <v>564</v>
      </c>
      <c r="B132" s="477" t="s">
        <v>1081</v>
      </c>
      <c r="C132" s="427"/>
      <c r="D132" s="431">
        <f>IF(E132="","",VLOOKUP(E132,BASE!$F$20:$H$25,2,FALSE))</f>
        <v>2</v>
      </c>
      <c r="E132" s="399" t="s">
        <v>541</v>
      </c>
      <c r="F132" s="436" t="s">
        <v>258</v>
      </c>
      <c r="G132" s="437">
        <f>IF(F132="","",VLOOKUP(F132,BASE!$B$15:$C$18,2,FALSE))</f>
        <v>2</v>
      </c>
      <c r="H132" s="355">
        <v>40</v>
      </c>
      <c r="I132" s="423">
        <f t="shared" si="22"/>
        <v>40</v>
      </c>
      <c r="J132" s="399">
        <v>9</v>
      </c>
      <c r="K132" s="399">
        <v>3</v>
      </c>
      <c r="L132" s="399">
        <v>3</v>
      </c>
      <c r="M132" s="354"/>
      <c r="N132" s="354"/>
      <c r="O132" s="355">
        <f t="shared" si="23"/>
        <v>15</v>
      </c>
      <c r="P132" s="354"/>
      <c r="Q132" s="354"/>
      <c r="R132" s="355">
        <f t="shared" si="24"/>
        <v>0</v>
      </c>
      <c r="S132" s="354"/>
      <c r="T132" s="354">
        <v>15</v>
      </c>
      <c r="U132" s="354"/>
      <c r="V132" s="355">
        <f t="shared" si="25"/>
        <v>15</v>
      </c>
      <c r="W132" s="399">
        <v>10</v>
      </c>
      <c r="X132" s="477">
        <f t="shared" si="26"/>
        <v>40</v>
      </c>
      <c r="Y132" s="19" t="str">
        <f t="shared" si="27"/>
        <v xml:space="preserve">OK </v>
      </c>
      <c r="Z132" s="404" t="str">
        <f t="shared" si="28"/>
        <v xml:space="preserve"> </v>
      </c>
      <c r="AA132" s="478">
        <f>ROUND((IF(D132=1,(BASE!$G$51*I132),IF(D132=2,(BASE!$G$52*I132),IF(D132=3,(BASE!$G$53*I132),IF(D132=4,(BASE!$G$54*I132),IF(D132=5,(BASE!$G$55*I132),IF(D132=6,(BASE!$G$56*I132),0)))))))/1000,0)*1000</f>
        <v>8016000</v>
      </c>
      <c r="AB132" s="408">
        <v>0</v>
      </c>
      <c r="AC132" s="478">
        <f t="shared" si="29"/>
        <v>8016000</v>
      </c>
      <c r="AD132" s="478">
        <f>IF(G132=3,AC132*BASE!$I$62,IF(G132=1,AC132*(BASE!$I$61),IF(G132=2,AC132*(BASE!$I$63),AC132*BASE!$I$64)))</f>
        <v>91115200</v>
      </c>
      <c r="AE132" s="411">
        <f>IF(I132&lt;10,0,IF(AC132&lt;=BASE!$C$3*2,BASE!$C$2,0)*(AD132/AC132))</f>
        <v>0</v>
      </c>
      <c r="AF132" s="13">
        <v>0</v>
      </c>
      <c r="AG132" s="14">
        <f t="shared" si="20"/>
        <v>5061955.555555555</v>
      </c>
      <c r="AH132" s="14">
        <f t="shared" si="30"/>
        <v>8014763</v>
      </c>
      <c r="AI132" s="14">
        <f t="shared" si="31"/>
        <v>8014762.9629629627</v>
      </c>
      <c r="AJ132" s="14">
        <f t="shared" si="21"/>
        <v>961771.5555555555</v>
      </c>
      <c r="AK132" s="14">
        <f>IF(I132=0,0,IF(G132=5,0,(AC132+AF132/12)*12*BASE!$C$5))</f>
        <v>8176320.0000000009</v>
      </c>
      <c r="AL132" s="14">
        <f>IF(I132=0,0,IF(G132=5,0,(AC132+AF132/12)*12*BASE!$C$7))</f>
        <v>11543040</v>
      </c>
      <c r="AM132" s="14">
        <f>IF(I132=0,0,IF(G132=5,0,(AC132+AF132/12)*12*BASE!$C$9))</f>
        <v>502122.23999999999</v>
      </c>
      <c r="AN132" s="412">
        <f>IF(I132=0,0,IF(G132=5,0,(AD132+AF132+AG132)*BASE!$C$10))</f>
        <v>8655944</v>
      </c>
      <c r="AO132" s="837">
        <f t="shared" si="34"/>
        <v>142045879.31407404</v>
      </c>
      <c r="AP132" s="677">
        <f t="shared" si="32"/>
        <v>1.5589701752734344</v>
      </c>
      <c r="AQ132" s="1148"/>
      <c r="AR132" s="1149"/>
      <c r="CG132" s="179">
        <v>0</v>
      </c>
      <c r="CH132" s="181">
        <v>1</v>
      </c>
      <c r="CI132" s="182" t="s">
        <v>168</v>
      </c>
    </row>
    <row r="133" spans="1:87" ht="13.5" customHeight="1" outlineLevel="1" x14ac:dyDescent="0.2">
      <c r="A133" s="368" t="s">
        <v>564</v>
      </c>
      <c r="B133" s="477" t="s">
        <v>1082</v>
      </c>
      <c r="C133" s="427"/>
      <c r="D133" s="431">
        <f>IF(E133="","",VLOOKUP(E133,BASE!$F$20:$H$25,2,FALSE))</f>
        <v>4</v>
      </c>
      <c r="E133" s="399" t="s">
        <v>539</v>
      </c>
      <c r="F133" s="436" t="s">
        <v>546</v>
      </c>
      <c r="G133" s="437">
        <f>IF(F133="","",VLOOKUP(F133,BASE!$B$15:$C$18,2,FALSE))</f>
        <v>3</v>
      </c>
      <c r="H133" s="355">
        <v>5</v>
      </c>
      <c r="I133" s="423">
        <f t="shared" si="22"/>
        <v>5</v>
      </c>
      <c r="J133" s="399">
        <v>2</v>
      </c>
      <c r="K133" s="399">
        <v>1</v>
      </c>
      <c r="L133" s="399">
        <v>1</v>
      </c>
      <c r="M133" s="399">
        <v>1</v>
      </c>
      <c r="N133" s="354"/>
      <c r="O133" s="355">
        <f t="shared" si="23"/>
        <v>5</v>
      </c>
      <c r="P133" s="354"/>
      <c r="Q133" s="354"/>
      <c r="R133" s="355">
        <f t="shared" si="24"/>
        <v>0</v>
      </c>
      <c r="S133" s="354"/>
      <c r="T133" s="354"/>
      <c r="U133" s="354"/>
      <c r="V133" s="355">
        <f t="shared" si="25"/>
        <v>0</v>
      </c>
      <c r="W133" s="354"/>
      <c r="X133" s="477">
        <f t="shared" si="26"/>
        <v>5</v>
      </c>
      <c r="Y133" s="19" t="str">
        <f t="shared" si="27"/>
        <v xml:space="preserve">OK </v>
      </c>
      <c r="Z133" s="404" t="str">
        <f t="shared" si="28"/>
        <v xml:space="preserve"> </v>
      </c>
      <c r="AA133" s="478">
        <f>ROUND((IF(D133=1,(BASE!$G$51*I133),IF(D133=2,(BASE!$G$52*I133),IF(D133=3,(BASE!$G$53*I133),IF(D133=4,(BASE!$G$54*I133),IF(D133=5,(BASE!$G$55*I133),IF(D133=6,(BASE!$G$56*I133),0)))))))/1000,0)*1000</f>
        <v>557000</v>
      </c>
      <c r="AB133" s="408">
        <v>0</v>
      </c>
      <c r="AC133" s="478">
        <f t="shared" si="29"/>
        <v>557000</v>
      </c>
      <c r="AD133" s="478">
        <f>IF(G133=3,AC133*BASE!$I$62,IF(G133=1,AC133*(BASE!$I$61),IF(G133=2,AC133*(BASE!$I$63),AC133*BASE!$I$64)))</f>
        <v>5959900</v>
      </c>
      <c r="AE133" s="411">
        <f>IF(I133&lt;10,0,IF(AC133&lt;=BASE!$C$3*2,BASE!$C$2,0)*(AD133/AC133))</f>
        <v>0</v>
      </c>
      <c r="AF133" s="13">
        <v>0</v>
      </c>
      <c r="AG133" s="14">
        <f t="shared" si="20"/>
        <v>331105.55555555556</v>
      </c>
      <c r="AH133" s="14">
        <f t="shared" si="30"/>
        <v>524250</v>
      </c>
      <c r="AI133" s="14">
        <f t="shared" si="31"/>
        <v>524250.46296296292</v>
      </c>
      <c r="AJ133" s="14">
        <f t="shared" si="21"/>
        <v>57667.55092592592</v>
      </c>
      <c r="AK133" s="14">
        <f>IF(I133=0,0,IF(G133=5,0,(AC133+AF133/12)*12*BASE!$C$5))</f>
        <v>568140</v>
      </c>
      <c r="AL133" s="14">
        <f>IF(I133=0,0,IF(G133=5,0,(AC133+AF133/12)*12*BASE!$C$7))</f>
        <v>802080</v>
      </c>
      <c r="AM133" s="14">
        <f>IF(I133=0,0,IF(G133=5,0,(AC133+AF133/12)*12*BASE!$C$9))</f>
        <v>34890.479999999996</v>
      </c>
      <c r="AN133" s="412">
        <f>IF(I133=0,0,IF(G133=5,0,(AD133+AF133+AG133)*BASE!$C$10))</f>
        <v>566190.5</v>
      </c>
      <c r="AO133" s="837">
        <f t="shared" si="34"/>
        <v>9368474.5494444445</v>
      </c>
      <c r="AP133" s="677">
        <f t="shared" si="32"/>
        <v>1.571918077391306</v>
      </c>
      <c r="AQ133" s="1148"/>
      <c r="AR133" s="1149"/>
      <c r="CG133" s="179">
        <v>0</v>
      </c>
      <c r="CH133" s="181">
        <v>1</v>
      </c>
      <c r="CI133" s="182" t="s">
        <v>168</v>
      </c>
    </row>
    <row r="134" spans="1:87" ht="13.5" customHeight="1" outlineLevel="1" x14ac:dyDescent="0.2">
      <c r="A134" s="368" t="s">
        <v>564</v>
      </c>
      <c r="B134" s="477" t="s">
        <v>1083</v>
      </c>
      <c r="C134" s="427"/>
      <c r="D134" s="431">
        <f>IF(E134="","",VLOOKUP(E134,BASE!$F$20:$H$25,2,FALSE))</f>
        <v>6</v>
      </c>
      <c r="E134" s="399" t="s">
        <v>537</v>
      </c>
      <c r="F134" s="436" t="s">
        <v>546</v>
      </c>
      <c r="G134" s="437">
        <f>IF(F134="","",VLOOKUP(F134,BASE!$B$15:$C$18,2,FALSE))</f>
        <v>3</v>
      </c>
      <c r="H134" s="355">
        <v>20</v>
      </c>
      <c r="I134" s="423">
        <f t="shared" si="22"/>
        <v>20</v>
      </c>
      <c r="J134" s="354">
        <v>10</v>
      </c>
      <c r="K134" s="354">
        <v>5</v>
      </c>
      <c r="L134" s="399">
        <v>2</v>
      </c>
      <c r="M134" s="354"/>
      <c r="N134" s="399">
        <v>3</v>
      </c>
      <c r="O134" s="355">
        <f t="shared" si="23"/>
        <v>20</v>
      </c>
      <c r="P134" s="354"/>
      <c r="Q134" s="354"/>
      <c r="R134" s="355">
        <f t="shared" si="24"/>
        <v>0</v>
      </c>
      <c r="S134" s="354"/>
      <c r="T134" s="354"/>
      <c r="U134" s="354"/>
      <c r="V134" s="355">
        <f t="shared" si="25"/>
        <v>0</v>
      </c>
      <c r="W134" s="354"/>
      <c r="X134" s="477">
        <f t="shared" si="26"/>
        <v>20</v>
      </c>
      <c r="Y134" s="19" t="str">
        <f t="shared" si="27"/>
        <v xml:space="preserve">OK </v>
      </c>
      <c r="Z134" s="404" t="str">
        <f t="shared" si="28"/>
        <v xml:space="preserve"> </v>
      </c>
      <c r="AA134" s="478">
        <f>ROUND((IF(D134=1,(BASE!$G$51*I134),IF(D134=2,(BASE!$G$52*I134),IF(D134=3,(BASE!$G$53*I134),IF(D134=4,(BASE!$G$54*I134),IF(D134=5,(BASE!$G$55*I134),IF(D134=6,(BASE!$G$56*I134),0)))))))/1000,0)*1000</f>
        <v>1400000</v>
      </c>
      <c r="AB134" s="408">
        <v>0</v>
      </c>
      <c r="AC134" s="478">
        <f t="shared" si="29"/>
        <v>1400000</v>
      </c>
      <c r="AD134" s="478">
        <f>IF(G134=3,AC134*BASE!$I$62,IF(G134=1,AC134*(BASE!$I$61),IF(G134=2,AC134*(BASE!$I$63),AC134*BASE!$I$64)))</f>
        <v>14979999.999999998</v>
      </c>
      <c r="AE134" s="411">
        <f>IF(I134&lt;10,0,IF(AC134&lt;=BASE!$C$3*2,BASE!$C$2,0)*(AD134/AC134))</f>
        <v>943857.7</v>
      </c>
      <c r="AF134" s="13">
        <v>0</v>
      </c>
      <c r="AG134" s="14">
        <f t="shared" si="20"/>
        <v>832222.22222222213</v>
      </c>
      <c r="AH134" s="14">
        <f t="shared" si="30"/>
        <v>1396340</v>
      </c>
      <c r="AI134" s="14">
        <f t="shared" si="31"/>
        <v>1396339.9935185185</v>
      </c>
      <c r="AJ134" s="14">
        <f t="shared" si="21"/>
        <v>153597.39928703703</v>
      </c>
      <c r="AK134" s="14">
        <f>IF(I134=0,0,IF(G134=5,0,(AC134+AF134/12)*12*BASE!$C$5))</f>
        <v>1428000</v>
      </c>
      <c r="AL134" s="14">
        <f>IF(I134=0,0,IF(G134=5,0,(AC134+AF134/12)*12*BASE!$C$7))</f>
        <v>2016000</v>
      </c>
      <c r="AM134" s="14">
        <f>IF(I134=0,0,IF(G134=5,0,(AC134+AF134/12)*12*BASE!$C$9))</f>
        <v>87696</v>
      </c>
      <c r="AN134" s="412">
        <f>IF(I134=0,0,IF(G134=5,0,(AD134+AF134+AG134)*BASE!$C$10))</f>
        <v>1423099.9999999998</v>
      </c>
      <c r="AO134" s="837">
        <f t="shared" si="34"/>
        <v>24657153.315027777</v>
      </c>
      <c r="AP134" s="677">
        <f t="shared" si="32"/>
        <v>1.6460048941941108</v>
      </c>
      <c r="AQ134" s="1148"/>
      <c r="AR134" s="1149"/>
      <c r="CG134" s="179">
        <v>0</v>
      </c>
      <c r="CH134" s="181">
        <v>1</v>
      </c>
      <c r="CI134" s="182" t="s">
        <v>168</v>
      </c>
    </row>
    <row r="135" spans="1:87" ht="13.5" customHeight="1" outlineLevel="1" x14ac:dyDescent="0.2">
      <c r="A135" s="368" t="s">
        <v>564</v>
      </c>
      <c r="B135" s="477" t="s">
        <v>1084</v>
      </c>
      <c r="C135" s="427"/>
      <c r="D135" s="431">
        <f>IF(E135="","",VLOOKUP(E135,BASE!$F$20:$H$25,2,FALSE))</f>
        <v>4</v>
      </c>
      <c r="E135" s="399" t="s">
        <v>539</v>
      </c>
      <c r="F135" s="436" t="s">
        <v>546</v>
      </c>
      <c r="G135" s="437">
        <f>IF(F135="","",VLOOKUP(F135,BASE!$B$15:$C$18,2,FALSE))</f>
        <v>3</v>
      </c>
      <c r="H135" s="355">
        <v>40</v>
      </c>
      <c r="I135" s="423">
        <f t="shared" si="22"/>
        <v>40</v>
      </c>
      <c r="J135" s="354">
        <v>10</v>
      </c>
      <c r="K135" s="354">
        <v>5</v>
      </c>
      <c r="L135" s="399">
        <v>2</v>
      </c>
      <c r="M135" s="354"/>
      <c r="N135" s="399">
        <v>3</v>
      </c>
      <c r="O135" s="355">
        <f t="shared" si="23"/>
        <v>20</v>
      </c>
      <c r="P135" s="399">
        <v>10</v>
      </c>
      <c r="Q135" s="354"/>
      <c r="R135" s="355">
        <f t="shared" si="24"/>
        <v>10</v>
      </c>
      <c r="S135" s="354"/>
      <c r="T135" s="354"/>
      <c r="U135" s="354"/>
      <c r="V135" s="355">
        <f t="shared" si="25"/>
        <v>0</v>
      </c>
      <c r="W135" s="354">
        <v>10</v>
      </c>
      <c r="X135" s="477">
        <f t="shared" si="26"/>
        <v>40</v>
      </c>
      <c r="Y135" s="19" t="str">
        <f t="shared" si="27"/>
        <v xml:space="preserve">OK </v>
      </c>
      <c r="Z135" s="404" t="str">
        <f t="shared" si="28"/>
        <v xml:space="preserve"> </v>
      </c>
      <c r="AA135" s="478">
        <f>ROUND((IF(D135=1,(BASE!$G$51*I135),IF(D135=2,(BASE!$G$52*I135),IF(D135=3,(BASE!$G$53*I135),IF(D135=4,(BASE!$G$54*I135),IF(D135=5,(BASE!$G$55*I135),IF(D135=6,(BASE!$G$56*I135),0)))))))/1000,0)*1000</f>
        <v>4456000</v>
      </c>
      <c r="AB135" s="408">
        <v>0</v>
      </c>
      <c r="AC135" s="478">
        <f t="shared" si="29"/>
        <v>4456000</v>
      </c>
      <c r="AD135" s="478">
        <f>IF(G135=3,AC135*BASE!$I$62,IF(G135=1,AC135*(BASE!$I$61),IF(G135=2,AC135*(BASE!$I$63),AC135*BASE!$I$64)))</f>
        <v>47679200</v>
      </c>
      <c r="AE135" s="411">
        <f>IF(I135&lt;10,0,IF(AC135&lt;=BASE!$C$3*2,BASE!$C$2,0)*(AD135/AC135))</f>
        <v>0</v>
      </c>
      <c r="AF135" s="13">
        <v>0</v>
      </c>
      <c r="AG135" s="14">
        <f t="shared" si="20"/>
        <v>2648844.4444444445</v>
      </c>
      <c r="AH135" s="14">
        <f t="shared" si="30"/>
        <v>4194004</v>
      </c>
      <c r="AI135" s="14">
        <f t="shared" si="31"/>
        <v>4194003.7037037034</v>
      </c>
      <c r="AJ135" s="14">
        <f t="shared" si="21"/>
        <v>461340.40740740736</v>
      </c>
      <c r="AK135" s="14">
        <f>IF(I135=0,0,IF(G135=5,0,(AC135+AF135/12)*12*BASE!$C$5))</f>
        <v>4545120</v>
      </c>
      <c r="AL135" s="14">
        <f>IF(I135=0,0,IF(G135=5,0,(AC135+AF135/12)*12*BASE!$C$7))</f>
        <v>6416640</v>
      </c>
      <c r="AM135" s="14">
        <f>IF(I135=0,0,IF(G135=5,0,(AC135+AF135/12)*12*BASE!$C$9))</f>
        <v>279123.83999999997</v>
      </c>
      <c r="AN135" s="412">
        <f>IF(I135=0,0,IF(G135=5,0,(AD135+AF135+AG135)*BASE!$C$10))</f>
        <v>4529524</v>
      </c>
      <c r="AO135" s="837">
        <f t="shared" si="34"/>
        <v>74947800.395555556</v>
      </c>
      <c r="AP135" s="677">
        <f t="shared" si="32"/>
        <v>1.571918161285331</v>
      </c>
      <c r="AQ135" s="1150" t="s">
        <v>1446</v>
      </c>
      <c r="AR135" s="1149"/>
      <c r="CG135" s="179">
        <v>0</v>
      </c>
      <c r="CH135" s="181">
        <v>1</v>
      </c>
      <c r="CI135" s="182" t="s">
        <v>168</v>
      </c>
    </row>
    <row r="136" spans="1:87" ht="13.5" customHeight="1" outlineLevel="1" x14ac:dyDescent="0.2">
      <c r="A136" s="368" t="s">
        <v>564</v>
      </c>
      <c r="B136" s="477" t="s">
        <v>1085</v>
      </c>
      <c r="C136" s="427"/>
      <c r="D136" s="431">
        <f>IF(E136="","",VLOOKUP(E136,BASE!$F$20:$H$25,2,FALSE))</f>
        <v>4</v>
      </c>
      <c r="E136" s="399" t="s">
        <v>539</v>
      </c>
      <c r="F136" s="436" t="s">
        <v>546</v>
      </c>
      <c r="G136" s="437">
        <f>IF(F136="","",VLOOKUP(F136,BASE!$B$15:$C$18,2,FALSE))</f>
        <v>3</v>
      </c>
      <c r="H136" s="355">
        <v>12</v>
      </c>
      <c r="I136" s="423">
        <v>0</v>
      </c>
      <c r="J136" s="399"/>
      <c r="K136" s="354"/>
      <c r="L136" s="354"/>
      <c r="M136" s="354"/>
      <c r="N136" s="354"/>
      <c r="O136" s="355">
        <f t="shared" si="23"/>
        <v>0</v>
      </c>
      <c r="P136" s="354"/>
      <c r="Q136" s="354"/>
      <c r="R136" s="355">
        <f t="shared" si="24"/>
        <v>0</v>
      </c>
      <c r="S136" s="354"/>
      <c r="T136" s="354"/>
      <c r="U136" s="354"/>
      <c r="V136" s="355">
        <f t="shared" si="25"/>
        <v>0</v>
      </c>
      <c r="W136" s="354"/>
      <c r="X136" s="477">
        <f t="shared" si="26"/>
        <v>0</v>
      </c>
      <c r="Y136" s="19" t="str">
        <f t="shared" si="27"/>
        <v xml:space="preserve">OK </v>
      </c>
      <c r="Z136" s="404" t="str">
        <f t="shared" si="28"/>
        <v>JUSTIFICAR</v>
      </c>
      <c r="AA136" s="478">
        <f>ROUND((IF(D136=1,(BASE!$G$51*I136),IF(D136=2,(BASE!$G$52*I136),IF(D136=3,(BASE!$G$53*I136),IF(D136=4,(BASE!$G$54*I136),IF(D136=5,(BASE!$G$55*I136),IF(D136=6,(BASE!$G$56*I136),0)))))))/1000,0)*1000</f>
        <v>0</v>
      </c>
      <c r="AB136" s="408">
        <v>0</v>
      </c>
      <c r="AC136" s="478">
        <f t="shared" si="29"/>
        <v>0</v>
      </c>
      <c r="AD136" s="478">
        <f>IF(G136=3,AC136*BASE!$I$62,IF(G136=1,AC136*(BASE!$I$61),IF(G136=2,AC136*(BASE!$I$63),AC136*BASE!$I$64)))</f>
        <v>0</v>
      </c>
      <c r="AE136" s="411">
        <f>IF(I136&lt;10,0,IF(AC136&lt;=BASE!$C$3*2,BASE!$C$2,0)*(AD136/AC136))</f>
        <v>0</v>
      </c>
      <c r="AF136" s="13">
        <v>0</v>
      </c>
      <c r="AG136" s="14">
        <f t="shared" si="20"/>
        <v>0</v>
      </c>
      <c r="AH136" s="14">
        <f t="shared" si="30"/>
        <v>0</v>
      </c>
      <c r="AI136" s="14">
        <f t="shared" si="31"/>
        <v>0</v>
      </c>
      <c r="AJ136" s="14">
        <f t="shared" si="21"/>
        <v>0</v>
      </c>
      <c r="AK136" s="14">
        <f>IF(I136=0,0,IF(G136=5,0,(AC136+AF136/12)*12*BASE!$C$5))</f>
        <v>0</v>
      </c>
      <c r="AL136" s="14">
        <f>IF(I136=0,0,IF(G136=5,0,(AC136+AF136/12)*12*BASE!$C$7))</f>
        <v>0</v>
      </c>
      <c r="AM136" s="14">
        <f>IF(I136=0,0,IF(G136=5,0,(AC136+AF136/12)*12*BASE!$C$9))</f>
        <v>0</v>
      </c>
      <c r="AN136" s="412">
        <f>IF(I136=0,0,IF(G136=5,0,(AD136+AF136+AG136)*BASE!$C$10))</f>
        <v>0</v>
      </c>
      <c r="AO136" s="837">
        <f t="shared" si="34"/>
        <v>0</v>
      </c>
      <c r="AP136" s="677" t="str">
        <f t="shared" si="32"/>
        <v>Sin datos</v>
      </c>
      <c r="AQ136" s="1150" t="s">
        <v>1362</v>
      </c>
      <c r="AR136" s="1149"/>
      <c r="CG136" s="179">
        <v>0</v>
      </c>
      <c r="CH136" s="181">
        <v>1</v>
      </c>
      <c r="CI136" s="182" t="s">
        <v>168</v>
      </c>
    </row>
    <row r="137" spans="1:87" ht="13.5" customHeight="1" outlineLevel="1" x14ac:dyDescent="0.2">
      <c r="A137" s="368" t="s">
        <v>564</v>
      </c>
      <c r="B137" s="477" t="s">
        <v>1086</v>
      </c>
      <c r="C137" s="427"/>
      <c r="D137" s="431">
        <f>IF(E137="","",VLOOKUP(E137,BASE!$F$20:$H$25,2,FALSE))</f>
        <v>4</v>
      </c>
      <c r="E137" s="399" t="s">
        <v>539</v>
      </c>
      <c r="F137" s="436" t="s">
        <v>863</v>
      </c>
      <c r="G137" s="437">
        <f>IF(F137="","",VLOOKUP(F137,BASE!$B$15:$C$18,2,FALSE))</f>
        <v>4</v>
      </c>
      <c r="H137" s="355">
        <v>40</v>
      </c>
      <c r="I137" s="423">
        <v>0</v>
      </c>
      <c r="J137" s="354"/>
      <c r="K137" s="354"/>
      <c r="L137" s="399"/>
      <c r="M137" s="354"/>
      <c r="N137" s="399"/>
      <c r="O137" s="355">
        <f t="shared" si="23"/>
        <v>0</v>
      </c>
      <c r="P137" s="354"/>
      <c r="Q137" s="354"/>
      <c r="R137" s="355">
        <f t="shared" si="24"/>
        <v>0</v>
      </c>
      <c r="S137" s="354"/>
      <c r="T137" s="354"/>
      <c r="U137" s="354"/>
      <c r="V137" s="355">
        <f t="shared" si="25"/>
        <v>0</v>
      </c>
      <c r="W137" s="354"/>
      <c r="X137" s="477">
        <f t="shared" si="26"/>
        <v>0</v>
      </c>
      <c r="Y137" s="19" t="str">
        <f t="shared" si="27"/>
        <v xml:space="preserve">OK </v>
      </c>
      <c r="Z137" s="404" t="str">
        <f t="shared" si="28"/>
        <v>JUSTIFICAR</v>
      </c>
      <c r="AA137" s="478">
        <f>ROUND((IF(D137=1,(BASE!$G$51*I137),IF(D137=2,(BASE!$G$52*I137),IF(D137=3,(BASE!$G$53*I137),IF(D137=4,(BASE!$G$54*I137),IF(D137=5,(BASE!$G$55*I137),IF(D137=6,(BASE!$G$56*I137),0)))))))/1000,0)*1000</f>
        <v>0</v>
      </c>
      <c r="AB137" s="408">
        <v>0</v>
      </c>
      <c r="AC137" s="478">
        <f t="shared" si="29"/>
        <v>0</v>
      </c>
      <c r="AD137" s="478">
        <f>IF(G137=3,AC137*BASE!$I$62,IF(G137=1,AC137*(BASE!$I$61),IF(G137=2,AC137*(BASE!$I$63),AC137*BASE!$I$64)))</f>
        <v>0</v>
      </c>
      <c r="AE137" s="411">
        <f>IF(I137&lt;10,0,IF(AC137&lt;=BASE!$C$3*2,BASE!$C$2,0)*(AD137/AC137))</f>
        <v>0</v>
      </c>
      <c r="AF137" s="13">
        <v>0</v>
      </c>
      <c r="AG137" s="14">
        <f t="shared" si="20"/>
        <v>0</v>
      </c>
      <c r="AH137" s="14">
        <f t="shared" si="30"/>
        <v>0</v>
      </c>
      <c r="AI137" s="14">
        <f t="shared" si="31"/>
        <v>0</v>
      </c>
      <c r="AJ137" s="14">
        <f t="shared" si="21"/>
        <v>0</v>
      </c>
      <c r="AK137" s="14">
        <f>IF(I137=0,0,IF(G137=5,0,(AC137+AF137/12)*12*BASE!$C$5))</f>
        <v>0</v>
      </c>
      <c r="AL137" s="14">
        <f>IF(I137=0,0,IF(G137=5,0,(AC137+AF137/12)*12*BASE!$C$7))</f>
        <v>0</v>
      </c>
      <c r="AM137" s="14">
        <f>IF(I137=0,0,IF(G137=5,0,(AC137+AF137/12)*12*BASE!$C$9))</f>
        <v>0</v>
      </c>
      <c r="AN137" s="412">
        <f>IF(I137=0,0,IF(G137=5,0,(AD137+AF137+AG137)*BASE!$C$10))</f>
        <v>0</v>
      </c>
      <c r="AO137" s="837">
        <f t="shared" si="34"/>
        <v>0</v>
      </c>
      <c r="AP137" s="677" t="str">
        <f t="shared" si="32"/>
        <v>Sin datos</v>
      </c>
      <c r="AQ137" s="1150" t="s">
        <v>1424</v>
      </c>
      <c r="AR137" s="1149"/>
      <c r="CG137" s="179">
        <v>0</v>
      </c>
      <c r="CH137" s="181">
        <v>1</v>
      </c>
      <c r="CI137" s="182" t="s">
        <v>168</v>
      </c>
    </row>
    <row r="138" spans="1:87" ht="13.5" customHeight="1" outlineLevel="1" x14ac:dyDescent="0.2">
      <c r="A138" s="368" t="s">
        <v>564</v>
      </c>
      <c r="B138" s="477" t="s">
        <v>1087</v>
      </c>
      <c r="C138" s="427"/>
      <c r="D138" s="431">
        <f>IF(E138="","",VLOOKUP(E138,BASE!$F$20:$H$25,2,FALSE))</f>
        <v>2</v>
      </c>
      <c r="E138" s="399" t="s">
        <v>541</v>
      </c>
      <c r="F138" s="436" t="s">
        <v>546</v>
      </c>
      <c r="G138" s="437">
        <f>IF(F138="","",VLOOKUP(F138,BASE!$B$15:$C$18,2,FALSE))</f>
        <v>3</v>
      </c>
      <c r="H138" s="355">
        <v>20</v>
      </c>
      <c r="I138" s="423">
        <f t="shared" si="22"/>
        <v>20</v>
      </c>
      <c r="J138" s="399">
        <v>12</v>
      </c>
      <c r="K138" s="399">
        <v>5</v>
      </c>
      <c r="L138" s="399">
        <v>3</v>
      </c>
      <c r="M138" s="354"/>
      <c r="N138" s="354"/>
      <c r="O138" s="355">
        <f t="shared" si="23"/>
        <v>20</v>
      </c>
      <c r="P138" s="354"/>
      <c r="Q138" s="354"/>
      <c r="R138" s="355">
        <f t="shared" si="24"/>
        <v>0</v>
      </c>
      <c r="S138" s="354"/>
      <c r="T138" s="354"/>
      <c r="U138" s="354"/>
      <c r="V138" s="355">
        <f t="shared" si="25"/>
        <v>0</v>
      </c>
      <c r="W138" s="354"/>
      <c r="X138" s="477">
        <f t="shared" si="26"/>
        <v>20</v>
      </c>
      <c r="Y138" s="19" t="str">
        <f t="shared" si="27"/>
        <v xml:space="preserve">OK </v>
      </c>
      <c r="Z138" s="404" t="str">
        <f t="shared" si="28"/>
        <v xml:space="preserve"> </v>
      </c>
      <c r="AA138" s="478">
        <f>ROUND((IF(D138=1,(BASE!$G$51*I138),IF(D138=2,(BASE!$G$52*I138),IF(D138=3,(BASE!$G$53*I138),IF(D138=4,(BASE!$G$54*I138),IF(D138=5,(BASE!$G$55*I138),IF(D138=6,(BASE!$G$56*I138),0)))))))/1000,0)*1000</f>
        <v>4008000</v>
      </c>
      <c r="AB138" s="408">
        <v>0</v>
      </c>
      <c r="AC138" s="478">
        <f t="shared" si="29"/>
        <v>4008000</v>
      </c>
      <c r="AD138" s="478">
        <f>IF(G138=3,AC138*BASE!$I$62,IF(G138=1,AC138*(BASE!$I$61),IF(G138=2,AC138*(BASE!$I$63),AC138*BASE!$I$64)))</f>
        <v>42885600</v>
      </c>
      <c r="AE138" s="411">
        <f>IF(I138&lt;10,0,IF(AC138&lt;=BASE!$C$3*2,BASE!$C$2,0)*(AD138/AC138))</f>
        <v>0</v>
      </c>
      <c r="AF138" s="13">
        <v>0</v>
      </c>
      <c r="AG138" s="14">
        <f t="shared" si="20"/>
        <v>2382533.3333333335</v>
      </c>
      <c r="AH138" s="14">
        <f t="shared" si="30"/>
        <v>3772344</v>
      </c>
      <c r="AI138" s="14">
        <f t="shared" si="31"/>
        <v>3772344.4444444445</v>
      </c>
      <c r="AJ138" s="14">
        <f t="shared" si="21"/>
        <v>414957.88888888888</v>
      </c>
      <c r="AK138" s="14">
        <f>IF(I138=0,0,IF(G138=5,0,(AC138+AF138/12)*12*BASE!$C$5))</f>
        <v>4088160.0000000005</v>
      </c>
      <c r="AL138" s="14">
        <v>0</v>
      </c>
      <c r="AM138" s="14">
        <f>IF(I138=0,0,IF(G138=5,0,(AC138+AF138/12)*12*BASE!$C$9))</f>
        <v>251061.12</v>
      </c>
      <c r="AN138" s="412">
        <f>IF(I138=0,0,IF(G138=5,0,(AD138+AF138+AG138)*BASE!$C$10))</f>
        <v>4074132</v>
      </c>
      <c r="AO138" s="837">
        <f t="shared" si="34"/>
        <v>61641132.786666669</v>
      </c>
      <c r="AP138" s="677">
        <f t="shared" si="32"/>
        <v>1.4373387054551334</v>
      </c>
      <c r="AQ138" s="1148"/>
      <c r="AR138" s="1149"/>
      <c r="CG138" s="179">
        <v>0</v>
      </c>
      <c r="CH138" s="181">
        <v>1</v>
      </c>
      <c r="CI138" s="182" t="s">
        <v>168</v>
      </c>
    </row>
    <row r="139" spans="1:87" ht="13.5" customHeight="1" outlineLevel="1" x14ac:dyDescent="0.2">
      <c r="A139" s="368" t="s">
        <v>564</v>
      </c>
      <c r="B139" s="477" t="s">
        <v>1088</v>
      </c>
      <c r="C139" s="427"/>
      <c r="D139" s="431">
        <f>IF(E139="","",VLOOKUP(E139,BASE!$F$20:$H$25,2,FALSE))</f>
        <v>2</v>
      </c>
      <c r="E139" s="399" t="s">
        <v>541</v>
      </c>
      <c r="F139" s="436" t="s">
        <v>258</v>
      </c>
      <c r="G139" s="437">
        <f>IF(F139="","",VLOOKUP(F139,BASE!$B$15:$C$18,2,FALSE))</f>
        <v>2</v>
      </c>
      <c r="H139" s="355">
        <v>40</v>
      </c>
      <c r="I139" s="423">
        <f t="shared" si="22"/>
        <v>40</v>
      </c>
      <c r="J139" s="354"/>
      <c r="K139" s="354"/>
      <c r="L139" s="354"/>
      <c r="M139" s="354"/>
      <c r="N139" s="354"/>
      <c r="O139" s="355">
        <f t="shared" si="23"/>
        <v>0</v>
      </c>
      <c r="P139" s="354"/>
      <c r="Q139" s="354"/>
      <c r="R139" s="355">
        <f t="shared" si="24"/>
        <v>0</v>
      </c>
      <c r="S139" s="354"/>
      <c r="T139" s="354"/>
      <c r="U139" s="354"/>
      <c r="V139" s="355">
        <f t="shared" si="25"/>
        <v>0</v>
      </c>
      <c r="W139" s="354">
        <v>40</v>
      </c>
      <c r="X139" s="477">
        <f t="shared" si="26"/>
        <v>40</v>
      </c>
      <c r="Y139" s="19" t="str">
        <f t="shared" si="27"/>
        <v xml:space="preserve">OK </v>
      </c>
      <c r="Z139" s="404" t="str">
        <f t="shared" si="28"/>
        <v xml:space="preserve"> </v>
      </c>
      <c r="AA139" s="478">
        <v>12365000</v>
      </c>
      <c r="AB139" s="408">
        <v>0</v>
      </c>
      <c r="AC139" s="478">
        <f t="shared" si="29"/>
        <v>12365000</v>
      </c>
      <c r="AD139" s="478">
        <f>IF(G139=3,AC139*BASE!$I$62,IF(G139=1,AC139*(BASE!$I$61),IF(G139=2,AC139*(BASE!$I$63),AC139*BASE!$I$64)))</f>
        <v>140548833.33333334</v>
      </c>
      <c r="AE139" s="411">
        <f>IF(I139&lt;10,0,IF(AC139&lt;=BASE!$C$3*2,BASE!$C$2,0)*(AD139/AC139))</f>
        <v>0</v>
      </c>
      <c r="AF139" s="13">
        <v>0</v>
      </c>
      <c r="AG139" s="14">
        <f t="shared" si="20"/>
        <v>7808268.5185185187</v>
      </c>
      <c r="AH139" s="14">
        <f t="shared" si="30"/>
        <v>12363092</v>
      </c>
      <c r="AI139" s="14">
        <f t="shared" si="31"/>
        <v>12363091.820987655</v>
      </c>
      <c r="AJ139" s="14">
        <f t="shared" si="21"/>
        <v>1483571.0185185184</v>
      </c>
      <c r="AK139" s="14">
        <f>IF(I139=0,0,IF(G139=5,0,(AC139+AF139/12)*12*BASE!$C$5))</f>
        <v>12612300</v>
      </c>
      <c r="AL139" s="14">
        <v>0</v>
      </c>
      <c r="AM139" s="14">
        <f>IF(I139=0,0,IF(G139=5,0,(AC139+AF139/12)*12*BASE!$C$9))</f>
        <v>774543.6</v>
      </c>
      <c r="AN139" s="412">
        <f>IF(I139=0,0,IF(G139=5,0,(AD139+AF139+AG139)*BASE!$C$10))</f>
        <v>13352139.166666666</v>
      </c>
      <c r="AO139" s="837">
        <f t="shared" si="34"/>
        <v>201305839.45802465</v>
      </c>
      <c r="AP139" s="677">
        <f t="shared" si="32"/>
        <v>1.4322839591318175</v>
      </c>
      <c r="AQ139" s="1148"/>
      <c r="AR139" s="1149"/>
      <c r="CG139" s="179">
        <v>0</v>
      </c>
      <c r="CH139" s="181">
        <v>1</v>
      </c>
      <c r="CI139" s="182" t="s">
        <v>168</v>
      </c>
    </row>
    <row r="140" spans="1:87" ht="13.5" customHeight="1" outlineLevel="1" x14ac:dyDescent="0.2">
      <c r="A140" s="368" t="s">
        <v>564</v>
      </c>
      <c r="B140" s="477" t="s">
        <v>1089</v>
      </c>
      <c r="C140" s="427"/>
      <c r="D140" s="431">
        <f>IF(E140="","",VLOOKUP(E140,BASE!$F$20:$H$25,2,FALSE))</f>
        <v>6</v>
      </c>
      <c r="E140" s="399" t="s">
        <v>537</v>
      </c>
      <c r="F140" s="436" t="s">
        <v>546</v>
      </c>
      <c r="G140" s="437">
        <f>IF(F140="","",VLOOKUP(F140,BASE!$B$15:$C$18,2,FALSE))</f>
        <v>3</v>
      </c>
      <c r="H140" s="355">
        <v>40</v>
      </c>
      <c r="I140" s="423">
        <f t="shared" si="22"/>
        <v>40</v>
      </c>
      <c r="J140" s="354">
        <v>18</v>
      </c>
      <c r="K140" s="354">
        <v>8</v>
      </c>
      <c r="L140" s="399">
        <v>4</v>
      </c>
      <c r="M140" s="399">
        <v>5</v>
      </c>
      <c r="N140" s="399">
        <v>3</v>
      </c>
      <c r="O140" s="355">
        <f t="shared" si="23"/>
        <v>38</v>
      </c>
      <c r="P140" s="354"/>
      <c r="Q140" s="399">
        <v>2</v>
      </c>
      <c r="R140" s="355">
        <f t="shared" si="24"/>
        <v>2</v>
      </c>
      <c r="S140" s="354"/>
      <c r="T140" s="354"/>
      <c r="U140" s="354"/>
      <c r="V140" s="355">
        <f t="shared" si="25"/>
        <v>0</v>
      </c>
      <c r="W140" s="354"/>
      <c r="X140" s="477">
        <f t="shared" si="26"/>
        <v>40</v>
      </c>
      <c r="Y140" s="19" t="str">
        <f t="shared" si="27"/>
        <v xml:space="preserve">OK </v>
      </c>
      <c r="Z140" s="404" t="str">
        <f t="shared" si="28"/>
        <v xml:space="preserve"> </v>
      </c>
      <c r="AA140" s="478">
        <f>ROUND((IF(D140=1,(BASE!$G$51*I140),IF(D140=2,(BASE!$G$52*I140),IF(D140=3,(BASE!$G$53*I140),IF(D140=4,(BASE!$G$54*I140),IF(D140=5,(BASE!$G$55*I140),IF(D140=6,(BASE!$G$56*I140),0)))))))/1000,0)*1000</f>
        <v>2800000</v>
      </c>
      <c r="AB140" s="408">
        <v>0</v>
      </c>
      <c r="AC140" s="478">
        <f t="shared" si="29"/>
        <v>2800000</v>
      </c>
      <c r="AD140" s="478">
        <f>IF(G140=3,AC140*BASE!$I$62,IF(G140=1,AC140*(BASE!$I$61),IF(G140=2,AC140*(BASE!$I$63),AC140*BASE!$I$64)))</f>
        <v>29959999.999999996</v>
      </c>
      <c r="AE140" s="411">
        <f>IF(I140&lt;10,0,IF(AC140&lt;=BASE!$C$3*2,BASE!$C$2,0)*(AD140/AC140))</f>
        <v>0</v>
      </c>
      <c r="AF140" s="13">
        <v>0</v>
      </c>
      <c r="AG140" s="14">
        <f t="shared" si="20"/>
        <v>1664444.4444444443</v>
      </c>
      <c r="AH140" s="14">
        <f t="shared" si="30"/>
        <v>2635370</v>
      </c>
      <c r="AI140" s="14">
        <f t="shared" si="31"/>
        <v>2635370.3703703703</v>
      </c>
      <c r="AJ140" s="14">
        <f t="shared" si="21"/>
        <v>289890.74074074073</v>
      </c>
      <c r="AK140" s="14">
        <f>IF(I140=0,0,IF(G140=5,0,(AC140+AF140/12)*12*BASE!$C$5))</f>
        <v>2856000</v>
      </c>
      <c r="AL140" s="14">
        <f>IF(I140=0,0,IF(G140=5,0,(AC140+AF140/12)*12*BASE!$C$7))</f>
        <v>4032000</v>
      </c>
      <c r="AM140" s="14">
        <f>IF(I140=0,0,IF(G140=5,0,(AC140+AF140/12)*12*BASE!$C$9))</f>
        <v>175392</v>
      </c>
      <c r="AN140" s="412">
        <f>IF(I140=0,0,IF(G140=5,0,(AD140+AF140+AG140)*BASE!$C$10))</f>
        <v>2846199.9999999995</v>
      </c>
      <c r="AO140" s="837">
        <f t="shared" si="34"/>
        <v>47094667.555555552</v>
      </c>
      <c r="AP140" s="677">
        <f t="shared" si="32"/>
        <v>1.5719181427087969</v>
      </c>
      <c r="AQ140" s="1148"/>
      <c r="AR140" s="1149"/>
      <c r="CG140" s="179">
        <v>0</v>
      </c>
      <c r="CH140" s="181">
        <v>1</v>
      </c>
      <c r="CI140" s="182" t="s">
        <v>168</v>
      </c>
    </row>
    <row r="141" spans="1:87" ht="13.5" customHeight="1" outlineLevel="1" x14ac:dyDescent="0.2">
      <c r="A141" s="368" t="s">
        <v>564</v>
      </c>
      <c r="B141" s="477" t="s">
        <v>1090</v>
      </c>
      <c r="C141" s="427"/>
      <c r="D141" s="431">
        <f>IF(E141="","",VLOOKUP(E141,BASE!$F$20:$H$25,2,FALSE))</f>
        <v>3</v>
      </c>
      <c r="E141" s="399" t="s">
        <v>540</v>
      </c>
      <c r="F141" s="436" t="s">
        <v>546</v>
      </c>
      <c r="G141" s="437">
        <f>IF(F141="","",VLOOKUP(F141,BASE!$B$15:$C$18,2,FALSE))</f>
        <v>3</v>
      </c>
      <c r="H141" s="355">
        <v>20</v>
      </c>
      <c r="I141" s="423">
        <v>0</v>
      </c>
      <c r="J141" s="354">
        <v>0</v>
      </c>
      <c r="K141" s="354">
        <v>0</v>
      </c>
      <c r="L141" s="399">
        <v>0</v>
      </c>
      <c r="M141" s="399">
        <v>0</v>
      </c>
      <c r="N141" s="399">
        <v>0</v>
      </c>
      <c r="O141" s="355">
        <f t="shared" si="23"/>
        <v>0</v>
      </c>
      <c r="P141" s="354"/>
      <c r="Q141" s="354"/>
      <c r="R141" s="355">
        <f t="shared" si="24"/>
        <v>0</v>
      </c>
      <c r="S141" s="354"/>
      <c r="T141" s="354"/>
      <c r="U141" s="354"/>
      <c r="V141" s="355">
        <f t="shared" si="25"/>
        <v>0</v>
      </c>
      <c r="W141" s="354"/>
      <c r="X141" s="477">
        <f t="shared" si="26"/>
        <v>0</v>
      </c>
      <c r="Y141" s="19" t="str">
        <f t="shared" si="27"/>
        <v xml:space="preserve">OK </v>
      </c>
      <c r="Z141" s="404" t="str">
        <f t="shared" si="28"/>
        <v>JUSTIFICAR</v>
      </c>
      <c r="AA141" s="478">
        <f>ROUND((IF(D141=1,(BASE!$G$51*I141),IF(D141=2,(BASE!$G$52*I141),IF(D141=3,(BASE!$G$53*I141),IF(D141=4,(BASE!$G$54*I141),IF(D141=5,(BASE!$G$55*I141),IF(D141=6,(BASE!$G$56*I141),0)))))))/1000,0)*1000</f>
        <v>0</v>
      </c>
      <c r="AB141" s="408">
        <v>0</v>
      </c>
      <c r="AC141" s="478">
        <f t="shared" si="29"/>
        <v>0</v>
      </c>
      <c r="AD141" s="478">
        <f>IF(G141=3,AC141*BASE!$I$62,IF(G141=1,AC141*(BASE!$I$61),IF(G141=2,AC141*(BASE!$I$63),AC141*BASE!$I$64)))</f>
        <v>0</v>
      </c>
      <c r="AE141" s="411">
        <f>IF(I141&lt;10,0,IF(AC141&lt;=BASE!$C$3*2,BASE!$C$2,0)*(AD141/AC141))</f>
        <v>0</v>
      </c>
      <c r="AF141" s="13">
        <v>0</v>
      </c>
      <c r="AG141" s="14">
        <f t="shared" si="20"/>
        <v>0</v>
      </c>
      <c r="AH141" s="14">
        <f t="shared" si="30"/>
        <v>0</v>
      </c>
      <c r="AI141" s="14">
        <f t="shared" si="31"/>
        <v>0</v>
      </c>
      <c r="AJ141" s="14">
        <f t="shared" si="21"/>
        <v>0</v>
      </c>
      <c r="AK141" s="14">
        <f>IF(I141=0,0,IF(G141=5,0,(AC141+AF141/12)*12*BASE!$C$5))</f>
        <v>0</v>
      </c>
      <c r="AL141" s="14">
        <f>IF(I141=0,0,IF(G141=5,0,(AC141+AF141/12)*12*BASE!$C$7))</f>
        <v>0</v>
      </c>
      <c r="AM141" s="14">
        <f>IF(I141=0,0,IF(G141=5,0,(AC141+AF141/12)*12*BASE!$C$9))</f>
        <v>0</v>
      </c>
      <c r="AN141" s="412">
        <f>IF(I141=0,0,IF(G141=5,0,(AD141+AF141+AG141)*BASE!$C$10))</f>
        <v>0</v>
      </c>
      <c r="AO141" s="837">
        <f t="shared" si="34"/>
        <v>0</v>
      </c>
      <c r="AP141" s="677" t="str">
        <f t="shared" si="32"/>
        <v>Sin datos</v>
      </c>
      <c r="AQ141" s="1150" t="s">
        <v>1362</v>
      </c>
      <c r="AR141" s="1149"/>
      <c r="CG141" s="179">
        <v>0</v>
      </c>
      <c r="CH141" s="181">
        <v>1</v>
      </c>
      <c r="CI141" s="182" t="s">
        <v>168</v>
      </c>
    </row>
    <row r="142" spans="1:87" ht="13.5" customHeight="1" outlineLevel="1" x14ac:dyDescent="0.2">
      <c r="A142" s="368" t="s">
        <v>564</v>
      </c>
      <c r="B142" s="477" t="s">
        <v>1091</v>
      </c>
      <c r="C142" s="427"/>
      <c r="D142" s="431">
        <f>IF(E142="","",VLOOKUP(E142,BASE!$F$20:$H$25,2,FALSE))</f>
        <v>5</v>
      </c>
      <c r="E142" s="399" t="s">
        <v>538</v>
      </c>
      <c r="F142" s="436" t="s">
        <v>546</v>
      </c>
      <c r="G142" s="437">
        <f>IF(F142="","",VLOOKUP(F142,BASE!$B$15:$C$18,2,FALSE))</f>
        <v>3</v>
      </c>
      <c r="H142" s="355">
        <v>8</v>
      </c>
      <c r="I142" s="423">
        <f t="shared" si="22"/>
        <v>8</v>
      </c>
      <c r="J142" s="399">
        <v>4</v>
      </c>
      <c r="K142" s="354"/>
      <c r="L142" s="354"/>
      <c r="M142" s="354"/>
      <c r="N142" s="354"/>
      <c r="O142" s="355">
        <f t="shared" si="23"/>
        <v>4</v>
      </c>
      <c r="P142" s="354"/>
      <c r="Q142" s="354"/>
      <c r="R142" s="355">
        <f t="shared" si="24"/>
        <v>0</v>
      </c>
      <c r="S142" s="354">
        <v>4</v>
      </c>
      <c r="T142" s="354"/>
      <c r="U142" s="354"/>
      <c r="V142" s="355">
        <f t="shared" si="25"/>
        <v>4</v>
      </c>
      <c r="W142" s="354"/>
      <c r="X142" s="477">
        <f t="shared" si="26"/>
        <v>8</v>
      </c>
      <c r="Y142" s="19" t="str">
        <f t="shared" si="27"/>
        <v xml:space="preserve">OK </v>
      </c>
      <c r="Z142" s="404" t="str">
        <f t="shared" si="28"/>
        <v xml:space="preserve"> </v>
      </c>
      <c r="AA142" s="478">
        <f>ROUND((IF(D142=1,(BASE!$G$51*I142),IF(D142=2,(BASE!$G$52*I142),IF(D142=3,(BASE!$G$53*I142),IF(D142=4,(BASE!$G$54*I142),IF(D142=5,(BASE!$G$55*I142),IF(D142=6,(BASE!$G$56*I142),0)))))))/1000,0)*1000</f>
        <v>712000</v>
      </c>
      <c r="AB142" s="408">
        <v>0</v>
      </c>
      <c r="AC142" s="478">
        <f t="shared" si="29"/>
        <v>712000</v>
      </c>
      <c r="AD142" s="478">
        <f>IF(G142=3,AC142*BASE!$I$62,IF(G142=1,AC142*(BASE!$I$61),IF(G142=2,AC142*(BASE!$I$63),AC142*BASE!$I$64)))</f>
        <v>7618399.9999999991</v>
      </c>
      <c r="AE142" s="411">
        <f>IF(I142&lt;10,0,IF(AC142&lt;=BASE!$C$3*2,BASE!$C$2,0)*(AD142/AC142))</f>
        <v>0</v>
      </c>
      <c r="AF142" s="13">
        <v>0</v>
      </c>
      <c r="AG142" s="14">
        <f t="shared" si="20"/>
        <v>423244.44444444444</v>
      </c>
      <c r="AH142" s="14">
        <f t="shared" si="30"/>
        <v>670137</v>
      </c>
      <c r="AI142" s="14">
        <f t="shared" si="31"/>
        <v>670137.03703703696</v>
      </c>
      <c r="AJ142" s="14">
        <f t="shared" si="21"/>
        <v>73715.074074074073</v>
      </c>
      <c r="AK142" s="14">
        <f>IF(I142=0,0,IF(G142=5,0,(AC142+AF142/12)*12*BASE!$C$5))</f>
        <v>726240</v>
      </c>
      <c r="AL142" s="14">
        <f>IF(I142=0,0,IF(G142=5,0,(AC142+AF142/12)*12*BASE!$C$7))</f>
        <v>1025280</v>
      </c>
      <c r="AM142" s="14">
        <f>IF(I142=0,0,IF(G142=5,0,(AC142+AF142/12)*12*BASE!$C$9))</f>
        <v>44599.68</v>
      </c>
      <c r="AN142" s="412">
        <f>IF(I142=0,0,IF(G142=5,0,(AD142+AF142+AG142)*BASE!$C$10))</f>
        <v>723747.99999999988</v>
      </c>
      <c r="AO142" s="837">
        <f t="shared" si="34"/>
        <v>11975501.235555556</v>
      </c>
      <c r="AP142" s="677">
        <f t="shared" si="32"/>
        <v>1.5719181502094346</v>
      </c>
      <c r="AQ142" s="1148"/>
      <c r="AR142" s="1149"/>
      <c r="CG142" s="179">
        <v>0</v>
      </c>
      <c r="CH142" s="181">
        <v>1</v>
      </c>
      <c r="CI142" s="182" t="s">
        <v>168</v>
      </c>
    </row>
    <row r="143" spans="1:87" ht="13.5" customHeight="1" outlineLevel="1" x14ac:dyDescent="0.2">
      <c r="A143" s="368" t="s">
        <v>564</v>
      </c>
      <c r="B143" s="477" t="s">
        <v>1092</v>
      </c>
      <c r="C143" s="427"/>
      <c r="D143" s="431">
        <f>IF(E143="","",VLOOKUP(E143,BASE!$F$20:$H$25,2,FALSE))</f>
        <v>5</v>
      </c>
      <c r="E143" s="399" t="s">
        <v>538</v>
      </c>
      <c r="F143" s="436" t="s">
        <v>546</v>
      </c>
      <c r="G143" s="437">
        <f>IF(F143="","",VLOOKUP(F143,BASE!$B$15:$C$18,2,FALSE))</f>
        <v>3</v>
      </c>
      <c r="H143" s="355">
        <v>20</v>
      </c>
      <c r="I143" s="423">
        <f t="shared" si="22"/>
        <v>20</v>
      </c>
      <c r="J143" s="399">
        <v>10</v>
      </c>
      <c r="K143" s="354">
        <v>4</v>
      </c>
      <c r="L143" s="399">
        <v>3</v>
      </c>
      <c r="M143" s="399">
        <v>2</v>
      </c>
      <c r="N143" s="399">
        <v>1</v>
      </c>
      <c r="O143" s="355">
        <f t="shared" si="23"/>
        <v>20</v>
      </c>
      <c r="P143" s="354"/>
      <c r="Q143" s="354"/>
      <c r="R143" s="355">
        <f t="shared" si="24"/>
        <v>0</v>
      </c>
      <c r="S143" s="354"/>
      <c r="T143" s="354"/>
      <c r="U143" s="354"/>
      <c r="V143" s="355">
        <f t="shared" si="25"/>
        <v>0</v>
      </c>
      <c r="W143" s="354"/>
      <c r="X143" s="477">
        <f t="shared" si="26"/>
        <v>20</v>
      </c>
      <c r="Y143" s="19" t="str">
        <f t="shared" si="27"/>
        <v xml:space="preserve">OK </v>
      </c>
      <c r="Z143" s="404" t="str">
        <f t="shared" si="28"/>
        <v xml:space="preserve"> </v>
      </c>
      <c r="AA143" s="478">
        <f>ROUND((IF(D143=1,(BASE!$G$51*I143),IF(D143=2,(BASE!$G$52*I143),IF(D143=3,(BASE!$G$53*I143),IF(D143=4,(BASE!$G$54*I143),IF(D143=5,(BASE!$G$55*I143),IF(D143=6,(BASE!$G$56*I143),0)))))))/1000,0)*1000</f>
        <v>1780000</v>
      </c>
      <c r="AB143" s="408">
        <v>0</v>
      </c>
      <c r="AC143" s="478">
        <f t="shared" si="29"/>
        <v>1780000</v>
      </c>
      <c r="AD143" s="478">
        <f>IF(G143=3,AC143*BASE!$I$62,IF(G143=1,AC143*(BASE!$I$61),IF(G143=2,AC143*(BASE!$I$63),AC143*BASE!$I$64)))</f>
        <v>19046000</v>
      </c>
      <c r="AE143" s="411">
        <f>IF(I143&lt;10,0,IF(AC143&lt;=BASE!$C$3*2,BASE!$C$2,0)*(AD143/AC143))</f>
        <v>0</v>
      </c>
      <c r="AF143" s="13">
        <v>0</v>
      </c>
      <c r="AG143" s="14">
        <f t="shared" si="20"/>
        <v>1058111.1111111112</v>
      </c>
      <c r="AH143" s="14">
        <f t="shared" si="30"/>
        <v>1675343</v>
      </c>
      <c r="AI143" s="14">
        <f t="shared" si="31"/>
        <v>1675342.5925925926</v>
      </c>
      <c r="AJ143" s="14">
        <f t="shared" si="21"/>
        <v>184287.6851851852</v>
      </c>
      <c r="AK143" s="14">
        <f>IF(I143=0,0,IF(G143=5,0,(AC143+AF143/12)*12*BASE!$C$5))</f>
        <v>1815600.0000000002</v>
      </c>
      <c r="AL143" s="14">
        <f>IF(I143=0,0,IF(G143=5,0,(AC143+AF143/12)*12*BASE!$C$7))</f>
        <v>2563200</v>
      </c>
      <c r="AM143" s="14">
        <f>IF(I143=0,0,IF(G143=5,0,(AC143+AF143/12)*12*BASE!$C$9))</f>
        <v>111499.2</v>
      </c>
      <c r="AN143" s="412">
        <f>IF(I143=0,0,IF(G143=5,0,(AD143+AF143+AG143)*BASE!$C$10))</f>
        <v>1809370</v>
      </c>
      <c r="AO143" s="837">
        <f t="shared" si="34"/>
        <v>29938753.588888891</v>
      </c>
      <c r="AP143" s="677">
        <f t="shared" si="32"/>
        <v>1.5719181764616661</v>
      </c>
      <c r="AQ143" s="1148"/>
      <c r="AR143" s="1149"/>
      <c r="CG143" s="179">
        <v>0</v>
      </c>
      <c r="CH143" s="181">
        <v>1</v>
      </c>
      <c r="CI143" s="182" t="s">
        <v>168</v>
      </c>
    </row>
    <row r="144" spans="1:87" ht="13.5" customHeight="1" outlineLevel="1" x14ac:dyDescent="0.2">
      <c r="A144" s="368" t="s">
        <v>564</v>
      </c>
      <c r="B144" s="477" t="s">
        <v>1093</v>
      </c>
      <c r="C144" s="427"/>
      <c r="D144" s="431">
        <f>IF(E144="","",VLOOKUP(E144,BASE!$F$20:$H$25,2,FALSE))</f>
        <v>4</v>
      </c>
      <c r="E144" s="399" t="s">
        <v>539</v>
      </c>
      <c r="F144" s="436" t="s">
        <v>546</v>
      </c>
      <c r="G144" s="437">
        <f>IF(F144="","",VLOOKUP(F144,BASE!$B$15:$C$18,2,FALSE))</f>
        <v>3</v>
      </c>
      <c r="H144" s="355">
        <v>10</v>
      </c>
      <c r="I144" s="423">
        <f t="shared" si="22"/>
        <v>10</v>
      </c>
      <c r="J144" s="354">
        <v>6</v>
      </c>
      <c r="K144" s="354">
        <v>2</v>
      </c>
      <c r="L144" s="399">
        <v>2</v>
      </c>
      <c r="M144" s="354"/>
      <c r="N144" s="354"/>
      <c r="O144" s="355">
        <f t="shared" si="23"/>
        <v>10</v>
      </c>
      <c r="P144" s="354"/>
      <c r="Q144" s="354"/>
      <c r="R144" s="355">
        <f t="shared" si="24"/>
        <v>0</v>
      </c>
      <c r="S144" s="354"/>
      <c r="T144" s="354"/>
      <c r="U144" s="354"/>
      <c r="V144" s="355">
        <f t="shared" si="25"/>
        <v>0</v>
      </c>
      <c r="W144" s="354"/>
      <c r="X144" s="477">
        <f t="shared" si="26"/>
        <v>10</v>
      </c>
      <c r="Y144" s="19" t="str">
        <f t="shared" si="27"/>
        <v xml:space="preserve">OK </v>
      </c>
      <c r="Z144" s="404" t="str">
        <f t="shared" si="28"/>
        <v xml:space="preserve"> </v>
      </c>
      <c r="AA144" s="478">
        <f>ROUND((IF(D144=1,(BASE!$G$51*I144),IF(D144=2,(BASE!$G$52*I144),IF(D144=3,(BASE!$G$53*I144),IF(D144=4,(BASE!$G$54*I144),IF(D144=5,(BASE!$G$55*I144),IF(D144=6,(BASE!$G$56*I144),0)))))))/1000,0)*1000</f>
        <v>1114000</v>
      </c>
      <c r="AB144" s="408">
        <v>0</v>
      </c>
      <c r="AC144" s="478">
        <f t="shared" si="29"/>
        <v>1114000</v>
      </c>
      <c r="AD144" s="478">
        <f>IF(G144=3,AC144*BASE!$I$62,IF(G144=1,AC144*(BASE!$I$61),IF(G144=2,AC144*(BASE!$I$63),AC144*BASE!$I$64)))</f>
        <v>11919800</v>
      </c>
      <c r="AE144" s="411">
        <f>IF(I144&lt;10,0,IF(AC144&lt;=BASE!$C$3*2,BASE!$C$2,0)*(AD144/AC144))</f>
        <v>943857.7</v>
      </c>
      <c r="AF144" s="13">
        <v>0</v>
      </c>
      <c r="AG144" s="14">
        <f t="shared" si="20"/>
        <v>662211.11111111112</v>
      </c>
      <c r="AH144" s="14">
        <f t="shared" si="30"/>
        <v>1127156</v>
      </c>
      <c r="AI144" s="14">
        <f t="shared" si="31"/>
        <v>1127155.7342592592</v>
      </c>
      <c r="AJ144" s="14">
        <f t="shared" si="21"/>
        <v>123987.13076851852</v>
      </c>
      <c r="AK144" s="14">
        <f>IF(I144=0,0,IF(G144=5,0,(AC144+AF144/12)*12*BASE!$C$5))</f>
        <v>1136280</v>
      </c>
      <c r="AL144" s="14">
        <f>IF(I144=0,0,IF(G144=5,0,(AC144+AF144/12)*12*BASE!$C$7))</f>
        <v>1604160</v>
      </c>
      <c r="AM144" s="14">
        <f>IF(I144=0,0,IF(G144=5,0,(AC144+AF144/12)*12*BASE!$C$9))</f>
        <v>69780.959999999992</v>
      </c>
      <c r="AN144" s="412">
        <f>IF(I144=0,0,IF(G144=5,0,(AD144+AF144+AG144)*BASE!$C$10))</f>
        <v>1132381</v>
      </c>
      <c r="AO144" s="837">
        <f t="shared" si="34"/>
        <v>19846769.63613889</v>
      </c>
      <c r="AP144" s="677">
        <f t="shared" si="32"/>
        <v>1.6650253893638223</v>
      </c>
      <c r="AQ144" s="1148"/>
      <c r="AR144" s="1149"/>
      <c r="CG144" s="179">
        <v>0</v>
      </c>
      <c r="CH144" s="181">
        <v>1</v>
      </c>
      <c r="CI144" s="182" t="s">
        <v>168</v>
      </c>
    </row>
    <row r="145" spans="1:87" ht="13.5" customHeight="1" outlineLevel="1" x14ac:dyDescent="0.2">
      <c r="A145" s="368" t="s">
        <v>564</v>
      </c>
      <c r="B145" s="477" t="s">
        <v>1094</v>
      </c>
      <c r="C145" s="427"/>
      <c r="D145" s="431">
        <f>IF(E145="","",VLOOKUP(E145,BASE!$F$20:$H$25,2,FALSE))</f>
        <v>5</v>
      </c>
      <c r="E145" s="399" t="s">
        <v>538</v>
      </c>
      <c r="F145" s="436" t="s">
        <v>546</v>
      </c>
      <c r="G145" s="437">
        <f>IF(F145="","",VLOOKUP(F145,BASE!$B$15:$C$18,2,FALSE))</f>
        <v>3</v>
      </c>
      <c r="H145" s="355">
        <v>30</v>
      </c>
      <c r="I145" s="423">
        <f t="shared" si="22"/>
        <v>30</v>
      </c>
      <c r="J145" s="399">
        <v>14</v>
      </c>
      <c r="K145" s="399">
        <v>7</v>
      </c>
      <c r="L145" s="399">
        <v>4</v>
      </c>
      <c r="M145" s="399">
        <v>5</v>
      </c>
      <c r="N145" s="354"/>
      <c r="O145" s="355">
        <f t="shared" si="23"/>
        <v>30</v>
      </c>
      <c r="P145" s="354"/>
      <c r="Q145" s="354"/>
      <c r="R145" s="355">
        <f t="shared" si="24"/>
        <v>0</v>
      </c>
      <c r="S145" s="354"/>
      <c r="T145" s="354"/>
      <c r="U145" s="354"/>
      <c r="V145" s="355">
        <f t="shared" si="25"/>
        <v>0</v>
      </c>
      <c r="W145" s="354"/>
      <c r="X145" s="477">
        <f t="shared" si="26"/>
        <v>30</v>
      </c>
      <c r="Y145" s="19" t="str">
        <f t="shared" si="27"/>
        <v xml:space="preserve">OK </v>
      </c>
      <c r="Z145" s="404" t="str">
        <f t="shared" si="28"/>
        <v xml:space="preserve"> </v>
      </c>
      <c r="AA145" s="478">
        <f>ROUND((IF(D145=1,(BASE!$G$51*I145),IF(D145=2,(BASE!$G$52*I145),IF(D145=3,(BASE!$G$53*I145),IF(D145=4,(BASE!$G$54*I145),IF(D145=5,(BASE!$G$55*I145),IF(D145=6,(BASE!$G$56*I145),0)))))))/1000,0)*1000</f>
        <v>2670000</v>
      </c>
      <c r="AB145" s="408">
        <v>0</v>
      </c>
      <c r="AC145" s="478">
        <f t="shared" si="29"/>
        <v>2670000</v>
      </c>
      <c r="AD145" s="478">
        <f>IF(G145=3,AC145*BASE!$I$62,IF(G145=1,AC145*(BASE!$I$61),IF(G145=2,AC145*(BASE!$I$63),AC145*BASE!$I$64)))</f>
        <v>28568999.999999996</v>
      </c>
      <c r="AE145" s="411">
        <f>IF(I145&lt;10,0,IF(AC145&lt;=BASE!$C$3*2,BASE!$C$2,0)*(AD145/AC145))</f>
        <v>0</v>
      </c>
      <c r="AF145" s="13">
        <v>0</v>
      </c>
      <c r="AG145" s="14">
        <f t="shared" si="20"/>
        <v>1587166.6666666663</v>
      </c>
      <c r="AH145" s="14">
        <f t="shared" si="30"/>
        <v>2513014</v>
      </c>
      <c r="AI145" s="14">
        <f t="shared" si="31"/>
        <v>2513013.8888888885</v>
      </c>
      <c r="AJ145" s="14">
        <f t="shared" si="21"/>
        <v>276431.52777777775</v>
      </c>
      <c r="AK145" s="14">
        <f>IF(I145=0,0,IF(G145=5,0,(AC145+AF145/12)*12*BASE!$C$5))</f>
        <v>2723400</v>
      </c>
      <c r="AL145" s="14">
        <f>IF(I145=0,0,IF(G145=5,0,(AC145+AF145/12)*12*BASE!$C$7))</f>
        <v>3844800</v>
      </c>
      <c r="AM145" s="14">
        <f>IF(I145=0,0,IF(G145=5,0,(AC145+AF145/12)*12*BASE!$C$9))</f>
        <v>167248.79999999999</v>
      </c>
      <c r="AN145" s="412">
        <f>IF(I145=0,0,IF(G145=5,0,(AD145+AF145+AG145)*BASE!$C$10))</f>
        <v>2714054.9999999995</v>
      </c>
      <c r="AO145" s="837">
        <f t="shared" si="34"/>
        <v>44908129.883333325</v>
      </c>
      <c r="AP145" s="677">
        <f t="shared" si="32"/>
        <v>1.5719181589601783</v>
      </c>
      <c r="AQ145" s="1148"/>
      <c r="AR145" s="1149"/>
      <c r="CG145" s="179">
        <v>0</v>
      </c>
      <c r="CH145" s="181">
        <v>1</v>
      </c>
      <c r="CI145" s="182" t="s">
        <v>168</v>
      </c>
    </row>
    <row r="146" spans="1:87" ht="13.5" customHeight="1" outlineLevel="1" x14ac:dyDescent="0.2">
      <c r="A146" s="368" t="s">
        <v>564</v>
      </c>
      <c r="B146" s="477" t="s">
        <v>1095</v>
      </c>
      <c r="C146" s="427"/>
      <c r="D146" s="431">
        <f>IF(E146="","",VLOOKUP(E146,BASE!$F$20:$H$25,2,FALSE))</f>
        <v>5</v>
      </c>
      <c r="E146" s="399" t="s">
        <v>538</v>
      </c>
      <c r="F146" s="436" t="s">
        <v>546</v>
      </c>
      <c r="G146" s="437">
        <f>IF(F146="","",VLOOKUP(F146,BASE!$B$15:$C$18,2,FALSE))</f>
        <v>3</v>
      </c>
      <c r="H146" s="355">
        <v>5</v>
      </c>
      <c r="I146" s="423">
        <f t="shared" si="22"/>
        <v>5</v>
      </c>
      <c r="J146" s="399">
        <v>4</v>
      </c>
      <c r="K146" s="354"/>
      <c r="L146" s="354"/>
      <c r="M146" s="354"/>
      <c r="N146" s="354"/>
      <c r="O146" s="355">
        <f t="shared" si="23"/>
        <v>4</v>
      </c>
      <c r="P146" s="354"/>
      <c r="Q146" s="354"/>
      <c r="R146" s="355">
        <f t="shared" si="24"/>
        <v>0</v>
      </c>
      <c r="S146" s="354">
        <v>1</v>
      </c>
      <c r="T146" s="354"/>
      <c r="U146" s="354"/>
      <c r="V146" s="355">
        <f t="shared" si="25"/>
        <v>1</v>
      </c>
      <c r="W146" s="354"/>
      <c r="X146" s="477">
        <f t="shared" si="26"/>
        <v>5</v>
      </c>
      <c r="Y146" s="19" t="str">
        <f t="shared" si="27"/>
        <v xml:space="preserve">OK </v>
      </c>
      <c r="Z146" s="404" t="str">
        <f t="shared" si="28"/>
        <v xml:space="preserve"> </v>
      </c>
      <c r="AA146" s="478">
        <f>ROUND((IF(D146=1,(BASE!$G$51*I146),IF(D146=2,(BASE!$G$52*I146),IF(D146=3,(BASE!$G$53*I146),IF(D146=4,(BASE!$G$54*I146),IF(D146=5,(BASE!$G$55*I146),IF(D146=6,(BASE!$G$56*I146),0)))))))/1000,0)*1000</f>
        <v>445000</v>
      </c>
      <c r="AB146" s="408">
        <v>0</v>
      </c>
      <c r="AC146" s="478">
        <f t="shared" si="29"/>
        <v>445000</v>
      </c>
      <c r="AD146" s="478">
        <f>IF(G146=3,AC146*BASE!$I$62,IF(G146=1,AC146*(BASE!$I$61),IF(G146=2,AC146*(BASE!$I$63),AC146*BASE!$I$64)))</f>
        <v>4761500</v>
      </c>
      <c r="AE146" s="411">
        <f>IF(I146&lt;10,0,IF(AC146&lt;=BASE!$C$3*2,BASE!$C$2,0)*(AD146/AC146))</f>
        <v>0</v>
      </c>
      <c r="AF146" s="13">
        <v>0</v>
      </c>
      <c r="AG146" s="14">
        <f t="shared" si="20"/>
        <v>264527.77777777781</v>
      </c>
      <c r="AH146" s="14">
        <f t="shared" si="30"/>
        <v>418836</v>
      </c>
      <c r="AI146" s="14">
        <f t="shared" si="31"/>
        <v>418835.64814814815</v>
      </c>
      <c r="AJ146" s="14">
        <f t="shared" si="21"/>
        <v>46071.921296296299</v>
      </c>
      <c r="AK146" s="14">
        <f>IF(I146=0,0,IF(G146=5,0,(AC146+AF146/12)*12*BASE!$C$5))</f>
        <v>453900.00000000006</v>
      </c>
      <c r="AL146" s="14">
        <f>IF(I146=0,0,IF(G146=5,0,(AC146+AF146/12)*12*BASE!$C$7))</f>
        <v>640800</v>
      </c>
      <c r="AM146" s="14">
        <f>IF(I146=0,0,IF(G146=5,0,(AC146+AF146/12)*12*BASE!$C$9))</f>
        <v>27874.799999999999</v>
      </c>
      <c r="AN146" s="412">
        <f>IF(I146=0,0,IF(G146=5,0,(AD146+AF146+AG146)*BASE!$C$10))</f>
        <v>452342.5</v>
      </c>
      <c r="AO146" s="837">
        <f t="shared" si="34"/>
        <v>7484688.6472222228</v>
      </c>
      <c r="AP146" s="677">
        <f t="shared" si="32"/>
        <v>1.5719182289661289</v>
      </c>
      <c r="AQ146" s="1148"/>
      <c r="AR146" s="1149"/>
      <c r="CG146" s="179">
        <v>0</v>
      </c>
      <c r="CH146" s="181">
        <v>1</v>
      </c>
      <c r="CI146" s="182" t="s">
        <v>168</v>
      </c>
    </row>
    <row r="147" spans="1:87" ht="13.5" customHeight="1" outlineLevel="1" x14ac:dyDescent="0.2">
      <c r="A147" s="368" t="s">
        <v>564</v>
      </c>
      <c r="B147" s="477" t="s">
        <v>1096</v>
      </c>
      <c r="C147" s="427"/>
      <c r="D147" s="431">
        <f>IF(E147="","",VLOOKUP(E147,BASE!$F$20:$H$25,2,FALSE))</f>
        <v>6</v>
      </c>
      <c r="E147" s="399" t="s">
        <v>537</v>
      </c>
      <c r="F147" s="436" t="s">
        <v>546</v>
      </c>
      <c r="G147" s="437">
        <f>IF(F147="","",VLOOKUP(F147,BASE!$B$15:$C$18,2,FALSE))</f>
        <v>3</v>
      </c>
      <c r="H147" s="355">
        <v>10</v>
      </c>
      <c r="I147" s="423">
        <f t="shared" si="22"/>
        <v>10</v>
      </c>
      <c r="J147" s="354">
        <v>4</v>
      </c>
      <c r="K147" s="354">
        <v>2</v>
      </c>
      <c r="L147" s="399">
        <v>2</v>
      </c>
      <c r="M147" s="354"/>
      <c r="N147" s="399">
        <v>2</v>
      </c>
      <c r="O147" s="355">
        <f t="shared" si="23"/>
        <v>10</v>
      </c>
      <c r="P147" s="354"/>
      <c r="Q147" s="354"/>
      <c r="R147" s="355">
        <f t="shared" si="24"/>
        <v>0</v>
      </c>
      <c r="S147" s="354"/>
      <c r="T147" s="354"/>
      <c r="U147" s="354"/>
      <c r="V147" s="355">
        <f t="shared" si="25"/>
        <v>0</v>
      </c>
      <c r="W147" s="354"/>
      <c r="X147" s="477">
        <f t="shared" si="26"/>
        <v>10</v>
      </c>
      <c r="Y147" s="19" t="str">
        <f t="shared" si="27"/>
        <v xml:space="preserve">OK </v>
      </c>
      <c r="Z147" s="404" t="str">
        <f t="shared" si="28"/>
        <v xml:space="preserve"> </v>
      </c>
      <c r="AA147" s="478">
        <f>ROUND((IF(D147=1,(BASE!$G$51*I147),IF(D147=2,(BASE!$G$52*I147),IF(D147=3,(BASE!$G$53*I147),IF(D147=4,(BASE!$G$54*I147),IF(D147=5,(BASE!$G$55*I147),IF(D147=6,(BASE!$G$56*I147),0)))))))/1000,0)*1000</f>
        <v>700000</v>
      </c>
      <c r="AB147" s="408">
        <v>0</v>
      </c>
      <c r="AC147" s="478">
        <f t="shared" si="29"/>
        <v>700000</v>
      </c>
      <c r="AD147" s="478">
        <f>IF(G147=3,AC147*BASE!$I$62,IF(G147=1,AC147*(BASE!$I$61),IF(G147=2,AC147*(BASE!$I$63),AC147*BASE!$I$64)))</f>
        <v>7489999.9999999991</v>
      </c>
      <c r="AE147" s="411">
        <f>IF(I147&lt;10,0,IF(AC147&lt;=BASE!$C$3*2,BASE!$C$2,0)*(AD147/AC147))</f>
        <v>943857.7</v>
      </c>
      <c r="AF147" s="13">
        <v>0</v>
      </c>
      <c r="AG147" s="14">
        <f t="shared" si="20"/>
        <v>416111.11111111107</v>
      </c>
      <c r="AH147" s="14">
        <f t="shared" si="30"/>
        <v>737497</v>
      </c>
      <c r="AI147" s="14">
        <f t="shared" si="31"/>
        <v>737497.40092592593</v>
      </c>
      <c r="AJ147" s="14">
        <f t="shared" si="21"/>
        <v>81124.71410185186</v>
      </c>
      <c r="AK147" s="14">
        <f>IF(I147=0,0,IF(G147=5,0,(AC147+AF147/12)*12*BASE!$C$5))</f>
        <v>714000</v>
      </c>
      <c r="AL147" s="14">
        <f>IF(I147=0,0,IF(G147=5,0,(AC147+AF147/12)*12*BASE!$C$7))</f>
        <v>1008000</v>
      </c>
      <c r="AM147" s="14">
        <f>IF(I147=0,0,IF(G147=5,0,(AC147+AF147/12)*12*BASE!$C$9))</f>
        <v>43848</v>
      </c>
      <c r="AN147" s="412">
        <f>IF(I147=0,0,IF(G147=5,0,(AD147+AF147+AG147)*BASE!$C$10))</f>
        <v>711549.99999999988</v>
      </c>
      <c r="AO147" s="837">
        <f t="shared" si="34"/>
        <v>12883485.926138889</v>
      </c>
      <c r="AP147" s="677">
        <f t="shared" si="32"/>
        <v>1.7200915789237505</v>
      </c>
      <c r="AQ147" s="1148"/>
      <c r="AR147" s="1149"/>
      <c r="CG147" s="179">
        <v>0</v>
      </c>
      <c r="CH147" s="181">
        <v>1</v>
      </c>
      <c r="CI147" s="182" t="s">
        <v>168</v>
      </c>
    </row>
    <row r="148" spans="1:87" ht="13.5" customHeight="1" outlineLevel="1" x14ac:dyDescent="0.2">
      <c r="A148" s="368" t="s">
        <v>564</v>
      </c>
      <c r="B148" s="477" t="s">
        <v>1097</v>
      </c>
      <c r="C148" s="427"/>
      <c r="D148" s="431">
        <f>IF(E148="","",VLOOKUP(E148,BASE!$F$20:$H$25,2,FALSE))</f>
        <v>2</v>
      </c>
      <c r="E148" s="399" t="s">
        <v>541</v>
      </c>
      <c r="F148" s="436" t="s">
        <v>863</v>
      </c>
      <c r="G148" s="437">
        <f>IF(F148="","",VLOOKUP(F148,BASE!$B$15:$C$18,2,FALSE))</f>
        <v>4</v>
      </c>
      <c r="H148" s="355">
        <v>40</v>
      </c>
      <c r="I148" s="423">
        <f t="shared" si="22"/>
        <v>40</v>
      </c>
      <c r="J148" s="354">
        <v>12</v>
      </c>
      <c r="K148" s="354">
        <v>6</v>
      </c>
      <c r="L148" s="399">
        <v>2</v>
      </c>
      <c r="M148" s="354"/>
      <c r="N148" s="399">
        <v>2</v>
      </c>
      <c r="O148" s="355">
        <f t="shared" si="23"/>
        <v>22</v>
      </c>
      <c r="P148" s="354"/>
      <c r="Q148" s="354">
        <v>12</v>
      </c>
      <c r="R148" s="355">
        <f t="shared" si="24"/>
        <v>12</v>
      </c>
      <c r="S148" s="354">
        <v>6</v>
      </c>
      <c r="T148" s="354"/>
      <c r="U148" s="354"/>
      <c r="V148" s="355">
        <f t="shared" si="25"/>
        <v>6</v>
      </c>
      <c r="W148" s="354"/>
      <c r="X148" s="477">
        <f t="shared" si="26"/>
        <v>40</v>
      </c>
      <c r="Y148" s="19" t="str">
        <f t="shared" si="27"/>
        <v xml:space="preserve">OK </v>
      </c>
      <c r="Z148" s="404" t="str">
        <f t="shared" si="28"/>
        <v xml:space="preserve"> </v>
      </c>
      <c r="AA148" s="478">
        <f>ROUND((IF(D148=1,(BASE!$G$51*I148),IF(D148=2,(BASE!$G$52*I148),IF(D148=3,(BASE!$G$53*I148),IF(D148=4,(BASE!$G$54*I148),IF(D148=5,(BASE!$G$55*I148),IF(D148=6,(BASE!$G$56*I148),0)))))))/1000,0)*1000</f>
        <v>8016000</v>
      </c>
      <c r="AB148" s="408">
        <v>0</v>
      </c>
      <c r="AC148" s="478">
        <f t="shared" si="29"/>
        <v>8016000</v>
      </c>
      <c r="AD148" s="478">
        <f>IF(G148=3,AC148*BASE!$I$62,IF(G148=1,AC148*(BASE!$I$61),IF(G148=2,AC148*(BASE!$I$63),AC148*BASE!$I$64)))</f>
        <v>91115200</v>
      </c>
      <c r="AE148" s="411">
        <f>IF(I148&lt;10,0,IF(AC148&lt;=BASE!$C$3*2,BASE!$C$2,0)*(AD148/AC148))</f>
        <v>0</v>
      </c>
      <c r="AF148" s="13">
        <v>0</v>
      </c>
      <c r="AG148" s="14">
        <f t="shared" si="20"/>
        <v>5061955.555555555</v>
      </c>
      <c r="AH148" s="14">
        <f t="shared" si="30"/>
        <v>8014763</v>
      </c>
      <c r="AI148" s="14">
        <f t="shared" si="31"/>
        <v>8014762.9629629627</v>
      </c>
      <c r="AJ148" s="14">
        <f t="shared" si="21"/>
        <v>961771.5555555555</v>
      </c>
      <c r="AK148" s="14">
        <f>IF(I148=0,0,IF(G148=5,0,(AC148+AF148/12)*12*BASE!$C$5))</f>
        <v>8176320.0000000009</v>
      </c>
      <c r="AL148" s="14">
        <f>IF(I148=0,0,IF(G148=5,0,(AC148+AF148/12)*12*BASE!$C$7))</f>
        <v>11543040</v>
      </c>
      <c r="AM148" s="14">
        <f>IF(I148=0,0,IF(G148=5,0,(AC148+AF148/12)*12*BASE!$C$9))</f>
        <v>502122.23999999999</v>
      </c>
      <c r="AN148" s="412">
        <f>IF(I148=0,0,IF(G148=5,0,(AD148+AF148+AG148)*BASE!$C$10))</f>
        <v>8655944</v>
      </c>
      <c r="AO148" s="837">
        <f t="shared" si="34"/>
        <v>142045879.31407404</v>
      </c>
      <c r="AP148" s="677">
        <f t="shared" si="32"/>
        <v>1.5589701752734344</v>
      </c>
      <c r="AQ148" s="1148"/>
      <c r="AR148" s="1149"/>
      <c r="CG148" s="179">
        <v>0</v>
      </c>
      <c r="CH148" s="181">
        <v>1</v>
      </c>
      <c r="CI148" s="182" t="s">
        <v>168</v>
      </c>
    </row>
    <row r="149" spans="1:87" ht="13.5" customHeight="1" outlineLevel="1" x14ac:dyDescent="0.2">
      <c r="A149" s="368" t="s">
        <v>564</v>
      </c>
      <c r="B149" s="477" t="s">
        <v>1098</v>
      </c>
      <c r="C149" s="427"/>
      <c r="D149" s="431">
        <f>IF(E149="","",VLOOKUP(E149,BASE!$F$20:$H$25,2,FALSE))</f>
        <v>3</v>
      </c>
      <c r="E149" s="399" t="s">
        <v>540</v>
      </c>
      <c r="F149" s="436" t="s">
        <v>546</v>
      </c>
      <c r="G149" s="437">
        <f>IF(F149="","",VLOOKUP(F149,BASE!$B$15:$C$18,2,FALSE))</f>
        <v>3</v>
      </c>
      <c r="H149" s="355">
        <v>10</v>
      </c>
      <c r="I149" s="423">
        <f t="shared" si="22"/>
        <v>10</v>
      </c>
      <c r="J149" s="354">
        <v>3</v>
      </c>
      <c r="K149" s="354">
        <v>1</v>
      </c>
      <c r="L149" s="399">
        <v>1</v>
      </c>
      <c r="M149" s="399">
        <v>1</v>
      </c>
      <c r="N149" s="354"/>
      <c r="O149" s="355">
        <f t="shared" si="23"/>
        <v>6</v>
      </c>
      <c r="P149" s="354"/>
      <c r="Q149" s="354">
        <v>4</v>
      </c>
      <c r="R149" s="355">
        <f t="shared" si="24"/>
        <v>4</v>
      </c>
      <c r="S149" s="354"/>
      <c r="T149" s="354"/>
      <c r="U149" s="354"/>
      <c r="V149" s="355">
        <f t="shared" si="25"/>
        <v>0</v>
      </c>
      <c r="W149" s="354"/>
      <c r="X149" s="477">
        <f t="shared" si="26"/>
        <v>10</v>
      </c>
      <c r="Y149" s="19" t="str">
        <f t="shared" si="27"/>
        <v xml:space="preserve">OK </v>
      </c>
      <c r="Z149" s="404" t="str">
        <f t="shared" si="28"/>
        <v xml:space="preserve"> </v>
      </c>
      <c r="AA149" s="478">
        <f>ROUND((IF(D149=1,(BASE!$G$51*I149),IF(D149=2,(BASE!$G$52*I149),IF(D149=3,(BASE!$G$53*I149),IF(D149=4,(BASE!$G$54*I149),IF(D149=5,(BASE!$G$55*I149),IF(D149=6,(BASE!$G$56*I149),0)))))))/1000,0)*1000</f>
        <v>1368000</v>
      </c>
      <c r="AB149" s="408">
        <v>0</v>
      </c>
      <c r="AC149" s="478">
        <f t="shared" si="29"/>
        <v>1368000</v>
      </c>
      <c r="AD149" s="478">
        <f>IF(G149=3,AC149*BASE!$I$62,IF(G149=1,AC149*(BASE!$I$61),IF(G149=2,AC149*(BASE!$I$63),AC149*BASE!$I$64)))</f>
        <v>14637599.999999998</v>
      </c>
      <c r="AE149" s="411">
        <f>IF(I149&lt;10,0,IF(AC149&lt;=BASE!$C$3*2,BASE!$C$2,0)*(AD149/AC149))</f>
        <v>943857.7</v>
      </c>
      <c r="AF149" s="13">
        <v>0</v>
      </c>
      <c r="AG149" s="14">
        <f t="shared" si="20"/>
        <v>813199.99999999988</v>
      </c>
      <c r="AH149" s="14">
        <f t="shared" si="30"/>
        <v>1366221</v>
      </c>
      <c r="AI149" s="14">
        <f t="shared" si="31"/>
        <v>1366221.4749999999</v>
      </c>
      <c r="AJ149" s="14">
        <f t="shared" si="21"/>
        <v>150284.36224999998</v>
      </c>
      <c r="AK149" s="14">
        <f>IF(I149=0,0,IF(G149=5,0,(AC149+AF149/12)*12*BASE!$C$5))</f>
        <v>1395360</v>
      </c>
      <c r="AL149" s="14">
        <f>IF(I149=0,0,IF(G149=5,0,(AC149+AF149/12)*12*BASE!$C$7))</f>
        <v>1969920</v>
      </c>
      <c r="AM149" s="14">
        <f>IF(I149=0,0,IF(G149=5,0,(AC149+AF149/12)*12*BASE!$C$9))</f>
        <v>85691.520000000004</v>
      </c>
      <c r="AN149" s="412">
        <f>IF(I149=0,0,IF(G149=5,0,(AD149+AF149+AG149)*BASE!$C$10))</f>
        <v>1390571.9999999998</v>
      </c>
      <c r="AO149" s="837">
        <f t="shared" si="34"/>
        <v>24118928.057249997</v>
      </c>
      <c r="AP149" s="677">
        <f t="shared" si="32"/>
        <v>1.6477378844380226</v>
      </c>
      <c r="AQ149" s="1148"/>
      <c r="AR149" s="1149"/>
      <c r="CG149" s="179">
        <v>0</v>
      </c>
      <c r="CH149" s="181">
        <v>1</v>
      </c>
      <c r="CI149" s="182" t="s">
        <v>168</v>
      </c>
    </row>
    <row r="150" spans="1:87" ht="13.5" customHeight="1" outlineLevel="1" x14ac:dyDescent="0.2">
      <c r="A150" s="368" t="s">
        <v>564</v>
      </c>
      <c r="B150" s="477" t="s">
        <v>1099</v>
      </c>
      <c r="C150" s="427"/>
      <c r="D150" s="431">
        <f>IF(E150="","",VLOOKUP(E150,BASE!$F$20:$H$25,2,FALSE))</f>
        <v>5</v>
      </c>
      <c r="E150" s="399" t="s">
        <v>538</v>
      </c>
      <c r="F150" s="436" t="s">
        <v>546</v>
      </c>
      <c r="G150" s="437">
        <f>IF(F150="","",VLOOKUP(F150,BASE!$B$15:$C$18,2,FALSE))</f>
        <v>3</v>
      </c>
      <c r="H150" s="355">
        <v>20</v>
      </c>
      <c r="I150" s="423">
        <f t="shared" si="22"/>
        <v>20</v>
      </c>
      <c r="J150" s="399">
        <v>6</v>
      </c>
      <c r="K150" s="354"/>
      <c r="L150" s="354"/>
      <c r="M150" s="354"/>
      <c r="N150" s="354"/>
      <c r="O150" s="355">
        <f t="shared" si="23"/>
        <v>6</v>
      </c>
      <c r="P150" s="354"/>
      <c r="Q150" s="354"/>
      <c r="R150" s="355">
        <f t="shared" si="24"/>
        <v>0</v>
      </c>
      <c r="S150" s="354">
        <v>14</v>
      </c>
      <c r="T150" s="354"/>
      <c r="U150" s="354"/>
      <c r="V150" s="355">
        <f t="shared" si="25"/>
        <v>14</v>
      </c>
      <c r="W150" s="354"/>
      <c r="X150" s="477">
        <f t="shared" si="26"/>
        <v>20</v>
      </c>
      <c r="Y150" s="19" t="str">
        <f t="shared" si="27"/>
        <v xml:space="preserve">OK </v>
      </c>
      <c r="Z150" s="404" t="str">
        <f t="shared" si="28"/>
        <v xml:space="preserve"> </v>
      </c>
      <c r="AA150" s="478">
        <f>ROUND((IF(D150=1,(BASE!$G$51*I150),IF(D150=2,(BASE!$G$52*I150),IF(D150=3,(BASE!$G$53*I150),IF(D150=4,(BASE!$G$54*I150),IF(D150=5,(BASE!$G$55*I150),IF(D150=6,(BASE!$G$56*I150),0)))))))/1000,0)*1000</f>
        <v>1780000</v>
      </c>
      <c r="AB150" s="408">
        <v>0</v>
      </c>
      <c r="AC150" s="478">
        <f t="shared" si="29"/>
        <v>1780000</v>
      </c>
      <c r="AD150" s="478">
        <f>IF(G150=3,AC150*BASE!$I$62,IF(G150=1,AC150*(BASE!$I$61),IF(G150=2,AC150*(BASE!$I$63),AC150*BASE!$I$64)))</f>
        <v>19046000</v>
      </c>
      <c r="AE150" s="411">
        <f>IF(I150&lt;10,0,IF(AC150&lt;=BASE!$C$3*2,BASE!$C$2,0)*(AD150/AC150))</f>
        <v>0</v>
      </c>
      <c r="AF150" s="13">
        <v>0</v>
      </c>
      <c r="AG150" s="14">
        <f t="shared" ref="AG150:AG213" si="35">IF(I150=0,0,IF(G150=5,0,((AD150/12)+(AF150/12))/3*2))</f>
        <v>1058111.1111111112</v>
      </c>
      <c r="AH150" s="14">
        <f t="shared" si="30"/>
        <v>1675343</v>
      </c>
      <c r="AI150" s="14">
        <f t="shared" si="31"/>
        <v>1675342.5925925926</v>
      </c>
      <c r="AJ150" s="14">
        <f t="shared" ref="AJ150:AJ213" si="36">IF(G150=3,(AI150*11%),IF(G150=4,(AI150*12%),IF(G150=2,(AI150*12%),IF(G150=1,(AI150*10%),0))))</f>
        <v>184287.6851851852</v>
      </c>
      <c r="AK150" s="14">
        <f>IF(I150=0,0,IF(G150=5,0,(AC150+AF150/12)*12*BASE!$C$5))</f>
        <v>1815600.0000000002</v>
      </c>
      <c r="AL150" s="14">
        <f>IF(I150=0,0,IF(G150=5,0,(AC150+AF150/12)*12*BASE!$C$7))</f>
        <v>2563200</v>
      </c>
      <c r="AM150" s="14">
        <f>IF(I150=0,0,IF(G150=5,0,(AC150+AF150/12)*12*BASE!$C$9))</f>
        <v>111499.2</v>
      </c>
      <c r="AN150" s="412">
        <f>IF(I150=0,0,IF(G150=5,0,(AD150+AF150+AG150)*BASE!$C$10))</f>
        <v>1809370</v>
      </c>
      <c r="AO150" s="837">
        <f t="shared" si="34"/>
        <v>29938753.588888891</v>
      </c>
      <c r="AP150" s="677">
        <f t="shared" si="32"/>
        <v>1.5719181764616661</v>
      </c>
      <c r="AQ150" s="1148"/>
      <c r="AR150" s="1149"/>
      <c r="CG150" s="179">
        <v>0</v>
      </c>
      <c r="CH150" s="181">
        <v>1</v>
      </c>
      <c r="CI150" s="182" t="s">
        <v>168</v>
      </c>
    </row>
    <row r="151" spans="1:87" ht="13.5" customHeight="1" outlineLevel="1" x14ac:dyDescent="0.2">
      <c r="A151" s="368" t="s">
        <v>564</v>
      </c>
      <c r="B151" s="477" t="s">
        <v>1100</v>
      </c>
      <c r="C151" s="427"/>
      <c r="D151" s="431">
        <f>IF(E151="","",VLOOKUP(E151,BASE!$F$20:$H$25,2,FALSE))</f>
        <v>4</v>
      </c>
      <c r="E151" s="399" t="s">
        <v>539</v>
      </c>
      <c r="F151" s="436" t="s">
        <v>546</v>
      </c>
      <c r="G151" s="437">
        <f>IF(F151="","",VLOOKUP(F151,BASE!$B$15:$C$18,2,FALSE))</f>
        <v>3</v>
      </c>
      <c r="H151" s="355">
        <v>3</v>
      </c>
      <c r="I151" s="423">
        <f t="shared" ref="I151:I214" si="37">+H151</f>
        <v>3</v>
      </c>
      <c r="J151" s="354"/>
      <c r="K151" s="354"/>
      <c r="L151" s="354"/>
      <c r="M151" s="354"/>
      <c r="N151" s="354"/>
      <c r="O151" s="355">
        <f t="shared" ref="O151:O214" si="38">+J151+K151+L151+M151+N151</f>
        <v>0</v>
      </c>
      <c r="P151" s="354"/>
      <c r="Q151" s="354"/>
      <c r="R151" s="355">
        <f t="shared" ref="R151:R214" si="39">+P151+Q151</f>
        <v>0</v>
      </c>
      <c r="S151" s="354"/>
      <c r="T151" s="354">
        <v>3</v>
      </c>
      <c r="U151" s="354"/>
      <c r="V151" s="355">
        <f t="shared" ref="V151:V214" si="40">+S151+T151+U151</f>
        <v>3</v>
      </c>
      <c r="W151" s="354"/>
      <c r="X151" s="477">
        <f t="shared" ref="X151:X214" si="41">+O151+R151+V151+W151</f>
        <v>3</v>
      </c>
      <c r="Y151" s="19" t="str">
        <f t="shared" ref="Y151:Y214" si="42">IF(I151-X151=0,"OK ",IF(I151-X151&gt;0,"AJUSTE",IF(I151-X151&lt;0,"AJUSTE")))</f>
        <v xml:space="preserve">OK </v>
      </c>
      <c r="Z151" s="404" t="str">
        <f t="shared" ref="Z151:Z214" si="43">IF(H151-I151=0," ",IF(H151-I151&gt;0,"JUSTIFICAR","AJUSTE"))</f>
        <v xml:space="preserve"> </v>
      </c>
      <c r="AA151" s="478">
        <f>ROUND((IF(D151=1,(BASE!$G$51*I151),IF(D151=2,(BASE!$G$52*I151),IF(D151=3,(BASE!$G$53*I151),IF(D151=4,(BASE!$G$54*I151),IF(D151=5,(BASE!$G$55*I151),IF(D151=6,(BASE!$G$56*I151),0)))))))/1000,0)*1000</f>
        <v>334000</v>
      </c>
      <c r="AB151" s="408">
        <v>0</v>
      </c>
      <c r="AC151" s="478">
        <f t="shared" ref="AC151:AC214" si="44">AA151+AB151</f>
        <v>334000</v>
      </c>
      <c r="AD151" s="478">
        <f>IF(G151=3,AC151*BASE!$I$62,IF(G151=1,AC151*(BASE!$I$61),IF(G151=2,AC151*(BASE!$I$63),AC151*BASE!$I$64)))</f>
        <v>3573799.9999999995</v>
      </c>
      <c r="AE151" s="411">
        <f>IF(I151&lt;10,0,IF(AC151&lt;=BASE!$C$3*2,BASE!$C$2,0)*(AD151/AC151))</f>
        <v>0</v>
      </c>
      <c r="AF151" s="13">
        <v>0</v>
      </c>
      <c r="AG151" s="14">
        <f t="shared" si="35"/>
        <v>198544.44444444441</v>
      </c>
      <c r="AH151" s="14">
        <f t="shared" ref="AH151:AH214" si="45">ROUND((AD151/12)+(AE151/12)+(AF151/12)+(AG151/12),0)</f>
        <v>314362</v>
      </c>
      <c r="AI151" s="14">
        <f t="shared" ref="AI151:AI214" si="46">((AD151/12)+(AE151/12)+(AF151/12)+(AG151/12))</f>
        <v>314362.03703703702</v>
      </c>
      <c r="AJ151" s="14">
        <f t="shared" si="36"/>
        <v>34579.824074074073</v>
      </c>
      <c r="AK151" s="14">
        <f>IF(I151=0,0,IF(G151=5,0,(AC151+AF151/12)*12*BASE!$C$5))</f>
        <v>340680</v>
      </c>
      <c r="AL151" s="14">
        <f>IF(I151=0,0,IF(G151=5,0,(AC151+AF151/12)*12*BASE!$C$7))</f>
        <v>480960</v>
      </c>
      <c r="AM151" s="14">
        <f>IF(I151=0,0,IF(G151=5,0,(AC151+AF151/12)*12*BASE!$C$9))</f>
        <v>20921.759999999998</v>
      </c>
      <c r="AN151" s="412">
        <f>IF(I151=0,0,IF(G151=5,0,(AD151+AF151+AG151)*BASE!$C$10))</f>
        <v>339510.99999999994</v>
      </c>
      <c r="AO151" s="837">
        <f t="shared" si="34"/>
        <v>5617721.0655555548</v>
      </c>
      <c r="AP151" s="677">
        <f t="shared" ref="AP151:AP214" si="47">IFERROR(AO151/AD151,"Sin datos")</f>
        <v>1.5719181447074697</v>
      </c>
      <c r="AQ151" s="1148"/>
      <c r="AR151" s="1149"/>
      <c r="CG151" s="179">
        <v>0</v>
      </c>
      <c r="CH151" s="181">
        <v>1</v>
      </c>
      <c r="CI151" s="182" t="s">
        <v>168</v>
      </c>
    </row>
    <row r="152" spans="1:87" ht="13.5" customHeight="1" outlineLevel="1" x14ac:dyDescent="0.2">
      <c r="A152" s="368" t="s">
        <v>564</v>
      </c>
      <c r="B152" s="477" t="s">
        <v>1101</v>
      </c>
      <c r="C152" s="427"/>
      <c r="D152" s="431">
        <f>IF(E152="","",VLOOKUP(E152,BASE!$F$20:$H$25,2,FALSE))</f>
        <v>5</v>
      </c>
      <c r="E152" s="399" t="s">
        <v>538</v>
      </c>
      <c r="F152" s="436" t="s">
        <v>546</v>
      </c>
      <c r="G152" s="437">
        <f>IF(F152="","",VLOOKUP(F152,BASE!$B$15:$C$18,2,FALSE))</f>
        <v>3</v>
      </c>
      <c r="H152" s="355">
        <v>5</v>
      </c>
      <c r="I152" s="423">
        <f t="shared" si="37"/>
        <v>5</v>
      </c>
      <c r="J152" s="354">
        <v>2</v>
      </c>
      <c r="K152" s="354">
        <v>1</v>
      </c>
      <c r="L152" s="399">
        <v>1</v>
      </c>
      <c r="M152" s="354"/>
      <c r="N152" s="354"/>
      <c r="O152" s="355">
        <f t="shared" si="38"/>
        <v>4</v>
      </c>
      <c r="P152" s="354"/>
      <c r="Q152" s="354"/>
      <c r="R152" s="355">
        <f t="shared" si="39"/>
        <v>0</v>
      </c>
      <c r="S152" s="354"/>
      <c r="T152" s="354"/>
      <c r="U152" s="354"/>
      <c r="V152" s="355">
        <f t="shared" si="40"/>
        <v>0</v>
      </c>
      <c r="W152" s="354">
        <v>1</v>
      </c>
      <c r="X152" s="477">
        <f t="shared" si="41"/>
        <v>5</v>
      </c>
      <c r="Y152" s="19" t="str">
        <f t="shared" si="42"/>
        <v xml:space="preserve">OK </v>
      </c>
      <c r="Z152" s="404" t="str">
        <f t="shared" si="43"/>
        <v xml:space="preserve"> </v>
      </c>
      <c r="AA152" s="478">
        <f>ROUND((IF(D152=1,(BASE!$G$51*I152),IF(D152=2,(BASE!$G$52*I152),IF(D152=3,(BASE!$G$53*I152),IF(D152=4,(BASE!$G$54*I152),IF(D152=5,(BASE!$G$55*I152),IF(D152=6,(BASE!$G$56*I152),0)))))))/1000,0)*1000</f>
        <v>445000</v>
      </c>
      <c r="AB152" s="408">
        <v>0</v>
      </c>
      <c r="AC152" s="478">
        <f t="shared" si="44"/>
        <v>445000</v>
      </c>
      <c r="AD152" s="478">
        <f>IF(G152=3,AC152*BASE!$I$62,IF(G152=1,AC152*(BASE!$I$61),IF(G152=2,AC152*(BASE!$I$63),AC152*BASE!$I$64)))</f>
        <v>4761500</v>
      </c>
      <c r="AE152" s="411">
        <f>IF(I152&lt;10,0,IF(AC152&lt;=BASE!$C$3*2,BASE!$C$2,0)*(AD152/AC152))</f>
        <v>0</v>
      </c>
      <c r="AF152" s="13">
        <v>0</v>
      </c>
      <c r="AG152" s="14">
        <f t="shared" si="35"/>
        <v>264527.77777777781</v>
      </c>
      <c r="AH152" s="14">
        <f t="shared" si="45"/>
        <v>418836</v>
      </c>
      <c r="AI152" s="14">
        <f t="shared" si="46"/>
        <v>418835.64814814815</v>
      </c>
      <c r="AJ152" s="14">
        <f t="shared" si="36"/>
        <v>46071.921296296299</v>
      </c>
      <c r="AK152" s="14">
        <f>IF(I152=0,0,IF(G152=5,0,(AC152+AF152/12)*12*BASE!$C$5))</f>
        <v>453900.00000000006</v>
      </c>
      <c r="AL152" s="14">
        <f>IF(I152=0,0,IF(G152=5,0,(AC152+AF152/12)*12*BASE!$C$7))</f>
        <v>640800</v>
      </c>
      <c r="AM152" s="14">
        <f>IF(I152=0,0,IF(G152=5,0,(AC152+AF152/12)*12*BASE!$C$9))</f>
        <v>27874.799999999999</v>
      </c>
      <c r="AN152" s="412">
        <f>IF(I152=0,0,IF(G152=5,0,(AD152+AF152+AG152)*BASE!$C$10))</f>
        <v>452342.5</v>
      </c>
      <c r="AO152" s="837">
        <f t="shared" si="34"/>
        <v>7484688.6472222228</v>
      </c>
      <c r="AP152" s="677">
        <f t="shared" si="47"/>
        <v>1.5719182289661289</v>
      </c>
      <c r="AQ152" s="1148"/>
      <c r="AR152" s="1149"/>
      <c r="CG152" s="179">
        <v>0</v>
      </c>
      <c r="CH152" s="181">
        <v>1</v>
      </c>
      <c r="CI152" s="182" t="s">
        <v>168</v>
      </c>
    </row>
    <row r="153" spans="1:87" ht="13.5" customHeight="1" outlineLevel="1" x14ac:dyDescent="0.2">
      <c r="A153" s="368" t="s">
        <v>565</v>
      </c>
      <c r="B153" s="477" t="s">
        <v>1102</v>
      </c>
      <c r="C153" s="427"/>
      <c r="D153" s="431">
        <f>IF(E153="","",VLOOKUP(E153,BASE!$F$20:$H$25,2,FALSE))</f>
        <v>2</v>
      </c>
      <c r="E153" s="399" t="s">
        <v>541</v>
      </c>
      <c r="F153" s="436" t="s">
        <v>863</v>
      </c>
      <c r="G153" s="437">
        <f>IF(F153="","",VLOOKUP(F153,BASE!$B$15:$C$18,2,FALSE))</f>
        <v>4</v>
      </c>
      <c r="H153" s="355">
        <v>20</v>
      </c>
      <c r="I153" s="423">
        <f t="shared" si="37"/>
        <v>20</v>
      </c>
      <c r="J153" s="399">
        <v>10</v>
      </c>
      <c r="K153" s="399">
        <v>5</v>
      </c>
      <c r="L153" s="399">
        <v>2</v>
      </c>
      <c r="M153" s="399">
        <v>3</v>
      </c>
      <c r="N153" s="354"/>
      <c r="O153" s="355">
        <f t="shared" si="38"/>
        <v>20</v>
      </c>
      <c r="P153" s="354"/>
      <c r="Q153" s="354"/>
      <c r="R153" s="355">
        <f t="shared" si="39"/>
        <v>0</v>
      </c>
      <c r="S153" s="354"/>
      <c r="T153" s="354"/>
      <c r="U153" s="354"/>
      <c r="V153" s="355">
        <f t="shared" si="40"/>
        <v>0</v>
      </c>
      <c r="W153" s="354"/>
      <c r="X153" s="477">
        <f t="shared" si="41"/>
        <v>20</v>
      </c>
      <c r="Y153" s="19" t="str">
        <f t="shared" si="42"/>
        <v xml:space="preserve">OK </v>
      </c>
      <c r="Z153" s="404" t="str">
        <f t="shared" si="43"/>
        <v xml:space="preserve"> </v>
      </c>
      <c r="AA153" s="478">
        <f>ROUND((IF(D153=1,(BASE!$G$51*I153),IF(D153=2,(BASE!$G$52*I153),IF(D153=3,(BASE!$G$53*I153),IF(D153=4,(BASE!$G$54*I153),IF(D153=5,(BASE!$G$55*I153),IF(D153=6,(BASE!$G$56*I153),0)))))))/1000,0)*1000</f>
        <v>4008000</v>
      </c>
      <c r="AB153" s="408">
        <v>0</v>
      </c>
      <c r="AC153" s="478">
        <f t="shared" si="44"/>
        <v>4008000</v>
      </c>
      <c r="AD153" s="478">
        <f>IF(G153=3,AC153*BASE!$I$62,IF(G153=1,AC153*(BASE!$I$61),IF(G153=2,AC153*(BASE!$I$63),AC153*BASE!$I$64)))</f>
        <v>45557600</v>
      </c>
      <c r="AE153" s="411">
        <f>IF(I153&lt;10,0,IF(AC153&lt;=BASE!$C$3*2,BASE!$C$2,0)*(AD153/AC153))</f>
        <v>0</v>
      </c>
      <c r="AF153" s="13">
        <v>0</v>
      </c>
      <c r="AG153" s="14">
        <f t="shared" si="35"/>
        <v>2530977.7777777775</v>
      </c>
      <c r="AH153" s="14">
        <f t="shared" si="45"/>
        <v>4007381</v>
      </c>
      <c r="AI153" s="14">
        <f t="shared" si="46"/>
        <v>4007381.4814814813</v>
      </c>
      <c r="AJ153" s="14">
        <f t="shared" si="36"/>
        <v>480885.77777777775</v>
      </c>
      <c r="AK153" s="14">
        <f>IF(I153=0,0,IF(G153=5,0,(AC153+AF153/12)*12*BASE!$C$5))</f>
        <v>4088160.0000000005</v>
      </c>
      <c r="AL153" s="14">
        <f>IF(I153=0,0,IF(G153=5,0,(AC153+AF153/12)*12*BASE!$C$7))</f>
        <v>5771520</v>
      </c>
      <c r="AM153" s="14">
        <f>IF(I153=0,0,IF(G153=5,0,(AC153+AF153/12)*12*BASE!$C$9))</f>
        <v>251061.12</v>
      </c>
      <c r="AN153" s="412">
        <f>IF(I153=0,0,IF(G153=5,0,(AD153+AF153+AG153)*BASE!$C$10))</f>
        <v>4327972</v>
      </c>
      <c r="AO153" s="837">
        <f>+AD153+AE153+AF153+AG153+AH153+AI153+AJ153+AK153+AL153+AM153+AN153</f>
        <v>71022939.15703702</v>
      </c>
      <c r="AP153" s="677">
        <f t="shared" si="47"/>
        <v>1.5589701642983174</v>
      </c>
      <c r="AQ153" s="1148"/>
      <c r="AR153" s="1149"/>
      <c r="CG153" s="179">
        <v>0</v>
      </c>
      <c r="CH153" s="181">
        <v>1</v>
      </c>
      <c r="CI153" s="182" t="s">
        <v>168</v>
      </c>
    </row>
    <row r="154" spans="1:87" ht="13.5" customHeight="1" outlineLevel="1" x14ac:dyDescent="0.2">
      <c r="A154" s="368" t="s">
        <v>566</v>
      </c>
      <c r="B154" s="477" t="s">
        <v>1103</v>
      </c>
      <c r="C154" s="427"/>
      <c r="D154" s="431">
        <f>IF(E154="","",VLOOKUP(E154,BASE!$F$20:$H$25,2,FALSE))</f>
        <v>4</v>
      </c>
      <c r="E154" s="399" t="s">
        <v>539</v>
      </c>
      <c r="F154" s="436" t="s">
        <v>546</v>
      </c>
      <c r="G154" s="437">
        <f>IF(F154="","",VLOOKUP(F154,BASE!$B$15:$C$18,2,FALSE))</f>
        <v>3</v>
      </c>
      <c r="H154" s="355">
        <v>8</v>
      </c>
      <c r="I154" s="423">
        <f t="shared" si="37"/>
        <v>8</v>
      </c>
      <c r="J154" s="399">
        <v>2</v>
      </c>
      <c r="K154" s="399">
        <v>1</v>
      </c>
      <c r="L154" s="399">
        <v>1</v>
      </c>
      <c r="M154" s="354"/>
      <c r="N154" s="354"/>
      <c r="O154" s="355">
        <f t="shared" si="38"/>
        <v>4</v>
      </c>
      <c r="P154" s="354"/>
      <c r="Q154" s="354"/>
      <c r="R154" s="355">
        <f t="shared" si="39"/>
        <v>0</v>
      </c>
      <c r="S154" s="354">
        <v>4</v>
      </c>
      <c r="T154" s="354"/>
      <c r="U154" s="354"/>
      <c r="V154" s="355">
        <f t="shared" si="40"/>
        <v>4</v>
      </c>
      <c r="W154" s="354"/>
      <c r="X154" s="477">
        <f t="shared" si="41"/>
        <v>8</v>
      </c>
      <c r="Y154" s="19" t="str">
        <f t="shared" si="42"/>
        <v xml:space="preserve">OK </v>
      </c>
      <c r="Z154" s="404" t="str">
        <f t="shared" si="43"/>
        <v xml:space="preserve"> </v>
      </c>
      <c r="AA154" s="478">
        <f>ROUND((IF(D154=1,(BASE!$G$51*I154),IF(D154=2,(BASE!$G$52*I154),IF(D154=3,(BASE!$G$53*I154),IF(D154=4,(BASE!$G$54*I154),IF(D154=5,(BASE!$G$55*I154),IF(D154=6,(BASE!$G$56*I154),0)))))))/1000,0)*1000</f>
        <v>891000</v>
      </c>
      <c r="AB154" s="408">
        <v>0</v>
      </c>
      <c r="AC154" s="478">
        <f t="shared" si="44"/>
        <v>891000</v>
      </c>
      <c r="AD154" s="478">
        <f>IF(G154=3,AC154*BASE!$I$62,IF(G154=1,AC154*(BASE!$I$61),IF(G154=2,AC154*(BASE!$I$63),AC154*BASE!$I$64)))</f>
        <v>9533700</v>
      </c>
      <c r="AE154" s="411">
        <f>IF(I154&lt;10,0,IF(AC154&lt;=BASE!$C$3*2,BASE!$C$2,0)*(AD154/AC154))</f>
        <v>0</v>
      </c>
      <c r="AF154" s="13">
        <v>0</v>
      </c>
      <c r="AG154" s="14">
        <f t="shared" si="35"/>
        <v>529650</v>
      </c>
      <c r="AH154" s="14">
        <f t="shared" si="45"/>
        <v>838613</v>
      </c>
      <c r="AI154" s="14">
        <f t="shared" si="46"/>
        <v>838612.5</v>
      </c>
      <c r="AJ154" s="14">
        <f t="shared" si="36"/>
        <v>92247.375</v>
      </c>
      <c r="AK154" s="14">
        <f>IF(I154=0,0,IF(G154=5,0,(AC154+AF154/12)*12*BASE!$C$5))</f>
        <v>908820.00000000012</v>
      </c>
      <c r="AL154" s="14">
        <f>IF(I154=0,0,IF(G154=5,0,(AC154+AF154/12)*12*BASE!$C$7))</f>
        <v>1283040</v>
      </c>
      <c r="AM154" s="14">
        <f>IF(I154=0,0,IF(G154=5,0,(AC154+AF154/12)*12*BASE!$C$9))</f>
        <v>55812.24</v>
      </c>
      <c r="AN154" s="412">
        <f>IF(I154=0,0,IF(G154=5,0,(AD154+AF154+AG154)*BASE!$C$10))</f>
        <v>905701.5</v>
      </c>
      <c r="AO154" s="837">
        <f>+AD154+AE154+AF154+AG154+AH154+AI154+AJ154+AK154+AL154+AM154+AN154</f>
        <v>14986196.615</v>
      </c>
      <c r="AP154" s="677">
        <f t="shared" si="47"/>
        <v>1.5719182075164941</v>
      </c>
      <c r="AQ154" s="1148"/>
      <c r="AR154" s="1149"/>
      <c r="CG154" s="179">
        <v>0</v>
      </c>
      <c r="CH154" s="181">
        <v>1</v>
      </c>
      <c r="CI154" s="182" t="s">
        <v>168</v>
      </c>
    </row>
    <row r="155" spans="1:87" ht="13.5" customHeight="1" outlineLevel="1" x14ac:dyDescent="0.2">
      <c r="A155" s="368" t="s">
        <v>567</v>
      </c>
      <c r="B155" s="477" t="s">
        <v>1104</v>
      </c>
      <c r="C155" s="427"/>
      <c r="D155" s="431">
        <f>IF(E155="","",VLOOKUP(E155,BASE!$F$20:$H$25,2,FALSE))</f>
        <v>4</v>
      </c>
      <c r="E155" s="399" t="s">
        <v>539</v>
      </c>
      <c r="F155" s="436" t="s">
        <v>546</v>
      </c>
      <c r="G155" s="437">
        <f>IF(F155="","",VLOOKUP(F155,BASE!$B$15:$C$18,2,FALSE))</f>
        <v>3</v>
      </c>
      <c r="H155" s="355">
        <v>20</v>
      </c>
      <c r="I155" s="423">
        <f t="shared" si="37"/>
        <v>20</v>
      </c>
      <c r="J155" s="399">
        <v>12</v>
      </c>
      <c r="K155" s="399">
        <v>4</v>
      </c>
      <c r="L155" s="399">
        <v>2</v>
      </c>
      <c r="M155" s="399">
        <v>2</v>
      </c>
      <c r="N155" s="354"/>
      <c r="O155" s="355">
        <f t="shared" si="38"/>
        <v>20</v>
      </c>
      <c r="P155" s="354"/>
      <c r="Q155" s="354"/>
      <c r="R155" s="355">
        <f t="shared" si="39"/>
        <v>0</v>
      </c>
      <c r="S155" s="354"/>
      <c r="T155" s="354"/>
      <c r="U155" s="354"/>
      <c r="V155" s="355">
        <f t="shared" si="40"/>
        <v>0</v>
      </c>
      <c r="W155" s="354"/>
      <c r="X155" s="477">
        <f t="shared" si="41"/>
        <v>20</v>
      </c>
      <c r="Y155" s="19" t="str">
        <f t="shared" si="42"/>
        <v xml:space="preserve">OK </v>
      </c>
      <c r="Z155" s="404" t="str">
        <f t="shared" si="43"/>
        <v xml:space="preserve"> </v>
      </c>
      <c r="AA155" s="478">
        <f>ROUND((IF(D155=1,(BASE!$G$51*I155),IF(D155=2,(BASE!$G$52*I155),IF(D155=3,(BASE!$G$53*I155),IF(D155=4,(BASE!$G$54*I155),IF(D155=5,(BASE!$G$55*I155),IF(D155=6,(BASE!$G$56*I155),0)))))))/1000,0)*1000</f>
        <v>2228000</v>
      </c>
      <c r="AB155" s="408">
        <v>0</v>
      </c>
      <c r="AC155" s="478">
        <f t="shared" si="44"/>
        <v>2228000</v>
      </c>
      <c r="AD155" s="478">
        <f>IF(G155=3,AC155*BASE!$I$62,IF(G155=1,AC155*(BASE!$I$61),IF(G155=2,AC155*(BASE!$I$63),AC155*BASE!$I$64)))</f>
        <v>23839600</v>
      </c>
      <c r="AE155" s="411">
        <f>IF(I155&lt;10,0,IF(AC155&lt;=BASE!$C$3*2,BASE!$C$2,0)*(AD155/AC155))</f>
        <v>0</v>
      </c>
      <c r="AF155" s="13">
        <v>0</v>
      </c>
      <c r="AG155" s="14">
        <f t="shared" si="35"/>
        <v>1324422.2222222222</v>
      </c>
      <c r="AH155" s="14">
        <f t="shared" si="45"/>
        <v>2097002</v>
      </c>
      <c r="AI155" s="14">
        <f t="shared" si="46"/>
        <v>2097001.8518518517</v>
      </c>
      <c r="AJ155" s="14">
        <f t="shared" si="36"/>
        <v>230670.20370370368</v>
      </c>
      <c r="AK155" s="14">
        <f>IF(I155=0,0,IF(G155=5,0,(AC155+AF155/12)*12*BASE!$C$5))</f>
        <v>2272560</v>
      </c>
      <c r="AL155" s="14">
        <f>IF(I155=0,0,IF(G155=5,0,(AC155+AF155/12)*12*BASE!$C$7))</f>
        <v>3208320</v>
      </c>
      <c r="AM155" s="14">
        <f>IF(I155=0,0,IF(G155=5,0,(AC155+AF155/12)*12*BASE!$C$9))</f>
        <v>139561.91999999998</v>
      </c>
      <c r="AN155" s="412">
        <f>IF(I155=0,0,IF(G155=5,0,(AD155+AF155+AG155)*BASE!$C$10))</f>
        <v>2264762</v>
      </c>
      <c r="AO155" s="837">
        <f>+AD155+AE155+AF155+AG155+AH155+AI155+AJ155+AK155+AL155+AM155+AN155</f>
        <v>37473900.197777778</v>
      </c>
      <c r="AP155" s="677">
        <f t="shared" si="47"/>
        <v>1.571918161285331</v>
      </c>
      <c r="AQ155" s="1148"/>
      <c r="AR155" s="1149"/>
      <c r="CG155" s="179">
        <v>0</v>
      </c>
      <c r="CH155" s="181">
        <v>1</v>
      </c>
      <c r="CI155" s="182" t="s">
        <v>168</v>
      </c>
    </row>
    <row r="156" spans="1:87" ht="13.5" customHeight="1" outlineLevel="1" x14ac:dyDescent="0.2">
      <c r="A156" s="368" t="s">
        <v>568</v>
      </c>
      <c r="B156" s="477" t="s">
        <v>1105</v>
      </c>
      <c r="C156" s="427"/>
      <c r="D156" s="431">
        <f>IF(E156="","",VLOOKUP(E156,BASE!$F$20:$H$25,2,FALSE))</f>
        <v>6</v>
      </c>
      <c r="E156" s="399" t="s">
        <v>537</v>
      </c>
      <c r="F156" s="436" t="s">
        <v>546</v>
      </c>
      <c r="G156" s="437">
        <f>IF(F156="","",VLOOKUP(F156,BASE!$B$15:$C$18,2,FALSE))</f>
        <v>3</v>
      </c>
      <c r="H156" s="355">
        <v>20</v>
      </c>
      <c r="I156" s="423">
        <f t="shared" si="37"/>
        <v>20</v>
      </c>
      <c r="J156" s="399">
        <v>10</v>
      </c>
      <c r="K156" s="399">
        <v>4</v>
      </c>
      <c r="L156" s="399">
        <v>3</v>
      </c>
      <c r="M156" s="399">
        <v>2</v>
      </c>
      <c r="N156" s="399">
        <v>1</v>
      </c>
      <c r="O156" s="355">
        <f t="shared" si="38"/>
        <v>20</v>
      </c>
      <c r="P156" s="354"/>
      <c r="Q156" s="354"/>
      <c r="R156" s="355">
        <f t="shared" si="39"/>
        <v>0</v>
      </c>
      <c r="S156" s="354"/>
      <c r="T156" s="354"/>
      <c r="U156" s="354"/>
      <c r="V156" s="355">
        <f t="shared" si="40"/>
        <v>0</v>
      </c>
      <c r="W156" s="354"/>
      <c r="X156" s="477">
        <f t="shared" si="41"/>
        <v>20</v>
      </c>
      <c r="Y156" s="19" t="str">
        <f t="shared" si="42"/>
        <v xml:space="preserve">OK </v>
      </c>
      <c r="Z156" s="404" t="str">
        <f t="shared" si="43"/>
        <v xml:space="preserve"> </v>
      </c>
      <c r="AA156" s="478">
        <f>ROUND((IF(D156=1,(BASE!$G$51*I156),IF(D156=2,(BASE!$G$52*I156),IF(D156=3,(BASE!$G$53*I156),IF(D156=4,(BASE!$G$54*I156),IF(D156=5,(BASE!$G$55*I156),IF(D156=6,(BASE!$G$56*I156),0)))))))/1000,0)*1000</f>
        <v>1400000</v>
      </c>
      <c r="AB156" s="408">
        <v>0</v>
      </c>
      <c r="AC156" s="478">
        <f t="shared" si="44"/>
        <v>1400000</v>
      </c>
      <c r="AD156" s="478">
        <f>IF(G156=3,AC156*BASE!$I$62,IF(G156=1,AC156*(BASE!$I$61),IF(G156=2,AC156*(BASE!$I$63),AC156*BASE!$I$64)))</f>
        <v>14979999.999999998</v>
      </c>
      <c r="AE156" s="411">
        <f>IF(I156&lt;10,0,IF(AC156&lt;=BASE!$C$3*2,BASE!$C$2,0)*(AD156/AC156))</f>
        <v>943857.7</v>
      </c>
      <c r="AF156" s="13">
        <v>0</v>
      </c>
      <c r="AG156" s="14">
        <f t="shared" si="35"/>
        <v>832222.22222222213</v>
      </c>
      <c r="AH156" s="14">
        <f t="shared" si="45"/>
        <v>1396340</v>
      </c>
      <c r="AI156" s="14">
        <f t="shared" si="46"/>
        <v>1396339.9935185185</v>
      </c>
      <c r="AJ156" s="14">
        <f t="shared" si="36"/>
        <v>153597.39928703703</v>
      </c>
      <c r="AK156" s="14">
        <f>IF(I156=0,0,IF(G156=5,0,(AC156+AF156/12)*12*BASE!$C$5))</f>
        <v>1428000</v>
      </c>
      <c r="AL156" s="14">
        <f>IF(I156=0,0,IF(G156=5,0,(AC156+AF156/12)*12*BASE!$C$7))</f>
        <v>2016000</v>
      </c>
      <c r="AM156" s="14">
        <f>IF(I156=0,0,IF(G156=5,0,(AC156+AF156/12)*12*BASE!$C$9))</f>
        <v>87696</v>
      </c>
      <c r="AN156" s="412">
        <f>IF(I156=0,0,IF(G156=5,0,(AD156+AF156+AG156)*BASE!$C$10))</f>
        <v>1423099.9999999998</v>
      </c>
      <c r="AO156" s="837">
        <f t="shared" ref="AO156:AO169" si="48">+AD156+AE156+AF156+AG156+AH156+AI156+AJ156+AK156+AL156+AM156+AN156</f>
        <v>24657153.315027777</v>
      </c>
      <c r="AP156" s="677">
        <f t="shared" si="47"/>
        <v>1.6460048941941108</v>
      </c>
      <c r="AQ156" s="1148"/>
      <c r="AR156" s="1149"/>
      <c r="CG156" s="179">
        <v>0</v>
      </c>
      <c r="CH156" s="181">
        <v>1</v>
      </c>
      <c r="CI156" s="182" t="s">
        <v>168</v>
      </c>
    </row>
    <row r="157" spans="1:87" ht="13.5" customHeight="1" outlineLevel="1" x14ac:dyDescent="0.2">
      <c r="A157" s="368" t="s">
        <v>569</v>
      </c>
      <c r="B157" s="477" t="s">
        <v>1106</v>
      </c>
      <c r="C157" s="427"/>
      <c r="D157" s="431">
        <f>IF(E157="","",VLOOKUP(E157,BASE!$F$20:$H$25,2,FALSE))</f>
        <v>5</v>
      </c>
      <c r="E157" s="399" t="s">
        <v>538</v>
      </c>
      <c r="F157" s="436" t="s">
        <v>546</v>
      </c>
      <c r="G157" s="437">
        <f>IF(F157="","",VLOOKUP(F157,BASE!$B$15:$C$18,2,FALSE))</f>
        <v>3</v>
      </c>
      <c r="H157" s="355">
        <v>10</v>
      </c>
      <c r="I157" s="423">
        <f t="shared" si="37"/>
        <v>10</v>
      </c>
      <c r="J157" s="354">
        <v>4</v>
      </c>
      <c r="K157" s="354">
        <v>2</v>
      </c>
      <c r="L157" s="399">
        <v>1</v>
      </c>
      <c r="M157" s="399">
        <v>1</v>
      </c>
      <c r="N157" s="399">
        <v>1</v>
      </c>
      <c r="O157" s="355">
        <f t="shared" si="38"/>
        <v>9</v>
      </c>
      <c r="P157" s="354"/>
      <c r="Q157" s="354"/>
      <c r="R157" s="355">
        <f t="shared" si="39"/>
        <v>0</v>
      </c>
      <c r="S157" s="354"/>
      <c r="T157" s="354"/>
      <c r="U157" s="354"/>
      <c r="V157" s="355">
        <f t="shared" si="40"/>
        <v>0</v>
      </c>
      <c r="W157" s="354">
        <v>1</v>
      </c>
      <c r="X157" s="477">
        <f t="shared" si="41"/>
        <v>10</v>
      </c>
      <c r="Y157" s="19" t="str">
        <f t="shared" si="42"/>
        <v xml:space="preserve">OK </v>
      </c>
      <c r="Z157" s="404" t="str">
        <f t="shared" si="43"/>
        <v xml:space="preserve"> </v>
      </c>
      <c r="AA157" s="478">
        <f>ROUND((IF(D157=1,(BASE!$G$51*I157),IF(D157=2,(BASE!$G$52*I157),IF(D157=3,(BASE!$G$53*I157),IF(D157=4,(BASE!$G$54*I157),IF(D157=5,(BASE!$G$55*I157),IF(D157=6,(BASE!$G$56*I157),0)))))))/1000,0)*1000</f>
        <v>890000</v>
      </c>
      <c r="AB157" s="408">
        <v>0</v>
      </c>
      <c r="AC157" s="478">
        <f t="shared" si="44"/>
        <v>890000</v>
      </c>
      <c r="AD157" s="478">
        <f>IF(G157=3,AC157*BASE!$I$62,IF(G157=1,AC157*(BASE!$I$61),IF(G157=2,AC157*(BASE!$I$63),AC157*BASE!$I$64)))</f>
        <v>9523000</v>
      </c>
      <c r="AE157" s="411">
        <f>IF(I157&lt;10,0,IF(AC157&lt;=BASE!$C$3*2,BASE!$C$2,0)*(AD157/AC157))</f>
        <v>943857.7</v>
      </c>
      <c r="AF157" s="13">
        <v>0</v>
      </c>
      <c r="AG157" s="14">
        <f t="shared" si="35"/>
        <v>529055.55555555562</v>
      </c>
      <c r="AH157" s="14">
        <f t="shared" si="45"/>
        <v>916326</v>
      </c>
      <c r="AI157" s="14">
        <f t="shared" si="46"/>
        <v>916326.10462962964</v>
      </c>
      <c r="AJ157" s="14">
        <f t="shared" si="36"/>
        <v>100795.87150925926</v>
      </c>
      <c r="AK157" s="14">
        <f>IF(I157=0,0,IF(G157=5,0,(AC157+AF157/12)*12*BASE!$C$5))</f>
        <v>907800.00000000012</v>
      </c>
      <c r="AL157" s="14">
        <f>IF(I157=0,0,IF(G157=5,0,(AC157+AF157/12)*12*BASE!$C$7))</f>
        <v>1281600</v>
      </c>
      <c r="AM157" s="14">
        <f>IF(I157=0,0,IF(G157=5,0,(AC157+AF157/12)*12*BASE!$C$9))</f>
        <v>55749.599999999999</v>
      </c>
      <c r="AN157" s="412">
        <f>IF(I157=0,0,IF(G157=5,0,(AD157+AF157+AG157)*BASE!$C$10))</f>
        <v>904685</v>
      </c>
      <c r="AO157" s="837">
        <f t="shared" si="48"/>
        <v>16079195.831694445</v>
      </c>
      <c r="AP157" s="677">
        <f t="shared" si="47"/>
        <v>1.6884590813498315</v>
      </c>
      <c r="AQ157" s="1148"/>
      <c r="AR157" s="1149"/>
      <c r="CG157" s="179">
        <v>0</v>
      </c>
      <c r="CH157" s="181">
        <v>1</v>
      </c>
      <c r="CI157" s="182" t="s">
        <v>168</v>
      </c>
    </row>
    <row r="158" spans="1:87" ht="13.5" customHeight="1" outlineLevel="1" x14ac:dyDescent="0.2">
      <c r="A158" s="368" t="s">
        <v>570</v>
      </c>
      <c r="B158" s="477" t="s">
        <v>1107</v>
      </c>
      <c r="C158" s="427"/>
      <c r="D158" s="431">
        <f>IF(E158="","",VLOOKUP(E158,BASE!$F$20:$H$25,2,FALSE))</f>
        <v>3</v>
      </c>
      <c r="E158" s="399" t="s">
        <v>540</v>
      </c>
      <c r="F158" s="436" t="s">
        <v>258</v>
      </c>
      <c r="G158" s="437">
        <f>IF(F158="","",VLOOKUP(F158,BASE!$B$15:$C$18,2,FALSE))</f>
        <v>2</v>
      </c>
      <c r="H158" s="355">
        <v>40</v>
      </c>
      <c r="I158" s="423">
        <v>30</v>
      </c>
      <c r="J158" s="354"/>
      <c r="K158" s="354"/>
      <c r="L158" s="354"/>
      <c r="M158" s="354"/>
      <c r="N158" s="354"/>
      <c r="O158" s="355">
        <f t="shared" si="38"/>
        <v>0</v>
      </c>
      <c r="P158" s="354"/>
      <c r="Q158" s="354"/>
      <c r="R158" s="355">
        <f t="shared" si="39"/>
        <v>0</v>
      </c>
      <c r="S158" s="354"/>
      <c r="T158" s="354"/>
      <c r="U158" s="354"/>
      <c r="V158" s="355">
        <f t="shared" si="40"/>
        <v>0</v>
      </c>
      <c r="W158" s="354">
        <v>30</v>
      </c>
      <c r="X158" s="477">
        <f t="shared" si="41"/>
        <v>30</v>
      </c>
      <c r="Y158" s="19" t="str">
        <f t="shared" si="42"/>
        <v xml:space="preserve">OK </v>
      </c>
      <c r="Z158" s="404" t="str">
        <f t="shared" si="43"/>
        <v>JUSTIFICAR</v>
      </c>
      <c r="AA158" s="478">
        <v>9273000</v>
      </c>
      <c r="AB158" s="408">
        <v>0</v>
      </c>
      <c r="AC158" s="478">
        <f t="shared" si="44"/>
        <v>9273000</v>
      </c>
      <c r="AD158" s="478">
        <f>IF(G158=3,AC158*BASE!$I$62,IF(G158=1,AC158*(BASE!$I$61),IF(G158=2,AC158*(BASE!$I$63),AC158*BASE!$I$64)))</f>
        <v>105403100</v>
      </c>
      <c r="AE158" s="411">
        <f>IF(I158&lt;10,0,IF(AC158&lt;=BASE!$C$3*2,BASE!$C$2,0)*(AD158/AC158))</f>
        <v>0</v>
      </c>
      <c r="AF158" s="13">
        <v>0</v>
      </c>
      <c r="AG158" s="14">
        <f t="shared" si="35"/>
        <v>5855727.7777777771</v>
      </c>
      <c r="AH158" s="14">
        <f t="shared" si="45"/>
        <v>9271569</v>
      </c>
      <c r="AI158" s="14">
        <f t="shared" si="46"/>
        <v>9271568.9814814813</v>
      </c>
      <c r="AJ158" s="14">
        <f t="shared" si="36"/>
        <v>1112588.2777777778</v>
      </c>
      <c r="AK158" s="14">
        <f>IF(I158=0,0,IF(G158=5,0,(AC158+AF158/12)*12*BASE!$C$5))</f>
        <v>9458460</v>
      </c>
      <c r="AL158" s="14">
        <v>0</v>
      </c>
      <c r="AM158" s="14">
        <f>IF(I158=0,0,IF(G158=5,0,(AC158+AF158/12)*12*BASE!$C$9))</f>
        <v>580860.72</v>
      </c>
      <c r="AN158" s="412">
        <f>IF(I158=0,0,IF(G158=5,0,(AD158+AF158+AG158)*BASE!$C$10))</f>
        <v>10013294.5</v>
      </c>
      <c r="AO158" s="837">
        <f t="shared" si="48"/>
        <v>150967169.25703701</v>
      </c>
      <c r="AP158" s="677">
        <f t="shared" si="47"/>
        <v>1.4322839580338436</v>
      </c>
      <c r="AQ158" s="1148"/>
      <c r="AR158" s="1149"/>
      <c r="CG158" s="179">
        <v>0</v>
      </c>
      <c r="CH158" s="181">
        <v>1</v>
      </c>
      <c r="CI158" s="182" t="s">
        <v>168</v>
      </c>
    </row>
    <row r="159" spans="1:87" ht="13.5" customHeight="1" outlineLevel="1" x14ac:dyDescent="0.2">
      <c r="A159" s="368" t="s">
        <v>571</v>
      </c>
      <c r="B159" s="477" t="s">
        <v>1108</v>
      </c>
      <c r="C159" s="427"/>
      <c r="D159" s="431">
        <f>IF(E159="","",VLOOKUP(E159,BASE!$F$20:$H$25,2,FALSE))</f>
        <v>3</v>
      </c>
      <c r="E159" s="399" t="s">
        <v>540</v>
      </c>
      <c r="F159" s="436" t="s">
        <v>546</v>
      </c>
      <c r="G159" s="437">
        <f>IF(F159="","",VLOOKUP(F159,BASE!$B$15:$C$18,2,FALSE))</f>
        <v>3</v>
      </c>
      <c r="H159" s="355">
        <v>10</v>
      </c>
      <c r="I159" s="423">
        <f t="shared" si="37"/>
        <v>10</v>
      </c>
      <c r="J159" s="354"/>
      <c r="K159" s="354"/>
      <c r="L159" s="354"/>
      <c r="M159" s="354"/>
      <c r="N159" s="354"/>
      <c r="O159" s="355">
        <f t="shared" si="38"/>
        <v>0</v>
      </c>
      <c r="P159" s="354"/>
      <c r="Q159" s="354"/>
      <c r="R159" s="355">
        <f t="shared" si="39"/>
        <v>0</v>
      </c>
      <c r="S159" s="354">
        <v>10</v>
      </c>
      <c r="T159" s="354"/>
      <c r="U159" s="354"/>
      <c r="V159" s="355">
        <f t="shared" si="40"/>
        <v>10</v>
      </c>
      <c r="W159" s="354"/>
      <c r="X159" s="477">
        <f t="shared" si="41"/>
        <v>10</v>
      </c>
      <c r="Y159" s="19" t="str">
        <f t="shared" si="42"/>
        <v xml:space="preserve">OK </v>
      </c>
      <c r="Z159" s="404" t="str">
        <f t="shared" si="43"/>
        <v xml:space="preserve"> </v>
      </c>
      <c r="AA159" s="478">
        <f>ROUND((IF(D159=1,(BASE!$G$51*I159),IF(D159=2,(BASE!$G$52*I159),IF(D159=3,(BASE!$G$53*I159),IF(D159=4,(BASE!$G$54*I159),IF(D159=5,(BASE!$G$55*I159),IF(D159=6,(BASE!$G$56*I159),0)))))))/1000,0)*1000</f>
        <v>1368000</v>
      </c>
      <c r="AB159" s="408">
        <v>0</v>
      </c>
      <c r="AC159" s="478">
        <f t="shared" si="44"/>
        <v>1368000</v>
      </c>
      <c r="AD159" s="478">
        <f>IF(G159=3,AC159*BASE!$I$62,IF(G159=1,AC159*(BASE!$I$61),IF(G159=2,AC159*(BASE!$I$63),AC159*BASE!$I$64)))</f>
        <v>14637599.999999998</v>
      </c>
      <c r="AE159" s="411">
        <f>IF(I159&lt;10,0,IF(AC159&lt;=BASE!$C$3*2,BASE!$C$2,0)*(AD159/AC159))</f>
        <v>943857.7</v>
      </c>
      <c r="AF159" s="13">
        <v>0</v>
      </c>
      <c r="AG159" s="14">
        <f t="shared" si="35"/>
        <v>813199.99999999988</v>
      </c>
      <c r="AH159" s="14">
        <f t="shared" si="45"/>
        <v>1366221</v>
      </c>
      <c r="AI159" s="14">
        <f t="shared" si="46"/>
        <v>1366221.4749999999</v>
      </c>
      <c r="AJ159" s="14">
        <f t="shared" si="36"/>
        <v>150284.36224999998</v>
      </c>
      <c r="AK159" s="14">
        <f>IF(I159=0,0,IF(G159=5,0,(AC159+AF159/12)*12*BASE!$C$5))</f>
        <v>1395360</v>
      </c>
      <c r="AL159" s="14">
        <f>IF(I159=0,0,IF(G159=5,0,(AC159+AF159/12)*12*BASE!$C$7))</f>
        <v>1969920</v>
      </c>
      <c r="AM159" s="14">
        <f>IF(I159=0,0,IF(G159=5,0,(AC159+AF159/12)*12*BASE!$C$9))</f>
        <v>85691.520000000004</v>
      </c>
      <c r="AN159" s="412">
        <f>IF(I159=0,0,IF(G159=5,0,(AD159+AF159+AG159)*BASE!$C$10))</f>
        <v>1390571.9999999998</v>
      </c>
      <c r="AO159" s="837">
        <f t="shared" si="48"/>
        <v>24118928.057249997</v>
      </c>
      <c r="AP159" s="677">
        <f t="shared" si="47"/>
        <v>1.6477378844380226</v>
      </c>
      <c r="AQ159" s="1148"/>
      <c r="AR159" s="1149"/>
      <c r="CG159" s="179">
        <v>0</v>
      </c>
      <c r="CH159" s="181">
        <v>1</v>
      </c>
      <c r="CI159" s="182" t="s">
        <v>168</v>
      </c>
    </row>
    <row r="160" spans="1:87" ht="13.5" customHeight="1" outlineLevel="1" x14ac:dyDescent="0.2">
      <c r="A160" s="368" t="s">
        <v>572</v>
      </c>
      <c r="B160" s="477" t="s">
        <v>1109</v>
      </c>
      <c r="C160" s="427"/>
      <c r="D160" s="431">
        <f>IF(E160="","",VLOOKUP(E160,BASE!$F$20:$H$25,2,FALSE))</f>
        <v>4</v>
      </c>
      <c r="E160" s="399" t="s">
        <v>539</v>
      </c>
      <c r="F160" s="436" t="s">
        <v>863</v>
      </c>
      <c r="G160" s="437">
        <f>IF(F160="","",VLOOKUP(F160,BASE!$B$15:$C$18,2,FALSE))</f>
        <v>4</v>
      </c>
      <c r="H160" s="355">
        <v>40</v>
      </c>
      <c r="I160" s="423">
        <f t="shared" si="37"/>
        <v>40</v>
      </c>
      <c r="J160" s="399">
        <v>15</v>
      </c>
      <c r="K160" s="399">
        <v>7</v>
      </c>
      <c r="L160" s="399">
        <v>6</v>
      </c>
      <c r="M160" s="399">
        <v>5</v>
      </c>
      <c r="N160" s="399">
        <v>3</v>
      </c>
      <c r="O160" s="355">
        <f t="shared" si="38"/>
        <v>36</v>
      </c>
      <c r="P160" s="354"/>
      <c r="Q160" s="399">
        <v>2</v>
      </c>
      <c r="R160" s="355">
        <f t="shared" si="39"/>
        <v>2</v>
      </c>
      <c r="S160" s="354"/>
      <c r="T160" s="354"/>
      <c r="U160" s="354"/>
      <c r="V160" s="355">
        <f t="shared" si="40"/>
        <v>0</v>
      </c>
      <c r="W160" s="354">
        <v>2</v>
      </c>
      <c r="X160" s="477">
        <f t="shared" si="41"/>
        <v>40</v>
      </c>
      <c r="Y160" s="19" t="str">
        <f t="shared" si="42"/>
        <v xml:space="preserve">OK </v>
      </c>
      <c r="Z160" s="404" t="str">
        <f t="shared" si="43"/>
        <v xml:space="preserve"> </v>
      </c>
      <c r="AA160" s="478">
        <f>ROUND((IF(D160=1,(BASE!$G$51*I160),IF(D160=2,(BASE!$G$52*I160),IF(D160=3,(BASE!$G$53*I160),IF(D160=4,(BASE!$G$54*I160),IF(D160=5,(BASE!$G$55*I160),IF(D160=6,(BASE!$G$56*I160),0)))))))/1000,0)*1000</f>
        <v>4456000</v>
      </c>
      <c r="AB160" s="408">
        <v>388000</v>
      </c>
      <c r="AC160" s="478">
        <f t="shared" si="44"/>
        <v>4844000</v>
      </c>
      <c r="AD160" s="478">
        <f>IF(G160=3,AC160*BASE!$I$62,IF(G160=1,AC160*(BASE!$I$61),IF(G160=2,AC160*(BASE!$I$63),AC160*BASE!$I$64)))</f>
        <v>55060133.333333336</v>
      </c>
      <c r="AE160" s="411">
        <f>IF(I160&lt;10,0,IF(AC160&lt;=BASE!$C$3*2,BASE!$C$2,0)*(AD160/AC160))</f>
        <v>0</v>
      </c>
      <c r="AF160" s="13">
        <v>0</v>
      </c>
      <c r="AG160" s="14">
        <f t="shared" si="35"/>
        <v>3058896.2962962966</v>
      </c>
      <c r="AH160" s="14">
        <f t="shared" si="45"/>
        <v>4843252</v>
      </c>
      <c r="AI160" s="14">
        <f t="shared" si="46"/>
        <v>4843252.4691358032</v>
      </c>
      <c r="AJ160" s="14">
        <f t="shared" si="36"/>
        <v>581190.29629629641</v>
      </c>
      <c r="AK160" s="14">
        <f>IF(I160=0,0,IF(G160=5,0,(AC160+AF160/12)*12*BASE!$C$5))</f>
        <v>4940880</v>
      </c>
      <c r="AL160" s="14">
        <f>IF(I160=0,0,IF(G160=5,0,(AC160+AF160/12)*12*BASE!$C$7))</f>
        <v>6975360</v>
      </c>
      <c r="AM160" s="14">
        <f>IF(I160=0,0,IF(G160=5,0,(AC160+AF160/12)*12*BASE!$C$9))</f>
        <v>303428.15999999997</v>
      </c>
      <c r="AN160" s="412">
        <f>IF(I160=0,0,IF(G160=5,0,(AD160+AF160+AG160)*BASE!$C$10))</f>
        <v>5230712.666666667</v>
      </c>
      <c r="AO160" s="837">
        <f t="shared" si="48"/>
        <v>85837105.221728399</v>
      </c>
      <c r="AP160" s="677">
        <f t="shared" si="47"/>
        <v>1.558970166346523</v>
      </c>
      <c r="AQ160" s="1148"/>
      <c r="AR160" s="1149"/>
      <c r="CG160" s="179"/>
      <c r="CH160" s="181"/>
      <c r="CI160" s="182"/>
    </row>
    <row r="161" spans="1:87" ht="13.5" customHeight="1" outlineLevel="1" x14ac:dyDescent="0.2">
      <c r="A161" s="368" t="s">
        <v>573</v>
      </c>
      <c r="B161" s="477" t="s">
        <v>1110</v>
      </c>
      <c r="C161" s="427"/>
      <c r="D161" s="431">
        <f>IF(E161="","",VLOOKUP(E161,BASE!$F$20:$H$25,2,FALSE))</f>
        <v>4</v>
      </c>
      <c r="E161" s="399" t="s">
        <v>539</v>
      </c>
      <c r="F161" s="436" t="s">
        <v>546</v>
      </c>
      <c r="G161" s="437">
        <f>IF(F161="","",VLOOKUP(F161,BASE!$B$15:$C$18,2,FALSE))</f>
        <v>3</v>
      </c>
      <c r="H161" s="355">
        <v>30</v>
      </c>
      <c r="I161" s="423">
        <f t="shared" si="37"/>
        <v>30</v>
      </c>
      <c r="J161" s="399">
        <v>10</v>
      </c>
      <c r="K161" s="354"/>
      <c r="L161" s="354"/>
      <c r="M161" s="354"/>
      <c r="N161" s="354"/>
      <c r="O161" s="355">
        <f t="shared" si="38"/>
        <v>10</v>
      </c>
      <c r="P161" s="354"/>
      <c r="Q161" s="354"/>
      <c r="R161" s="355">
        <f t="shared" si="39"/>
        <v>0</v>
      </c>
      <c r="S161" s="354">
        <v>20</v>
      </c>
      <c r="T161" s="354"/>
      <c r="U161" s="354"/>
      <c r="V161" s="355">
        <f t="shared" si="40"/>
        <v>20</v>
      </c>
      <c r="W161" s="354"/>
      <c r="X161" s="477">
        <f t="shared" si="41"/>
        <v>30</v>
      </c>
      <c r="Y161" s="19" t="str">
        <f t="shared" si="42"/>
        <v xml:space="preserve">OK </v>
      </c>
      <c r="Z161" s="404" t="str">
        <f t="shared" si="43"/>
        <v xml:space="preserve"> </v>
      </c>
      <c r="AA161" s="478">
        <f>ROUND((IF(D161=1,(BASE!$G$51*I161),IF(D161=2,(BASE!$G$52*I161),IF(D161=3,(BASE!$G$53*I161),IF(D161=4,(BASE!$G$54*I161),IF(D161=5,(BASE!$G$55*I161),IF(D161=6,(BASE!$G$56*I161),0)))))))/1000,0)*1000</f>
        <v>3342000</v>
      </c>
      <c r="AB161" s="408">
        <v>0</v>
      </c>
      <c r="AC161" s="478">
        <f t="shared" si="44"/>
        <v>3342000</v>
      </c>
      <c r="AD161" s="478">
        <f>IF(G161=3,AC161*BASE!$I$62,IF(G161=1,AC161*(BASE!$I$61),IF(G161=2,AC161*(BASE!$I$63),AC161*BASE!$I$64)))</f>
        <v>35759400</v>
      </c>
      <c r="AE161" s="411">
        <f>IF(I161&lt;10,0,IF(AC161&lt;=BASE!$C$3*2,BASE!$C$2,0)*(AD161/AC161))</f>
        <v>0</v>
      </c>
      <c r="AF161" s="13">
        <v>0</v>
      </c>
      <c r="AG161" s="14">
        <f t="shared" si="35"/>
        <v>1986633.3333333333</v>
      </c>
      <c r="AH161" s="14">
        <f t="shared" si="45"/>
        <v>3145503</v>
      </c>
      <c r="AI161" s="14">
        <f t="shared" si="46"/>
        <v>3145502.777777778</v>
      </c>
      <c r="AJ161" s="14">
        <f t="shared" si="36"/>
        <v>346005.30555555556</v>
      </c>
      <c r="AK161" s="14">
        <f>IF(I161=0,0,IF(G161=5,0,(AC161+AF161/12)*12*BASE!$C$5))</f>
        <v>3408840.0000000005</v>
      </c>
      <c r="AL161" s="14">
        <f>IF(I161=0,0,IF(G161=5,0,(AC161+AF161/12)*12*BASE!$C$7))</f>
        <v>4812480</v>
      </c>
      <c r="AM161" s="14">
        <f>IF(I161=0,0,IF(G161=5,0,(AC161+AF161/12)*12*BASE!$C$9))</f>
        <v>209342.88</v>
      </c>
      <c r="AN161" s="412">
        <f>IF(I161=0,0,IF(G161=5,0,(AD161+AF161+AG161)*BASE!$C$10))</f>
        <v>3397143</v>
      </c>
      <c r="AO161" s="837">
        <f t="shared" si="48"/>
        <v>56210850.296666667</v>
      </c>
      <c r="AP161" s="677">
        <f t="shared" si="47"/>
        <v>1.571918161285331</v>
      </c>
      <c r="AQ161" s="1150" t="s">
        <v>1415</v>
      </c>
      <c r="AR161" s="1149"/>
      <c r="CG161" s="179">
        <v>0</v>
      </c>
      <c r="CH161" s="181">
        <v>1</v>
      </c>
      <c r="CI161" s="182" t="s">
        <v>168</v>
      </c>
    </row>
    <row r="162" spans="1:87" ht="13.5" customHeight="1" outlineLevel="1" x14ac:dyDescent="0.2">
      <c r="A162" s="368" t="s">
        <v>574</v>
      </c>
      <c r="B162" s="477" t="s">
        <v>1111</v>
      </c>
      <c r="C162" s="427"/>
      <c r="D162" s="431">
        <f>IF(E162="","",VLOOKUP(E162,BASE!$F$20:$H$25,2,FALSE))</f>
        <v>5</v>
      </c>
      <c r="E162" s="399" t="s">
        <v>538</v>
      </c>
      <c r="F162" s="436" t="s">
        <v>258</v>
      </c>
      <c r="G162" s="437">
        <f>IF(F162="","",VLOOKUP(F162,BASE!$B$15:$C$18,2,FALSE))</f>
        <v>2</v>
      </c>
      <c r="H162" s="355">
        <v>40</v>
      </c>
      <c r="I162" s="423">
        <f t="shared" si="37"/>
        <v>40</v>
      </c>
      <c r="J162" s="399">
        <v>10</v>
      </c>
      <c r="K162" s="354">
        <v>5</v>
      </c>
      <c r="L162" s="399">
        <v>2</v>
      </c>
      <c r="M162" s="399">
        <v>2</v>
      </c>
      <c r="N162" s="399">
        <v>1</v>
      </c>
      <c r="O162" s="355">
        <f t="shared" si="38"/>
        <v>20</v>
      </c>
      <c r="P162" s="354"/>
      <c r="Q162" s="354"/>
      <c r="R162" s="355">
        <f t="shared" si="39"/>
        <v>0</v>
      </c>
      <c r="S162" s="354"/>
      <c r="T162" s="354"/>
      <c r="U162" s="354"/>
      <c r="V162" s="355">
        <f t="shared" si="40"/>
        <v>0</v>
      </c>
      <c r="W162" s="399">
        <v>20</v>
      </c>
      <c r="X162" s="477">
        <f t="shared" si="41"/>
        <v>40</v>
      </c>
      <c r="Y162" s="19" t="str">
        <f t="shared" si="42"/>
        <v xml:space="preserve">OK </v>
      </c>
      <c r="Z162" s="404" t="str">
        <f t="shared" si="43"/>
        <v xml:space="preserve"> </v>
      </c>
      <c r="AA162" s="478">
        <v>12365000</v>
      </c>
      <c r="AB162" s="408">
        <v>0</v>
      </c>
      <c r="AC162" s="478">
        <f t="shared" si="44"/>
        <v>12365000</v>
      </c>
      <c r="AD162" s="478">
        <f>IF(G162=3,AC162*BASE!$I$62,IF(G162=1,AC162*(BASE!$I$61),IF(G162=2,AC162*(BASE!$I$63),AC162*BASE!$I$64)))</f>
        <v>140548833.33333334</v>
      </c>
      <c r="AE162" s="411">
        <f>IF(I162&lt;10,0,IF(AC162&lt;=BASE!$C$3*2,BASE!$C$2,0)*(AD162/AC162))</f>
        <v>0</v>
      </c>
      <c r="AF162" s="13">
        <v>0</v>
      </c>
      <c r="AG162" s="14">
        <f t="shared" si="35"/>
        <v>7808268.5185185187</v>
      </c>
      <c r="AH162" s="14">
        <f t="shared" si="45"/>
        <v>12363092</v>
      </c>
      <c r="AI162" s="14">
        <f t="shared" si="46"/>
        <v>12363091.820987655</v>
      </c>
      <c r="AJ162" s="14">
        <f t="shared" si="36"/>
        <v>1483571.0185185184</v>
      </c>
      <c r="AK162" s="14">
        <f>IF(I162=0,0,IF(G162=5,0,(AC162+AF162/12)*12*BASE!$C$5))</f>
        <v>12612300</v>
      </c>
      <c r="AL162" s="14">
        <f>IF(I162=0,0,IF(G162=5,0,(AC162+AF162/12)*12*BASE!$C$7))</f>
        <v>17805600</v>
      </c>
      <c r="AM162" s="14">
        <f>IF(I162=0,0,IF(G162=5,0,(AC162+AF162/12)*12*BASE!$C$9))</f>
        <v>774543.6</v>
      </c>
      <c r="AN162" s="412">
        <f>IF(I162=0,0,IF(G162=5,0,(AD162+AF162+AG162)*BASE!$C$10))</f>
        <v>13352139.166666666</v>
      </c>
      <c r="AO162" s="837">
        <f t="shared" si="48"/>
        <v>219111439.45802465</v>
      </c>
      <c r="AP162" s="677">
        <f t="shared" si="47"/>
        <v>1.5589701761406152</v>
      </c>
      <c r="AQ162" s="1148"/>
      <c r="AR162" s="1149"/>
      <c r="CG162" s="179">
        <v>0</v>
      </c>
      <c r="CH162" s="181">
        <v>1</v>
      </c>
      <c r="CI162" s="182" t="s">
        <v>168</v>
      </c>
    </row>
    <row r="163" spans="1:87" ht="13.5" customHeight="1" outlineLevel="1" x14ac:dyDescent="0.2">
      <c r="A163" s="368" t="s">
        <v>575</v>
      </c>
      <c r="B163" s="477" t="s">
        <v>1112</v>
      </c>
      <c r="C163" s="427"/>
      <c r="D163" s="431">
        <f>IF(E163="","",VLOOKUP(E163,BASE!$F$20:$H$25,2,FALSE))</f>
        <v>4</v>
      </c>
      <c r="E163" s="399" t="s">
        <v>539</v>
      </c>
      <c r="F163" s="436" t="s">
        <v>546</v>
      </c>
      <c r="G163" s="437">
        <f>IF(F163="","",VLOOKUP(F163,BASE!$B$15:$C$18,2,FALSE))</f>
        <v>3</v>
      </c>
      <c r="H163" s="355">
        <v>5</v>
      </c>
      <c r="I163" s="423">
        <f t="shared" si="37"/>
        <v>5</v>
      </c>
      <c r="J163" s="354">
        <v>5</v>
      </c>
      <c r="K163" s="354"/>
      <c r="L163" s="354"/>
      <c r="M163" s="354"/>
      <c r="N163" s="354"/>
      <c r="O163" s="355">
        <f t="shared" si="38"/>
        <v>5</v>
      </c>
      <c r="P163" s="354"/>
      <c r="Q163" s="354"/>
      <c r="R163" s="355">
        <f t="shared" si="39"/>
        <v>0</v>
      </c>
      <c r="S163" s="354"/>
      <c r="T163" s="354"/>
      <c r="U163" s="354"/>
      <c r="V163" s="355">
        <f t="shared" si="40"/>
        <v>0</v>
      </c>
      <c r="W163" s="354"/>
      <c r="X163" s="477">
        <f t="shared" si="41"/>
        <v>5</v>
      </c>
      <c r="Y163" s="19" t="str">
        <f t="shared" si="42"/>
        <v xml:space="preserve">OK </v>
      </c>
      <c r="Z163" s="404" t="str">
        <f t="shared" si="43"/>
        <v xml:space="preserve"> </v>
      </c>
      <c r="AA163" s="478">
        <f>ROUND((IF(D163=1,(BASE!$G$51*I163),IF(D163=2,(BASE!$G$52*I163),IF(D163=3,(BASE!$G$53*I163),IF(D163=4,(BASE!$G$54*I163),IF(D163=5,(BASE!$G$55*I163),IF(D163=6,(BASE!$G$56*I163),0)))))))/1000,0)*1000</f>
        <v>557000</v>
      </c>
      <c r="AB163" s="408">
        <v>0</v>
      </c>
      <c r="AC163" s="478">
        <f t="shared" si="44"/>
        <v>557000</v>
      </c>
      <c r="AD163" s="478">
        <f>IF(G163=3,AC163*BASE!$I$62,IF(G163=1,AC163*(BASE!$I$61),IF(G163=2,AC163*(BASE!$I$63),AC163*BASE!$I$64)))</f>
        <v>5959900</v>
      </c>
      <c r="AE163" s="411">
        <f>IF(I163&lt;10,0,IF(AC163&lt;=BASE!$C$3*2,BASE!$C$2,0)*(AD163/AC163))</f>
        <v>0</v>
      </c>
      <c r="AF163" s="13">
        <v>0</v>
      </c>
      <c r="AG163" s="14">
        <f t="shared" si="35"/>
        <v>331105.55555555556</v>
      </c>
      <c r="AH163" s="14">
        <f t="shared" si="45"/>
        <v>524250</v>
      </c>
      <c r="AI163" s="14">
        <f t="shared" si="46"/>
        <v>524250.46296296292</v>
      </c>
      <c r="AJ163" s="14">
        <f t="shared" si="36"/>
        <v>57667.55092592592</v>
      </c>
      <c r="AK163" s="14">
        <f>IF(I163=0,0,IF(G163=5,0,(AC163+AF163/12)*12*BASE!$C$5))</f>
        <v>568140</v>
      </c>
      <c r="AL163" s="14">
        <f>IF(I163=0,0,IF(G163=5,0,(AC163+AF163/12)*12*BASE!$C$7))</f>
        <v>802080</v>
      </c>
      <c r="AM163" s="14">
        <f>IF(I163=0,0,IF(G163=5,0,(AC163+AF163/12)*12*BASE!$C$9))</f>
        <v>34890.479999999996</v>
      </c>
      <c r="AN163" s="412">
        <f>IF(I163=0,0,IF(G163=5,0,(AD163+AF163+AG163)*BASE!$C$10))</f>
        <v>566190.5</v>
      </c>
      <c r="AO163" s="837">
        <f t="shared" si="48"/>
        <v>9368474.5494444445</v>
      </c>
      <c r="AP163" s="677">
        <f t="shared" si="47"/>
        <v>1.571918077391306</v>
      </c>
      <c r="AQ163" s="1148"/>
      <c r="AR163" s="1149"/>
      <c r="CG163" s="179">
        <v>0</v>
      </c>
      <c r="CH163" s="181">
        <v>1</v>
      </c>
      <c r="CI163" s="182" t="s">
        <v>168</v>
      </c>
    </row>
    <row r="164" spans="1:87" ht="13.5" customHeight="1" outlineLevel="1" x14ac:dyDescent="0.2">
      <c r="A164" s="368" t="s">
        <v>576</v>
      </c>
      <c r="B164" s="477" t="s">
        <v>1113</v>
      </c>
      <c r="C164" s="427"/>
      <c r="D164" s="431">
        <f>IF(E164="","",VLOOKUP(E164,BASE!$F$20:$H$25,2,FALSE))</f>
        <v>2</v>
      </c>
      <c r="E164" s="399" t="s">
        <v>541</v>
      </c>
      <c r="F164" s="436" t="s">
        <v>546</v>
      </c>
      <c r="G164" s="437">
        <f>IF(F164="","",VLOOKUP(F164,BASE!$B$15:$C$18,2,FALSE))</f>
        <v>3</v>
      </c>
      <c r="H164" s="355">
        <v>10</v>
      </c>
      <c r="I164" s="423">
        <f t="shared" si="37"/>
        <v>10</v>
      </c>
      <c r="J164" s="399">
        <v>10</v>
      </c>
      <c r="K164" s="354"/>
      <c r="L164" s="354"/>
      <c r="M164" s="354"/>
      <c r="N164" s="354"/>
      <c r="O164" s="355">
        <f t="shared" si="38"/>
        <v>10</v>
      </c>
      <c r="P164" s="354"/>
      <c r="Q164" s="354"/>
      <c r="R164" s="355">
        <f t="shared" si="39"/>
        <v>0</v>
      </c>
      <c r="S164" s="354"/>
      <c r="T164" s="354"/>
      <c r="U164" s="354"/>
      <c r="V164" s="355">
        <f t="shared" si="40"/>
        <v>0</v>
      </c>
      <c r="W164" s="354"/>
      <c r="X164" s="477">
        <f t="shared" si="41"/>
        <v>10</v>
      </c>
      <c r="Y164" s="19" t="str">
        <f t="shared" si="42"/>
        <v xml:space="preserve">OK </v>
      </c>
      <c r="Z164" s="404" t="str">
        <f t="shared" si="43"/>
        <v xml:space="preserve"> </v>
      </c>
      <c r="AA164" s="478">
        <f>ROUND((IF(D164=1,(BASE!$G$51*I164),IF(D164=2,(BASE!$G$52*I164),IF(D164=3,(BASE!$G$53*I164),IF(D164=4,(BASE!$G$54*I164),IF(D164=5,(BASE!$G$55*I164),IF(D164=6,(BASE!$G$56*I164),0)))))))/1000,0)*1000</f>
        <v>2004000</v>
      </c>
      <c r="AB164" s="408">
        <v>0</v>
      </c>
      <c r="AC164" s="478">
        <f t="shared" si="44"/>
        <v>2004000</v>
      </c>
      <c r="AD164" s="478">
        <f>IF(G164=3,AC164*BASE!$I$62,IF(G164=1,AC164*(BASE!$I$61),IF(G164=2,AC164*(BASE!$I$63),AC164*BASE!$I$64)))</f>
        <v>21442800</v>
      </c>
      <c r="AE164" s="411">
        <f>IF(I164&lt;10,0,IF(AC164&lt;=BASE!$C$3*2,BASE!$C$2,0)*(AD164/AC164))</f>
        <v>0</v>
      </c>
      <c r="AF164" s="13">
        <v>0</v>
      </c>
      <c r="AG164" s="14">
        <f t="shared" si="35"/>
        <v>1191266.6666666667</v>
      </c>
      <c r="AH164" s="14">
        <f t="shared" si="45"/>
        <v>1886172</v>
      </c>
      <c r="AI164" s="14">
        <f t="shared" si="46"/>
        <v>1886172.2222222222</v>
      </c>
      <c r="AJ164" s="14">
        <f t="shared" si="36"/>
        <v>207478.94444444444</v>
      </c>
      <c r="AK164" s="14">
        <f>IF(I164=0,0,IF(G164=5,0,(AC164+AF164/12)*12*BASE!$C$5))</f>
        <v>2044080.0000000002</v>
      </c>
      <c r="AL164" s="14">
        <f>IF(I164=0,0,IF(G164=5,0,(AC164+AF164/12)*12*BASE!$C$7))</f>
        <v>2885760</v>
      </c>
      <c r="AM164" s="14">
        <f>IF(I164=0,0,IF(G164=5,0,(AC164+AF164/12)*12*BASE!$C$9))</f>
        <v>125530.56</v>
      </c>
      <c r="AN164" s="412">
        <f>IF(I164=0,0,IF(G164=5,0,(AD164+AF164+AG164)*BASE!$C$10))</f>
        <v>2037066</v>
      </c>
      <c r="AO164" s="837">
        <f t="shared" si="48"/>
        <v>33706326.393333331</v>
      </c>
      <c r="AP164" s="677">
        <f t="shared" si="47"/>
        <v>1.5719181447074697</v>
      </c>
      <c r="AQ164" s="1148"/>
      <c r="AR164" s="1149"/>
      <c r="CG164" s="179">
        <v>0</v>
      </c>
      <c r="CH164" s="181">
        <v>1</v>
      </c>
      <c r="CI164" s="182" t="s">
        <v>168</v>
      </c>
    </row>
    <row r="165" spans="1:87" ht="13.5" customHeight="1" outlineLevel="1" x14ac:dyDescent="0.2">
      <c r="A165" s="368" t="s">
        <v>577</v>
      </c>
      <c r="B165" s="477" t="s">
        <v>1114</v>
      </c>
      <c r="C165" s="427"/>
      <c r="D165" s="431">
        <f>IF(E165="","",VLOOKUP(E165,BASE!$F$20:$H$25,2,FALSE))</f>
        <v>4</v>
      </c>
      <c r="E165" s="399" t="s">
        <v>539</v>
      </c>
      <c r="F165" s="436" t="s">
        <v>546</v>
      </c>
      <c r="G165" s="437">
        <f>IF(F165="","",VLOOKUP(F165,BASE!$B$15:$C$18,2,FALSE))</f>
        <v>3</v>
      </c>
      <c r="H165" s="355">
        <v>10</v>
      </c>
      <c r="I165" s="423">
        <f t="shared" si="37"/>
        <v>10</v>
      </c>
      <c r="J165" s="399">
        <v>10</v>
      </c>
      <c r="K165" s="354"/>
      <c r="L165" s="354"/>
      <c r="M165" s="354"/>
      <c r="N165" s="354"/>
      <c r="O165" s="355">
        <f t="shared" si="38"/>
        <v>10</v>
      </c>
      <c r="P165" s="354"/>
      <c r="Q165" s="354"/>
      <c r="R165" s="355">
        <f t="shared" si="39"/>
        <v>0</v>
      </c>
      <c r="S165" s="354"/>
      <c r="T165" s="354"/>
      <c r="U165" s="354"/>
      <c r="V165" s="355">
        <f t="shared" si="40"/>
        <v>0</v>
      </c>
      <c r="W165" s="354"/>
      <c r="X165" s="477">
        <f t="shared" si="41"/>
        <v>10</v>
      </c>
      <c r="Y165" s="19" t="str">
        <f t="shared" si="42"/>
        <v xml:space="preserve">OK </v>
      </c>
      <c r="Z165" s="404" t="str">
        <f t="shared" si="43"/>
        <v xml:space="preserve"> </v>
      </c>
      <c r="AA165" s="478">
        <f>ROUND((IF(D165=1,(BASE!$G$51*I165),IF(D165=2,(BASE!$G$52*I165),IF(D165=3,(BASE!$G$53*I165),IF(D165=4,(BASE!$G$54*I165),IF(D165=5,(BASE!$G$55*I165),IF(D165=6,(BASE!$G$56*I165),0)))))))/1000,0)*1000</f>
        <v>1114000</v>
      </c>
      <c r="AB165" s="408">
        <v>0</v>
      </c>
      <c r="AC165" s="478">
        <f t="shared" si="44"/>
        <v>1114000</v>
      </c>
      <c r="AD165" s="478">
        <f>IF(G165=3,AC165*BASE!$I$62,IF(G165=1,AC165*(BASE!$I$61),IF(G165=2,AC165*(BASE!$I$63),AC165*BASE!$I$64)))</f>
        <v>11919800</v>
      </c>
      <c r="AE165" s="411">
        <f>IF(I165&lt;10,0,IF(AC165&lt;=BASE!$C$3*2,BASE!$C$2,0)*(AD165/AC165))</f>
        <v>943857.7</v>
      </c>
      <c r="AF165" s="13">
        <v>0</v>
      </c>
      <c r="AG165" s="14">
        <f t="shared" si="35"/>
        <v>662211.11111111112</v>
      </c>
      <c r="AH165" s="14">
        <f t="shared" si="45"/>
        <v>1127156</v>
      </c>
      <c r="AI165" s="14">
        <f t="shared" si="46"/>
        <v>1127155.7342592592</v>
      </c>
      <c r="AJ165" s="14">
        <f t="shared" si="36"/>
        <v>123987.13076851852</v>
      </c>
      <c r="AK165" s="14">
        <f>IF(I165=0,0,IF(G165=5,0,(AC165+AF165/12)*12*BASE!$C$5))</f>
        <v>1136280</v>
      </c>
      <c r="AL165" s="14">
        <f>IF(I165=0,0,IF(G165=5,0,(AC165+AF165/12)*12*BASE!$C$7))</f>
        <v>1604160</v>
      </c>
      <c r="AM165" s="14">
        <f>IF(I165=0,0,IF(G165=5,0,(AC165+AF165/12)*12*BASE!$C$9))</f>
        <v>69780.959999999992</v>
      </c>
      <c r="AN165" s="412">
        <f>IF(I165=0,0,IF(G165=5,0,(AD165+AF165+AG165)*BASE!$C$10))</f>
        <v>1132381</v>
      </c>
      <c r="AO165" s="837">
        <f t="shared" si="48"/>
        <v>19846769.63613889</v>
      </c>
      <c r="AP165" s="677">
        <f t="shared" si="47"/>
        <v>1.6650253893638223</v>
      </c>
      <c r="AQ165" s="1148"/>
      <c r="AR165" s="1149"/>
      <c r="CG165" s="179">
        <v>0</v>
      </c>
      <c r="CH165" s="181">
        <v>1</v>
      </c>
      <c r="CI165" s="182" t="s">
        <v>168</v>
      </c>
    </row>
    <row r="166" spans="1:87" ht="13.5" customHeight="1" outlineLevel="1" x14ac:dyDescent="0.2">
      <c r="A166" s="368" t="s">
        <v>578</v>
      </c>
      <c r="B166" s="477" t="s">
        <v>1115</v>
      </c>
      <c r="C166" s="427"/>
      <c r="D166" s="431">
        <f>IF(E166="","",VLOOKUP(E166,BASE!$F$20:$H$25,2,FALSE))</f>
        <v>3</v>
      </c>
      <c r="E166" s="399" t="s">
        <v>540</v>
      </c>
      <c r="F166" s="436" t="s">
        <v>863</v>
      </c>
      <c r="G166" s="437">
        <f>IF(F166="","",VLOOKUP(F166,BASE!$B$15:$C$18,2,FALSE))</f>
        <v>4</v>
      </c>
      <c r="H166" s="355">
        <v>40</v>
      </c>
      <c r="I166" s="423">
        <f t="shared" si="37"/>
        <v>40</v>
      </c>
      <c r="J166" s="399">
        <v>18</v>
      </c>
      <c r="K166" s="354">
        <v>8</v>
      </c>
      <c r="L166" s="399">
        <v>4</v>
      </c>
      <c r="M166" s="399">
        <v>4</v>
      </c>
      <c r="N166" s="399">
        <v>2</v>
      </c>
      <c r="O166" s="355">
        <f t="shared" si="38"/>
        <v>36</v>
      </c>
      <c r="P166" s="354"/>
      <c r="Q166" s="399">
        <v>4</v>
      </c>
      <c r="R166" s="355">
        <f t="shared" si="39"/>
        <v>4</v>
      </c>
      <c r="S166" s="354"/>
      <c r="T166" s="354"/>
      <c r="U166" s="354"/>
      <c r="V166" s="355">
        <f t="shared" si="40"/>
        <v>0</v>
      </c>
      <c r="W166" s="354"/>
      <c r="X166" s="477">
        <f t="shared" si="41"/>
        <v>40</v>
      </c>
      <c r="Y166" s="19" t="str">
        <f t="shared" si="42"/>
        <v xml:space="preserve">OK </v>
      </c>
      <c r="Z166" s="404" t="str">
        <f t="shared" si="43"/>
        <v xml:space="preserve"> </v>
      </c>
      <c r="AA166" s="478">
        <f>ROUND((IF(D166=1,(BASE!$G$51*I166),IF(D166=2,(BASE!$G$52*I166),IF(D166=3,(BASE!$G$53*I166),IF(D166=4,(BASE!$G$54*I166),IF(D166=5,(BASE!$G$55*I166),IF(D166=6,(BASE!$G$56*I166),0)))))))/1000,0)*1000</f>
        <v>5472000</v>
      </c>
      <c r="AB166" s="408">
        <v>781000</v>
      </c>
      <c r="AC166" s="478">
        <f t="shared" si="44"/>
        <v>6253000</v>
      </c>
      <c r="AD166" s="478">
        <f>IF(G166=3,AC166*BASE!$I$62,IF(G166=1,AC166*(BASE!$I$61),IF(G166=2,AC166*(BASE!$I$63),AC166*BASE!$I$64)))</f>
        <v>71075766.666666672</v>
      </c>
      <c r="AE166" s="411">
        <f>IF(I166&lt;10,0,IF(AC166&lt;=BASE!$C$3*2,BASE!$C$2,0)*(AD166/AC166))</f>
        <v>0</v>
      </c>
      <c r="AF166" s="13">
        <v>0</v>
      </c>
      <c r="AG166" s="14">
        <f t="shared" si="35"/>
        <v>3948653.7037037038</v>
      </c>
      <c r="AH166" s="14">
        <f t="shared" si="45"/>
        <v>6252035</v>
      </c>
      <c r="AI166" s="14">
        <f t="shared" si="46"/>
        <v>6252035.0308641978</v>
      </c>
      <c r="AJ166" s="14">
        <f t="shared" si="36"/>
        <v>750244.20370370371</v>
      </c>
      <c r="AK166" s="14">
        <f>IF(I166=0,0,IF(G166=5,0,(AC166+AF166/12)*12*BASE!$C$5))</f>
        <v>6378060</v>
      </c>
      <c r="AL166" s="14">
        <f>IF(I166=0,0,IF(G166=5,0,(AC166+AF166/12)*12*BASE!$C$7))</f>
        <v>9004320</v>
      </c>
      <c r="AM166" s="14">
        <f>IF(I166=0,0,IF(G166=5,0,(AC166+AF166/12)*12*BASE!$C$9))</f>
        <v>391687.92</v>
      </c>
      <c r="AN166" s="412">
        <f>IF(I166=0,0,IF(G166=5,0,(AD166+AF166+AG166)*BASE!$C$10))</f>
        <v>6752197.833333333</v>
      </c>
      <c r="AO166" s="837">
        <f t="shared" si="48"/>
        <v>110805000.3582716</v>
      </c>
      <c r="AP166" s="677">
        <f t="shared" si="47"/>
        <v>1.5589701744327054</v>
      </c>
      <c r="AQ166" s="1148"/>
      <c r="AR166" s="1149"/>
      <c r="CG166" s="179">
        <v>0</v>
      </c>
      <c r="CH166" s="181">
        <v>1</v>
      </c>
      <c r="CI166" s="182" t="s">
        <v>168</v>
      </c>
    </row>
    <row r="167" spans="1:87" ht="13.5" customHeight="1" outlineLevel="1" x14ac:dyDescent="0.2">
      <c r="A167" s="368" t="s">
        <v>579</v>
      </c>
      <c r="B167" s="477" t="s">
        <v>1116</v>
      </c>
      <c r="C167" s="427"/>
      <c r="D167" s="431">
        <f>IF(E167="","",VLOOKUP(E167,BASE!$F$20:$H$25,2,FALSE))</f>
        <v>2</v>
      </c>
      <c r="E167" s="399" t="s">
        <v>541</v>
      </c>
      <c r="F167" s="436" t="s">
        <v>258</v>
      </c>
      <c r="G167" s="437">
        <f>IF(F167="","",VLOOKUP(F167,BASE!$B$15:$C$18,2,FALSE))</f>
        <v>2</v>
      </c>
      <c r="H167" s="355">
        <v>10</v>
      </c>
      <c r="I167" s="423">
        <f t="shared" si="37"/>
        <v>10</v>
      </c>
      <c r="J167" s="399">
        <v>6</v>
      </c>
      <c r="K167" s="354">
        <v>2</v>
      </c>
      <c r="L167" s="399">
        <v>2</v>
      </c>
      <c r="M167" s="354"/>
      <c r="N167" s="354"/>
      <c r="O167" s="355">
        <f t="shared" si="38"/>
        <v>10</v>
      </c>
      <c r="P167" s="354"/>
      <c r="Q167" s="354"/>
      <c r="R167" s="355">
        <f t="shared" si="39"/>
        <v>0</v>
      </c>
      <c r="S167" s="354"/>
      <c r="T167" s="354"/>
      <c r="U167" s="354"/>
      <c r="V167" s="355">
        <f t="shared" si="40"/>
        <v>0</v>
      </c>
      <c r="W167" s="354"/>
      <c r="X167" s="477">
        <f t="shared" si="41"/>
        <v>10</v>
      </c>
      <c r="Y167" s="19" t="str">
        <f t="shared" si="42"/>
        <v xml:space="preserve">OK </v>
      </c>
      <c r="Z167" s="404" t="str">
        <f t="shared" si="43"/>
        <v xml:space="preserve"> </v>
      </c>
      <c r="AA167" s="478">
        <f>ROUND((IF(D167=1,(BASE!$G$51*I167),IF(D167=2,(BASE!$G$52*I167),IF(D167=3,(BASE!$G$53*I167),IF(D167=4,(BASE!$G$54*I167),IF(D167=5,(BASE!$G$55*I167),IF(D167=6,(BASE!$G$56*I167),0)))))))/1000,0)*1000</f>
        <v>2004000</v>
      </c>
      <c r="AB167" s="408">
        <v>581000</v>
      </c>
      <c r="AC167" s="478">
        <f t="shared" si="44"/>
        <v>2585000</v>
      </c>
      <c r="AD167" s="478">
        <f>IF(G167=3,AC167*BASE!$I$62,IF(G167=1,AC167*(BASE!$I$61),IF(G167=2,AC167*(BASE!$I$63),AC167*BASE!$I$64)))</f>
        <v>29382833.333333336</v>
      </c>
      <c r="AE167" s="411">
        <f>IF(I167&lt;10,0,IF(AC167&lt;=BASE!$C$3*2,BASE!$C$2,0)*(AD167/AC167))</f>
        <v>0</v>
      </c>
      <c r="AF167" s="13">
        <v>0</v>
      </c>
      <c r="AG167" s="14">
        <f t="shared" si="35"/>
        <v>1632379.6296296297</v>
      </c>
      <c r="AH167" s="14">
        <f t="shared" si="45"/>
        <v>2584601</v>
      </c>
      <c r="AI167" s="14">
        <f t="shared" si="46"/>
        <v>2584601.0802469137</v>
      </c>
      <c r="AJ167" s="14">
        <f t="shared" si="36"/>
        <v>310152.12962962961</v>
      </c>
      <c r="AK167" s="14">
        <f>IF(I167=0,0,IF(G167=5,0,(AC167+AF167/12)*12*BASE!$C$5))</f>
        <v>2636700</v>
      </c>
      <c r="AL167" s="14">
        <f>IF(I167=0,0,IF(G167=5,0,(AC167+AF167/12)*12*BASE!$C$7))</f>
        <v>3722400</v>
      </c>
      <c r="AM167" s="14">
        <f>IF(I167=0,0,IF(G167=5,0,(AC167+AF167/12)*12*BASE!$C$9))</f>
        <v>161924.4</v>
      </c>
      <c r="AN167" s="412">
        <f>IF(I167=0,0,IF(G167=5,0,(AD167+AF167+AG167)*BASE!$C$10))</f>
        <v>2791369.166666667</v>
      </c>
      <c r="AO167" s="837">
        <f t="shared" si="48"/>
        <v>45806960.73950617</v>
      </c>
      <c r="AP167" s="677">
        <f t="shared" si="47"/>
        <v>1.5589701721358673</v>
      </c>
      <c r="AQ167" s="1148"/>
      <c r="AR167" s="1149"/>
      <c r="CG167" s="179">
        <v>0</v>
      </c>
      <c r="CH167" s="181">
        <v>1</v>
      </c>
      <c r="CI167" s="182" t="s">
        <v>168</v>
      </c>
    </row>
    <row r="168" spans="1:87" ht="13.5" customHeight="1" outlineLevel="1" x14ac:dyDescent="0.2">
      <c r="A168" s="368" t="s">
        <v>580</v>
      </c>
      <c r="B168" s="477" t="s">
        <v>1117</v>
      </c>
      <c r="C168" s="427"/>
      <c r="D168" s="431">
        <f>IF(E168="","",VLOOKUP(E168,BASE!$F$20:$H$25,2,FALSE))</f>
        <v>4</v>
      </c>
      <c r="E168" s="399" t="s">
        <v>539</v>
      </c>
      <c r="F168" s="436" t="s">
        <v>258</v>
      </c>
      <c r="G168" s="437">
        <f>IF(F168="","",VLOOKUP(F168,BASE!$B$15:$C$18,2,FALSE))</f>
        <v>2</v>
      </c>
      <c r="H168" s="355">
        <v>20</v>
      </c>
      <c r="I168" s="423">
        <f t="shared" si="37"/>
        <v>20</v>
      </c>
      <c r="J168" s="354"/>
      <c r="K168" s="354"/>
      <c r="L168" s="354"/>
      <c r="M168" s="354"/>
      <c r="N168" s="354"/>
      <c r="O168" s="355">
        <f t="shared" si="38"/>
        <v>0</v>
      </c>
      <c r="P168" s="354"/>
      <c r="Q168" s="354"/>
      <c r="R168" s="355">
        <f t="shared" si="39"/>
        <v>0</v>
      </c>
      <c r="S168" s="354"/>
      <c r="T168" s="354"/>
      <c r="U168" s="354"/>
      <c r="V168" s="355">
        <f t="shared" si="40"/>
        <v>0</v>
      </c>
      <c r="W168" s="354">
        <v>20</v>
      </c>
      <c r="X168" s="477">
        <f t="shared" si="41"/>
        <v>20</v>
      </c>
      <c r="Y168" s="19" t="str">
        <f t="shared" si="42"/>
        <v xml:space="preserve">OK </v>
      </c>
      <c r="Z168" s="404" t="str">
        <f t="shared" si="43"/>
        <v xml:space="preserve"> </v>
      </c>
      <c r="AA168" s="478">
        <v>6183000</v>
      </c>
      <c r="AB168" s="408">
        <v>0</v>
      </c>
      <c r="AC168" s="478">
        <f t="shared" si="44"/>
        <v>6183000</v>
      </c>
      <c r="AD168" s="478">
        <f>IF(G168=3,AC168*BASE!$I$62,IF(G168=1,AC168*(BASE!$I$61),IF(G168=2,AC168*(BASE!$I$63),AC168*BASE!$I$64)))</f>
        <v>70280100</v>
      </c>
      <c r="AE168" s="411">
        <f>IF(I168&lt;10,0,IF(AC168&lt;=BASE!$C$3*2,BASE!$C$2,0)*(AD168/AC168))</f>
        <v>0</v>
      </c>
      <c r="AF168" s="13">
        <v>0</v>
      </c>
      <c r="AG168" s="14">
        <f t="shared" si="35"/>
        <v>3904450</v>
      </c>
      <c r="AH168" s="14">
        <f t="shared" si="45"/>
        <v>6182046</v>
      </c>
      <c r="AI168" s="14">
        <f t="shared" si="46"/>
        <v>6182045.833333333</v>
      </c>
      <c r="AJ168" s="14">
        <f t="shared" si="36"/>
        <v>741845.49999999988</v>
      </c>
      <c r="AK168" s="14">
        <f>IF(I168=0,0,IF(G168=5,0,(AC168+AF168/12)*12*BASE!$C$5))</f>
        <v>6306660</v>
      </c>
      <c r="AL168" s="14">
        <f>IF(I168=0,0,IF(G168=5,0,(AC168+AF168/12)*12*BASE!$C$7))</f>
        <v>8903520</v>
      </c>
      <c r="AM168" s="14">
        <f>IF(I168=0,0,IF(G168=5,0,(AC168+AF168/12)*12*BASE!$C$9))</f>
        <v>387303.12</v>
      </c>
      <c r="AN168" s="412">
        <f>IF(I168=0,0,IF(G168=5,0,(AD168+AF168+AG168)*BASE!$C$10))</f>
        <v>6676609.5</v>
      </c>
      <c r="AO168" s="837">
        <f t="shared" si="48"/>
        <v>109564579.95333333</v>
      </c>
      <c r="AP168" s="677">
        <f t="shared" si="47"/>
        <v>1.5589701772384121</v>
      </c>
      <c r="AQ168" s="1148"/>
      <c r="AR168" s="1149"/>
      <c r="CG168" s="179">
        <v>0</v>
      </c>
      <c r="CH168" s="181">
        <v>1</v>
      </c>
      <c r="CI168" s="182" t="s">
        <v>168</v>
      </c>
    </row>
    <row r="169" spans="1:87" ht="13.5" customHeight="1" outlineLevel="1" x14ac:dyDescent="0.2">
      <c r="A169" s="368" t="s">
        <v>581</v>
      </c>
      <c r="B169" s="477" t="s">
        <v>1118</v>
      </c>
      <c r="C169" s="427"/>
      <c r="D169" s="431">
        <f>IF(E169="","",VLOOKUP(E169,BASE!$F$20:$H$25,2,FALSE))</f>
        <v>5</v>
      </c>
      <c r="E169" s="399" t="s">
        <v>538</v>
      </c>
      <c r="F169" s="436" t="s">
        <v>546</v>
      </c>
      <c r="G169" s="437">
        <f>IF(F169="","",VLOOKUP(F169,BASE!$B$15:$C$18,2,FALSE))</f>
        <v>3</v>
      </c>
      <c r="H169" s="355">
        <v>40</v>
      </c>
      <c r="I169" s="423">
        <f t="shared" si="37"/>
        <v>40</v>
      </c>
      <c r="J169" s="354">
        <v>12</v>
      </c>
      <c r="K169" s="354">
        <v>4</v>
      </c>
      <c r="L169" s="399">
        <v>4</v>
      </c>
      <c r="M169" s="354"/>
      <c r="N169" s="399">
        <v>4</v>
      </c>
      <c r="O169" s="355">
        <f t="shared" si="38"/>
        <v>24</v>
      </c>
      <c r="P169" s="399">
        <v>12</v>
      </c>
      <c r="Q169" s="354"/>
      <c r="R169" s="355">
        <f t="shared" si="39"/>
        <v>12</v>
      </c>
      <c r="S169" s="354"/>
      <c r="T169" s="354"/>
      <c r="U169" s="354"/>
      <c r="V169" s="355">
        <f t="shared" si="40"/>
        <v>0</v>
      </c>
      <c r="W169" s="354">
        <v>4</v>
      </c>
      <c r="X169" s="477">
        <f t="shared" si="41"/>
        <v>40</v>
      </c>
      <c r="Y169" s="19" t="str">
        <f t="shared" si="42"/>
        <v xml:space="preserve">OK </v>
      </c>
      <c r="Z169" s="404" t="str">
        <f t="shared" si="43"/>
        <v xml:space="preserve"> </v>
      </c>
      <c r="AA169" s="478">
        <f>ROUND((IF(D169=1,(BASE!$G$51*I169),IF(D169=2,(BASE!$G$52*I169),IF(D169=3,(BASE!$G$53*I169),IF(D169=4,(BASE!$G$54*I169),IF(D169=5,(BASE!$G$55*I169),IF(D169=6,(BASE!$G$56*I169),0)))))))/1000,0)*1000</f>
        <v>3560000</v>
      </c>
      <c r="AB169" s="408">
        <v>0</v>
      </c>
      <c r="AC169" s="478">
        <f t="shared" si="44"/>
        <v>3560000</v>
      </c>
      <c r="AD169" s="478">
        <f>IF(G169=3,AC169*BASE!$I$62,IF(G169=1,AC169*(BASE!$I$61),IF(G169=2,AC169*(BASE!$I$63),AC169*BASE!$I$64)))</f>
        <v>38092000</v>
      </c>
      <c r="AE169" s="411">
        <f>IF(I169&lt;10,0,IF(AC169&lt;=BASE!$C$3*2,BASE!$C$2,0)*(AD169/AC169))</f>
        <v>0</v>
      </c>
      <c r="AF169" s="13">
        <v>0</v>
      </c>
      <c r="AG169" s="14">
        <f t="shared" si="35"/>
        <v>2116222.2222222225</v>
      </c>
      <c r="AH169" s="14">
        <f t="shared" si="45"/>
        <v>3350685</v>
      </c>
      <c r="AI169" s="14">
        <f t="shared" si="46"/>
        <v>3350685.1851851852</v>
      </c>
      <c r="AJ169" s="14">
        <f t="shared" si="36"/>
        <v>368575.37037037039</v>
      </c>
      <c r="AK169" s="14">
        <f>IF(I169=0,0,IF(G169=5,0,(AC169+AF169/12)*12*BASE!$C$5))</f>
        <v>3631200.0000000005</v>
      </c>
      <c r="AL169" s="14">
        <f>IF(I169=0,0,IF(G169=5,0,(AC169+AF169/12)*12*BASE!$C$7))</f>
        <v>5126400</v>
      </c>
      <c r="AM169" s="14">
        <f>IF(I169=0,0,IF(G169=5,0,(AC169+AF169/12)*12*BASE!$C$9))</f>
        <v>222998.39999999999</v>
      </c>
      <c r="AN169" s="412">
        <f>IF(I169=0,0,IF(G169=5,0,(AD169+AF169+AG169)*BASE!$C$10))</f>
        <v>3618740</v>
      </c>
      <c r="AO169" s="837">
        <f t="shared" si="48"/>
        <v>59877506.177777782</v>
      </c>
      <c r="AP169" s="677">
        <f t="shared" si="47"/>
        <v>1.5719181502094346</v>
      </c>
      <c r="AQ169" s="1148"/>
      <c r="AR169" s="1149"/>
      <c r="CG169" s="179"/>
      <c r="CH169" s="181"/>
      <c r="CI169" s="182"/>
    </row>
    <row r="170" spans="1:87" ht="13.5" customHeight="1" outlineLevel="1" x14ac:dyDescent="0.2">
      <c r="A170" s="368" t="s">
        <v>581</v>
      </c>
      <c r="B170" s="477" t="s">
        <v>1119</v>
      </c>
      <c r="C170" s="427"/>
      <c r="D170" s="431">
        <f>IF(E170="","",VLOOKUP(E170,BASE!$F$20:$H$25,2,FALSE))</f>
        <v>4</v>
      </c>
      <c r="E170" s="399" t="s">
        <v>539</v>
      </c>
      <c r="F170" s="436" t="s">
        <v>863</v>
      </c>
      <c r="G170" s="437">
        <f>IF(F170="","",VLOOKUP(F170,BASE!$B$15:$C$18,2,FALSE))</f>
        <v>4</v>
      </c>
      <c r="H170" s="355">
        <v>40</v>
      </c>
      <c r="I170" s="423">
        <f t="shared" si="37"/>
        <v>40</v>
      </c>
      <c r="J170" s="354">
        <v>4</v>
      </c>
      <c r="K170" s="354">
        <v>2</v>
      </c>
      <c r="L170" s="399">
        <v>2</v>
      </c>
      <c r="M170" s="399">
        <v>30</v>
      </c>
      <c r="N170" s="354"/>
      <c r="O170" s="355">
        <f t="shared" si="38"/>
        <v>38</v>
      </c>
      <c r="P170" s="354"/>
      <c r="Q170" s="354"/>
      <c r="R170" s="355">
        <f t="shared" si="39"/>
        <v>0</v>
      </c>
      <c r="S170" s="354"/>
      <c r="T170" s="354"/>
      <c r="U170" s="354"/>
      <c r="V170" s="355">
        <f t="shared" si="40"/>
        <v>0</v>
      </c>
      <c r="W170" s="354">
        <v>2</v>
      </c>
      <c r="X170" s="477">
        <f t="shared" si="41"/>
        <v>40</v>
      </c>
      <c r="Y170" s="19" t="str">
        <f t="shared" si="42"/>
        <v xml:space="preserve">OK </v>
      </c>
      <c r="Z170" s="404" t="str">
        <f t="shared" si="43"/>
        <v xml:space="preserve"> </v>
      </c>
      <c r="AA170" s="478">
        <f>ROUND((IF(D170=1,(BASE!$G$51*I170),IF(D170=2,(BASE!$G$52*I170),IF(D170=3,(BASE!$G$53*I170),IF(D170=4,(BASE!$G$54*I170),IF(D170=5,(BASE!$G$55*I170),IF(D170=6,(BASE!$G$56*I170),0)))))))/1000,0)*1000</f>
        <v>4456000</v>
      </c>
      <c r="AB170" s="408">
        <v>0</v>
      </c>
      <c r="AC170" s="478">
        <f t="shared" si="44"/>
        <v>4456000</v>
      </c>
      <c r="AD170" s="478">
        <f>IF(G170=3,AC170*BASE!$I$62,IF(G170=1,AC170*(BASE!$I$61),IF(G170=2,AC170*(BASE!$I$63),AC170*BASE!$I$64)))</f>
        <v>50649866.666666672</v>
      </c>
      <c r="AE170" s="411">
        <f>IF(I170&lt;10,0,IF(AC170&lt;=BASE!$C$3*2,BASE!$C$2,0)*(AD170/AC170))</f>
        <v>0</v>
      </c>
      <c r="AF170" s="13">
        <v>0</v>
      </c>
      <c r="AG170" s="14">
        <f t="shared" si="35"/>
        <v>2813881.4814814818</v>
      </c>
      <c r="AH170" s="14">
        <f t="shared" si="45"/>
        <v>4455312</v>
      </c>
      <c r="AI170" s="14">
        <f t="shared" si="46"/>
        <v>4455312.3456790131</v>
      </c>
      <c r="AJ170" s="14">
        <f t="shared" si="36"/>
        <v>534637.48148148158</v>
      </c>
      <c r="AK170" s="14">
        <f>IF(I170=0,0,IF(G170=5,0,(AC170+AF170/12)*12*BASE!$C$5))</f>
        <v>4545120</v>
      </c>
      <c r="AL170" s="14">
        <f>IF(I170=0,0,IF(G170=5,0,(AC170+AF170/12)*12*BASE!$C$7))</f>
        <v>6416640</v>
      </c>
      <c r="AM170" s="14">
        <f>IF(I170=0,0,IF(G170=5,0,(AC170+AF170/12)*12*BASE!$C$9))</f>
        <v>279123.83999999997</v>
      </c>
      <c r="AN170" s="412">
        <f>IF(I170=0,0,IF(G170=5,0,(AD170+AF170+AG170)*BASE!$C$10))</f>
        <v>4811737.333333334</v>
      </c>
      <c r="AO170" s="837">
        <f t="shared" ref="AO170:AO212" si="49">+AD170+AE170+AF170+AG170+AH170+AI170+AJ170+AK170+AL170+AM170+AN170</f>
        <v>78961631.148641989</v>
      </c>
      <c r="AP170" s="677">
        <f t="shared" si="47"/>
        <v>1.558970168042074</v>
      </c>
      <c r="AQ170" s="1148"/>
      <c r="AR170" s="1149"/>
      <c r="CG170" s="179"/>
      <c r="CH170" s="181"/>
      <c r="CI170" s="182"/>
    </row>
    <row r="171" spans="1:87" ht="13.5" customHeight="1" outlineLevel="1" x14ac:dyDescent="0.2">
      <c r="A171" s="368" t="s">
        <v>581</v>
      </c>
      <c r="B171" s="477" t="s">
        <v>1120</v>
      </c>
      <c r="C171" s="427"/>
      <c r="D171" s="431">
        <f>IF(E171="","",VLOOKUP(E171,BASE!$F$20:$H$25,2,FALSE))</f>
        <v>5</v>
      </c>
      <c r="E171" s="399" t="s">
        <v>538</v>
      </c>
      <c r="F171" s="436" t="s">
        <v>863</v>
      </c>
      <c r="G171" s="437">
        <f>IF(F171="","",VLOOKUP(F171,BASE!$B$15:$C$18,2,FALSE))</f>
        <v>4</v>
      </c>
      <c r="H171" s="355">
        <v>20</v>
      </c>
      <c r="I171" s="423">
        <f t="shared" si="37"/>
        <v>20</v>
      </c>
      <c r="J171" s="399">
        <v>10</v>
      </c>
      <c r="K171" s="399">
        <v>5</v>
      </c>
      <c r="L171" s="399">
        <v>3</v>
      </c>
      <c r="M171" s="399">
        <v>1</v>
      </c>
      <c r="N171" s="399">
        <v>1</v>
      </c>
      <c r="O171" s="355">
        <f t="shared" si="38"/>
        <v>20</v>
      </c>
      <c r="P171" s="354"/>
      <c r="Q171" s="354"/>
      <c r="R171" s="355">
        <f t="shared" si="39"/>
        <v>0</v>
      </c>
      <c r="S171" s="354"/>
      <c r="T171" s="354"/>
      <c r="U171" s="354"/>
      <c r="V171" s="355">
        <f t="shared" si="40"/>
        <v>0</v>
      </c>
      <c r="W171" s="354"/>
      <c r="X171" s="477">
        <f t="shared" si="41"/>
        <v>20</v>
      </c>
      <c r="Y171" s="19" t="str">
        <f t="shared" si="42"/>
        <v xml:space="preserve">OK </v>
      </c>
      <c r="Z171" s="404" t="str">
        <f t="shared" si="43"/>
        <v xml:space="preserve"> </v>
      </c>
      <c r="AA171" s="478">
        <f>ROUND((IF(D171=1,(BASE!$G$51*I171),IF(D171=2,(BASE!$G$52*I171),IF(D171=3,(BASE!$G$53*I171),IF(D171=4,(BASE!$G$54*I171),IF(D171=5,(BASE!$G$55*I171),IF(D171=6,(BASE!$G$56*I171),0)))))))/1000,0)*1000</f>
        <v>1780000</v>
      </c>
      <c r="AB171" s="408">
        <v>0</v>
      </c>
      <c r="AC171" s="478">
        <f t="shared" si="44"/>
        <v>1780000</v>
      </c>
      <c r="AD171" s="478">
        <f>IF(G171=3,AC171*BASE!$I$62,IF(G171=1,AC171*(BASE!$I$61),IF(G171=2,AC171*(BASE!$I$63),AC171*BASE!$I$64)))</f>
        <v>20232666.666666668</v>
      </c>
      <c r="AE171" s="411">
        <f>IF(I171&lt;10,0,IF(AC171&lt;=BASE!$C$3*2,BASE!$C$2,0)*(AD171/AC171))</f>
        <v>0</v>
      </c>
      <c r="AF171" s="13">
        <v>0</v>
      </c>
      <c r="AG171" s="14">
        <f t="shared" si="35"/>
        <v>1124037.0370370371</v>
      </c>
      <c r="AH171" s="14">
        <f t="shared" si="45"/>
        <v>1779725</v>
      </c>
      <c r="AI171" s="14">
        <f t="shared" si="46"/>
        <v>1779725.3086419755</v>
      </c>
      <c r="AJ171" s="14">
        <f t="shared" si="36"/>
        <v>213567.03703703705</v>
      </c>
      <c r="AK171" s="14">
        <f>IF(I171=0,0,IF(G171=5,0,(AC171+AF171/12)*12*BASE!$C$5))</f>
        <v>1815600.0000000002</v>
      </c>
      <c r="AL171" s="14">
        <f>IF(I171=0,0,IF(G171=5,0,(AC171+AF171/12)*12*BASE!$C$7))</f>
        <v>2563200</v>
      </c>
      <c r="AM171" s="14">
        <f>IF(I171=0,0,IF(G171=5,0,(AC171+AF171/12)*12*BASE!$C$9))</f>
        <v>111499.2</v>
      </c>
      <c r="AN171" s="412">
        <f>IF(I171=0,0,IF(G171=5,0,(AD171+AF171+AG171)*BASE!$C$10))</f>
        <v>1922103.3333333335</v>
      </c>
      <c r="AO171" s="837">
        <f t="shared" si="49"/>
        <v>31542123.582716048</v>
      </c>
      <c r="AP171" s="677">
        <f t="shared" si="47"/>
        <v>1.5589701596123124</v>
      </c>
      <c r="AQ171" s="1148"/>
      <c r="AR171" s="1149"/>
      <c r="CG171" s="179"/>
      <c r="CH171" s="181"/>
      <c r="CI171" s="182"/>
    </row>
    <row r="172" spans="1:87" ht="13.5" customHeight="1" outlineLevel="1" x14ac:dyDescent="0.2">
      <c r="A172" s="368" t="s">
        <v>581</v>
      </c>
      <c r="B172" s="477" t="s">
        <v>1121</v>
      </c>
      <c r="C172" s="427"/>
      <c r="D172" s="431">
        <f>IF(E172="","",VLOOKUP(E172,BASE!$F$20:$H$25,2,FALSE))</f>
        <v>5</v>
      </c>
      <c r="E172" s="399" t="s">
        <v>538</v>
      </c>
      <c r="F172" s="436" t="s">
        <v>546</v>
      </c>
      <c r="G172" s="437">
        <f>IF(F172="","",VLOOKUP(F172,BASE!$B$15:$C$18,2,FALSE))</f>
        <v>3</v>
      </c>
      <c r="H172" s="355">
        <v>20</v>
      </c>
      <c r="I172" s="423">
        <v>0</v>
      </c>
      <c r="J172" s="354"/>
      <c r="K172" s="354"/>
      <c r="L172" s="354"/>
      <c r="M172" s="354"/>
      <c r="N172" s="354"/>
      <c r="O172" s="355">
        <f t="shared" si="38"/>
        <v>0</v>
      </c>
      <c r="P172" s="354"/>
      <c r="Q172" s="354"/>
      <c r="R172" s="355">
        <f t="shared" si="39"/>
        <v>0</v>
      </c>
      <c r="S172" s="354"/>
      <c r="T172" s="354"/>
      <c r="U172" s="354"/>
      <c r="V172" s="355">
        <f t="shared" si="40"/>
        <v>0</v>
      </c>
      <c r="W172" s="354"/>
      <c r="X172" s="477">
        <f t="shared" si="41"/>
        <v>0</v>
      </c>
      <c r="Y172" s="19" t="str">
        <f t="shared" si="42"/>
        <v xml:space="preserve">OK </v>
      </c>
      <c r="Z172" s="404" t="str">
        <f t="shared" si="43"/>
        <v>JUSTIFICAR</v>
      </c>
      <c r="AA172" s="478">
        <f>ROUND((IF(D172=1,(BASE!$G$51*I172),IF(D172=2,(BASE!$G$52*I172),IF(D172=3,(BASE!$G$53*I172),IF(D172=4,(BASE!$G$54*I172),IF(D172=5,(BASE!$G$55*I172),IF(D172=6,(BASE!$G$56*I172),0)))))))/1000,0)*1000</f>
        <v>0</v>
      </c>
      <c r="AB172" s="408">
        <v>0</v>
      </c>
      <c r="AC172" s="478">
        <f t="shared" si="44"/>
        <v>0</v>
      </c>
      <c r="AD172" s="478">
        <f>IF(G172=3,AC172*BASE!$I$62,IF(G172=1,AC172*(BASE!$I$61),IF(G172=2,AC172*(BASE!$I$63),AC172*BASE!$I$64)))</f>
        <v>0</v>
      </c>
      <c r="AE172" s="411">
        <f>IF(I172&lt;10,0,IF(AC172&lt;=BASE!$C$3*2,BASE!$C$2,0)*(AD172/AC172))</f>
        <v>0</v>
      </c>
      <c r="AF172" s="13">
        <v>0</v>
      </c>
      <c r="AG172" s="14">
        <f t="shared" si="35"/>
        <v>0</v>
      </c>
      <c r="AH172" s="14">
        <f t="shared" si="45"/>
        <v>0</v>
      </c>
      <c r="AI172" s="14">
        <f t="shared" si="46"/>
        <v>0</v>
      </c>
      <c r="AJ172" s="14">
        <f t="shared" si="36"/>
        <v>0</v>
      </c>
      <c r="AK172" s="14">
        <f>IF(I172=0,0,IF(G172=5,0,(AC172+AF172/12)*12*BASE!$C$5))</f>
        <v>0</v>
      </c>
      <c r="AL172" s="14">
        <f>IF(I172=0,0,IF(G172=5,0,(AC172+AF172/12)*12*BASE!$C$7))</f>
        <v>0</v>
      </c>
      <c r="AM172" s="14">
        <f>IF(I172=0,0,IF(G172=5,0,(AC172+AF172/12)*12*BASE!$C$9))</f>
        <v>0</v>
      </c>
      <c r="AN172" s="412">
        <f>IF(I172=0,0,IF(G172=5,0,(AD172+AF172+AG172)*BASE!$C$10))</f>
        <v>0</v>
      </c>
      <c r="AO172" s="837">
        <f t="shared" si="49"/>
        <v>0</v>
      </c>
      <c r="AP172" s="677" t="str">
        <f t="shared" si="47"/>
        <v>Sin datos</v>
      </c>
      <c r="AQ172" s="1150" t="s">
        <v>1246</v>
      </c>
      <c r="AR172" s="1149"/>
      <c r="CG172" s="179"/>
      <c r="CH172" s="181"/>
      <c r="CI172" s="182"/>
    </row>
    <row r="173" spans="1:87" ht="13.5" customHeight="1" outlineLevel="1" x14ac:dyDescent="0.2">
      <c r="A173" s="368" t="s">
        <v>581</v>
      </c>
      <c r="B173" s="477" t="s">
        <v>1122</v>
      </c>
      <c r="C173" s="427"/>
      <c r="D173" s="431">
        <f>IF(E173="","",VLOOKUP(E173,BASE!$F$20:$H$25,2,FALSE))</f>
        <v>5</v>
      </c>
      <c r="E173" s="399" t="s">
        <v>538</v>
      </c>
      <c r="F173" s="436" t="s">
        <v>546</v>
      </c>
      <c r="G173" s="437">
        <f>IF(F173="","",VLOOKUP(F173,BASE!$B$15:$C$18,2,FALSE))</f>
        <v>3</v>
      </c>
      <c r="H173" s="355">
        <v>10</v>
      </c>
      <c r="I173" s="423">
        <f t="shared" si="37"/>
        <v>10</v>
      </c>
      <c r="J173" s="354">
        <v>6</v>
      </c>
      <c r="K173" s="354">
        <v>2</v>
      </c>
      <c r="L173" s="399">
        <v>2</v>
      </c>
      <c r="M173" s="354"/>
      <c r="N173" s="354"/>
      <c r="O173" s="355">
        <f t="shared" si="38"/>
        <v>10</v>
      </c>
      <c r="P173" s="354"/>
      <c r="Q173" s="354"/>
      <c r="R173" s="355">
        <f t="shared" si="39"/>
        <v>0</v>
      </c>
      <c r="S173" s="354"/>
      <c r="T173" s="354"/>
      <c r="U173" s="354"/>
      <c r="V173" s="355">
        <f t="shared" si="40"/>
        <v>0</v>
      </c>
      <c r="W173" s="354"/>
      <c r="X173" s="477">
        <f t="shared" si="41"/>
        <v>10</v>
      </c>
      <c r="Y173" s="19" t="str">
        <f t="shared" si="42"/>
        <v xml:space="preserve">OK </v>
      </c>
      <c r="Z173" s="404" t="str">
        <f t="shared" si="43"/>
        <v xml:space="preserve"> </v>
      </c>
      <c r="AA173" s="478">
        <f>ROUND((IF(D173=1,(BASE!$G$51*I173),IF(D173=2,(BASE!$G$52*I173),IF(D173=3,(BASE!$G$53*I173),IF(D173=4,(BASE!$G$54*I173),IF(D173=5,(BASE!$G$55*I173),IF(D173=6,(BASE!$G$56*I173),0)))))))/1000,0)*1000</f>
        <v>890000</v>
      </c>
      <c r="AB173" s="408">
        <v>0</v>
      </c>
      <c r="AC173" s="478">
        <f t="shared" si="44"/>
        <v>890000</v>
      </c>
      <c r="AD173" s="478">
        <f>IF(G173=3,AC173*BASE!$I$62,IF(G173=1,AC173*(BASE!$I$61),IF(G173=2,AC173*(BASE!$I$63),AC173*BASE!$I$64)))</f>
        <v>9523000</v>
      </c>
      <c r="AE173" s="411">
        <f>IF(I173&lt;10,0,IF(AC173&lt;=BASE!$C$3*2,BASE!$C$2,0)*(AD173/AC173))</f>
        <v>943857.7</v>
      </c>
      <c r="AF173" s="13">
        <v>0</v>
      </c>
      <c r="AG173" s="14">
        <f t="shared" si="35"/>
        <v>529055.55555555562</v>
      </c>
      <c r="AH173" s="14">
        <f t="shared" si="45"/>
        <v>916326</v>
      </c>
      <c r="AI173" s="14">
        <f t="shared" si="46"/>
        <v>916326.10462962964</v>
      </c>
      <c r="AJ173" s="14">
        <f t="shared" si="36"/>
        <v>100795.87150925926</v>
      </c>
      <c r="AK173" s="14">
        <f>IF(I173=0,0,IF(G173=5,0,(AC173+AF173/12)*12*BASE!$C$5))</f>
        <v>907800.00000000012</v>
      </c>
      <c r="AL173" s="14">
        <f>IF(I173=0,0,IF(G173=5,0,(AC173+AF173/12)*12*BASE!$C$7))</f>
        <v>1281600</v>
      </c>
      <c r="AM173" s="14">
        <f>IF(I173=0,0,IF(G173=5,0,(AC173+AF173/12)*12*BASE!$C$9))</f>
        <v>55749.599999999999</v>
      </c>
      <c r="AN173" s="412">
        <f>IF(I173=0,0,IF(G173=5,0,(AD173+AF173+AG173)*BASE!$C$10))</f>
        <v>904685</v>
      </c>
      <c r="AO173" s="837">
        <f t="shared" ref="AO173:AO184" si="50">+AD173+AE173+AF173+AG173+AH173+AI173+AJ173+AK173+AL173+AM173+AN173</f>
        <v>16079195.831694445</v>
      </c>
      <c r="AP173" s="677">
        <f t="shared" si="47"/>
        <v>1.6884590813498315</v>
      </c>
      <c r="AQ173" s="1148"/>
      <c r="AR173" s="1149"/>
      <c r="CG173" s="179"/>
      <c r="CH173" s="181"/>
      <c r="CI173" s="182"/>
    </row>
    <row r="174" spans="1:87" ht="13.5" customHeight="1" outlineLevel="1" x14ac:dyDescent="0.2">
      <c r="A174" s="368" t="s">
        <v>581</v>
      </c>
      <c r="B174" s="477" t="s">
        <v>1123</v>
      </c>
      <c r="C174" s="427"/>
      <c r="D174" s="431">
        <f>IF(E174="","",VLOOKUP(E174,BASE!$F$20:$H$25,2,FALSE))</f>
        <v>4</v>
      </c>
      <c r="E174" s="399" t="s">
        <v>539</v>
      </c>
      <c r="F174" s="436" t="s">
        <v>863</v>
      </c>
      <c r="G174" s="437">
        <f>IF(F174="","",VLOOKUP(F174,BASE!$B$15:$C$18,2,FALSE))</f>
        <v>4</v>
      </c>
      <c r="H174" s="355">
        <v>40</v>
      </c>
      <c r="I174" s="423">
        <f t="shared" si="37"/>
        <v>40</v>
      </c>
      <c r="J174" s="354">
        <v>7</v>
      </c>
      <c r="K174" s="354">
        <v>7</v>
      </c>
      <c r="L174" s="399">
        <v>4</v>
      </c>
      <c r="M174" s="399">
        <v>10</v>
      </c>
      <c r="N174" s="399">
        <v>10</v>
      </c>
      <c r="O174" s="355">
        <f t="shared" si="38"/>
        <v>38</v>
      </c>
      <c r="P174" s="354"/>
      <c r="Q174" s="354"/>
      <c r="R174" s="355">
        <f t="shared" si="39"/>
        <v>0</v>
      </c>
      <c r="S174" s="354"/>
      <c r="T174" s="354"/>
      <c r="U174" s="354"/>
      <c r="V174" s="355">
        <f t="shared" si="40"/>
        <v>0</v>
      </c>
      <c r="W174" s="354">
        <v>2</v>
      </c>
      <c r="X174" s="477">
        <f t="shared" si="41"/>
        <v>40</v>
      </c>
      <c r="Y174" s="19" t="str">
        <f t="shared" si="42"/>
        <v xml:space="preserve">OK </v>
      </c>
      <c r="Z174" s="404" t="str">
        <f t="shared" si="43"/>
        <v xml:space="preserve"> </v>
      </c>
      <c r="AA174" s="478">
        <f>ROUND((IF(D174=1,(BASE!$G$51*I174),IF(D174=2,(BASE!$G$52*I174),IF(D174=3,(BASE!$G$53*I174),IF(D174=4,(BASE!$G$54*I174),IF(D174=5,(BASE!$G$55*I174),IF(D174=6,(BASE!$G$56*I174),0)))))))/1000,0)*1000</f>
        <v>4456000</v>
      </c>
      <c r="AB174" s="408">
        <v>0</v>
      </c>
      <c r="AC174" s="478">
        <f t="shared" si="44"/>
        <v>4456000</v>
      </c>
      <c r="AD174" s="478">
        <f>IF(G174=3,AC174*BASE!$I$62,IF(G174=1,AC174*(BASE!$I$61),IF(G174=2,AC174*(BASE!$I$63),AC174*BASE!$I$64)))</f>
        <v>50649866.666666672</v>
      </c>
      <c r="AE174" s="411">
        <f>IF(I174&lt;10,0,IF(AC174&lt;=BASE!$C$3*2,BASE!$C$2,0)*(AD174/AC174))</f>
        <v>0</v>
      </c>
      <c r="AF174" s="13">
        <v>0</v>
      </c>
      <c r="AG174" s="14">
        <f t="shared" si="35"/>
        <v>2813881.4814814818</v>
      </c>
      <c r="AH174" s="14">
        <f t="shared" si="45"/>
        <v>4455312</v>
      </c>
      <c r="AI174" s="14">
        <f t="shared" si="46"/>
        <v>4455312.3456790131</v>
      </c>
      <c r="AJ174" s="14">
        <f t="shared" si="36"/>
        <v>534637.48148148158</v>
      </c>
      <c r="AK174" s="14">
        <f>IF(I174=0,0,IF(G174=5,0,(AC174+AF174/12)*12*BASE!$C$5))</f>
        <v>4545120</v>
      </c>
      <c r="AL174" s="14">
        <f>IF(I174=0,0,IF(G174=5,0,(AC174+AF174/12)*12*BASE!$C$7))</f>
        <v>6416640</v>
      </c>
      <c r="AM174" s="14">
        <f>IF(I174=0,0,IF(G174=5,0,(AC174+AF174/12)*12*BASE!$C$9))</f>
        <v>279123.83999999997</v>
      </c>
      <c r="AN174" s="412">
        <f>IF(I174=0,0,IF(G174=5,0,(AD174+AF174+AG174)*BASE!$C$10))</f>
        <v>4811737.333333334</v>
      </c>
      <c r="AO174" s="837">
        <f t="shared" si="50"/>
        <v>78961631.148641989</v>
      </c>
      <c r="AP174" s="677">
        <f t="shared" si="47"/>
        <v>1.558970168042074</v>
      </c>
      <c r="AQ174" s="1148"/>
      <c r="AR174" s="1149"/>
      <c r="CG174" s="179"/>
      <c r="CH174" s="181"/>
      <c r="CI174" s="182"/>
    </row>
    <row r="175" spans="1:87" ht="13.5" customHeight="1" outlineLevel="1" x14ac:dyDescent="0.2">
      <c r="A175" s="368" t="s">
        <v>581</v>
      </c>
      <c r="B175" s="477" t="s">
        <v>1124</v>
      </c>
      <c r="C175" s="427"/>
      <c r="D175" s="431">
        <f>IF(E175="","",VLOOKUP(E175,BASE!$F$20:$H$25,2,FALSE))</f>
        <v>5</v>
      </c>
      <c r="E175" s="399" t="s">
        <v>538</v>
      </c>
      <c r="F175" s="436" t="s">
        <v>546</v>
      </c>
      <c r="G175" s="437">
        <f>IF(F175="","",VLOOKUP(F175,BASE!$B$15:$C$18,2,FALSE))</f>
        <v>3</v>
      </c>
      <c r="H175" s="355">
        <v>5</v>
      </c>
      <c r="I175" s="423">
        <f t="shared" si="37"/>
        <v>5</v>
      </c>
      <c r="J175" s="399">
        <v>4</v>
      </c>
      <c r="K175" s="354"/>
      <c r="L175" s="354"/>
      <c r="M175" s="354"/>
      <c r="N175" s="354"/>
      <c r="O175" s="355">
        <f t="shared" si="38"/>
        <v>4</v>
      </c>
      <c r="P175" s="354"/>
      <c r="Q175" s="354"/>
      <c r="R175" s="355">
        <f t="shared" si="39"/>
        <v>0</v>
      </c>
      <c r="S175" s="354"/>
      <c r="T175" s="354"/>
      <c r="U175" s="354"/>
      <c r="V175" s="355">
        <f t="shared" si="40"/>
        <v>0</v>
      </c>
      <c r="W175" s="354">
        <v>1</v>
      </c>
      <c r="X175" s="477">
        <f t="shared" si="41"/>
        <v>5</v>
      </c>
      <c r="Y175" s="19" t="str">
        <f t="shared" si="42"/>
        <v xml:space="preserve">OK </v>
      </c>
      <c r="Z175" s="404" t="str">
        <f t="shared" si="43"/>
        <v xml:space="preserve"> </v>
      </c>
      <c r="AA175" s="478">
        <f>ROUND((IF(D175=1,(BASE!$G$51*I175),IF(D175=2,(BASE!$G$52*I175),IF(D175=3,(BASE!$G$53*I175),IF(D175=4,(BASE!$G$54*I175),IF(D175=5,(BASE!$G$55*I175),IF(D175=6,(BASE!$G$56*I175),0)))))))/1000,0)*1000</f>
        <v>445000</v>
      </c>
      <c r="AB175" s="408">
        <v>0</v>
      </c>
      <c r="AC175" s="478">
        <f t="shared" si="44"/>
        <v>445000</v>
      </c>
      <c r="AD175" s="478">
        <f>IF(G175=3,AC175*BASE!$I$62,IF(G175=1,AC175*(BASE!$I$61),IF(G175=2,AC175*(BASE!$I$63),AC175*BASE!$I$64)))</f>
        <v>4761500</v>
      </c>
      <c r="AE175" s="411">
        <f>IF(I175&lt;10,0,IF(AC175&lt;=BASE!$C$3*2,BASE!$C$2,0)*(AD175/AC175))</f>
        <v>0</v>
      </c>
      <c r="AF175" s="13">
        <v>0</v>
      </c>
      <c r="AG175" s="14">
        <f t="shared" si="35"/>
        <v>264527.77777777781</v>
      </c>
      <c r="AH175" s="14">
        <f t="shared" si="45"/>
        <v>418836</v>
      </c>
      <c r="AI175" s="14">
        <f t="shared" si="46"/>
        <v>418835.64814814815</v>
      </c>
      <c r="AJ175" s="14">
        <f t="shared" si="36"/>
        <v>46071.921296296299</v>
      </c>
      <c r="AK175" s="14">
        <f>IF(I175=0,0,IF(G175=5,0,(AC175+AF175/12)*12*BASE!$C$5))</f>
        <v>453900.00000000006</v>
      </c>
      <c r="AL175" s="14">
        <f>IF(I175=0,0,IF(G175=5,0,(AC175+AF175/12)*12*BASE!$C$7))</f>
        <v>640800</v>
      </c>
      <c r="AM175" s="14">
        <f>IF(I175=0,0,IF(G175=5,0,(AC175+AF175/12)*12*BASE!$C$9))</f>
        <v>27874.799999999999</v>
      </c>
      <c r="AN175" s="412">
        <f>IF(I175=0,0,IF(G175=5,0,(AD175+AF175+AG175)*BASE!$C$10))</f>
        <v>452342.5</v>
      </c>
      <c r="AO175" s="837">
        <f t="shared" si="50"/>
        <v>7484688.6472222228</v>
      </c>
      <c r="AP175" s="677">
        <f t="shared" si="47"/>
        <v>1.5719182289661289</v>
      </c>
      <c r="AQ175" s="1148"/>
      <c r="AR175" s="1149"/>
      <c r="CG175" s="179"/>
      <c r="CH175" s="181"/>
      <c r="CI175" s="182"/>
    </row>
    <row r="176" spans="1:87" ht="13.5" customHeight="1" outlineLevel="1" x14ac:dyDescent="0.2">
      <c r="A176" s="368" t="s">
        <v>581</v>
      </c>
      <c r="B176" s="477" t="s">
        <v>1125</v>
      </c>
      <c r="C176" s="427"/>
      <c r="D176" s="431">
        <f>IF(E176="","",VLOOKUP(E176,BASE!$F$20:$H$25,2,FALSE))</f>
        <v>1</v>
      </c>
      <c r="E176" s="399" t="s">
        <v>168</v>
      </c>
      <c r="F176" s="436" t="s">
        <v>546</v>
      </c>
      <c r="G176" s="437">
        <f>IF(F176="","",VLOOKUP(F176,BASE!$B$15:$C$18,2,FALSE))</f>
        <v>3</v>
      </c>
      <c r="H176" s="355">
        <v>40</v>
      </c>
      <c r="I176" s="423">
        <v>0</v>
      </c>
      <c r="J176" s="354"/>
      <c r="K176" s="354"/>
      <c r="L176" s="354"/>
      <c r="M176" s="354"/>
      <c r="N176" s="354"/>
      <c r="O176" s="355">
        <f t="shared" si="38"/>
        <v>0</v>
      </c>
      <c r="P176" s="354"/>
      <c r="Q176" s="354">
        <v>0</v>
      </c>
      <c r="R176" s="355">
        <f t="shared" si="39"/>
        <v>0</v>
      </c>
      <c r="S176" s="354"/>
      <c r="T176" s="354"/>
      <c r="U176" s="354"/>
      <c r="V176" s="355">
        <f t="shared" si="40"/>
        <v>0</v>
      </c>
      <c r="W176" s="354"/>
      <c r="X176" s="477">
        <f t="shared" si="41"/>
        <v>0</v>
      </c>
      <c r="Y176" s="19" t="str">
        <f t="shared" si="42"/>
        <v xml:space="preserve">OK </v>
      </c>
      <c r="Z176" s="404" t="str">
        <f t="shared" si="43"/>
        <v>JUSTIFICAR</v>
      </c>
      <c r="AA176" s="478">
        <v>2346000</v>
      </c>
      <c r="AB176" s="408">
        <v>0</v>
      </c>
      <c r="AC176" s="478">
        <f t="shared" si="44"/>
        <v>2346000</v>
      </c>
      <c r="AD176" s="478">
        <f>IF(G176=3,AC176*BASE!$I$62,IF(G176=1,AC176*(BASE!$I$61),IF(G176=2,AC176*(BASE!$I$63),AC176*BASE!$I$64)))</f>
        <v>25102200</v>
      </c>
      <c r="AE176" s="411">
        <f>IF(I176&lt;10,0,IF(AC176&lt;=BASE!$C$3*2,BASE!$C$2,0)*(AD176/AC176))</f>
        <v>0</v>
      </c>
      <c r="AF176" s="13">
        <v>0</v>
      </c>
      <c r="AG176" s="14">
        <f t="shared" si="35"/>
        <v>0</v>
      </c>
      <c r="AH176" s="14">
        <f t="shared" si="45"/>
        <v>2091850</v>
      </c>
      <c r="AI176" s="14">
        <f t="shared" si="46"/>
        <v>2091850</v>
      </c>
      <c r="AJ176" s="14">
        <f t="shared" si="36"/>
        <v>230103.5</v>
      </c>
      <c r="AK176" s="14">
        <f>IF(I176=0,0,IF(G176=5,0,(AC176+AF176/12)*12*BASE!$C$5))</f>
        <v>0</v>
      </c>
      <c r="AL176" s="14">
        <f>IF(I176=0,0,IF(G176=5,0,(AC176+AF176/12)*12*BASE!$C$7))</f>
        <v>0</v>
      </c>
      <c r="AM176" s="14">
        <f>IF(I176=0,0,IF(G176=5,0,(AC176+AF176/12)*12*BASE!$C$9))</f>
        <v>0</v>
      </c>
      <c r="AN176" s="412">
        <f>IF(I176=0,0,IF(G176=5,0,(AD176+AF176+AG176)*BASE!$C$10))</f>
        <v>0</v>
      </c>
      <c r="AO176" s="837">
        <f t="shared" si="50"/>
        <v>29516003.5</v>
      </c>
      <c r="AP176" s="677">
        <f t="shared" si="47"/>
        <v>1.1758333333333333</v>
      </c>
      <c r="AQ176" s="1148"/>
      <c r="AR176" s="1149"/>
      <c r="CG176" s="179"/>
      <c r="CH176" s="181"/>
      <c r="CI176" s="182"/>
    </row>
    <row r="177" spans="1:87" ht="13.5" customHeight="1" outlineLevel="1" x14ac:dyDescent="0.2">
      <c r="A177" s="368" t="s">
        <v>581</v>
      </c>
      <c r="B177" s="477" t="s">
        <v>1126</v>
      </c>
      <c r="C177" s="427"/>
      <c r="D177" s="431">
        <f>IF(E177="","",VLOOKUP(E177,BASE!$F$20:$H$25,2,FALSE))</f>
        <v>3</v>
      </c>
      <c r="E177" s="399" t="s">
        <v>540</v>
      </c>
      <c r="F177" s="436" t="s">
        <v>546</v>
      </c>
      <c r="G177" s="437">
        <f>IF(F177="","",VLOOKUP(F177,BASE!$B$15:$C$18,2,FALSE))</f>
        <v>3</v>
      </c>
      <c r="H177" s="355">
        <v>5</v>
      </c>
      <c r="I177" s="423">
        <f t="shared" si="37"/>
        <v>5</v>
      </c>
      <c r="J177" s="354">
        <v>1</v>
      </c>
      <c r="K177" s="354">
        <v>1</v>
      </c>
      <c r="L177" s="399">
        <v>1</v>
      </c>
      <c r="M177" s="399">
        <v>1</v>
      </c>
      <c r="N177" s="399">
        <v>1</v>
      </c>
      <c r="O177" s="355">
        <f t="shared" si="38"/>
        <v>5</v>
      </c>
      <c r="P177" s="354"/>
      <c r="Q177" s="354"/>
      <c r="R177" s="355">
        <f t="shared" si="39"/>
        <v>0</v>
      </c>
      <c r="S177" s="354"/>
      <c r="T177" s="354"/>
      <c r="U177" s="354"/>
      <c r="V177" s="355">
        <f t="shared" si="40"/>
        <v>0</v>
      </c>
      <c r="W177" s="354"/>
      <c r="X177" s="477">
        <f t="shared" si="41"/>
        <v>5</v>
      </c>
      <c r="Y177" s="19" t="str">
        <f t="shared" si="42"/>
        <v xml:space="preserve">OK </v>
      </c>
      <c r="Z177" s="404" t="str">
        <f t="shared" si="43"/>
        <v xml:space="preserve"> </v>
      </c>
      <c r="AA177" s="478">
        <f>ROUND((IF(D177=1,(BASE!$G$51*I177),IF(D177=2,(BASE!$G$52*I177),IF(D177=3,(BASE!$G$53*I177),IF(D177=4,(BASE!$G$54*I177),IF(D177=5,(BASE!$G$55*I177),IF(D177=6,(BASE!$G$56*I177),0)))))))/1000,0)*1000</f>
        <v>684000</v>
      </c>
      <c r="AB177" s="408">
        <v>0</v>
      </c>
      <c r="AC177" s="478">
        <f t="shared" si="44"/>
        <v>684000</v>
      </c>
      <c r="AD177" s="478">
        <f>IF(G177=3,AC177*BASE!$I$62,IF(G177=1,AC177*(BASE!$I$61),IF(G177=2,AC177*(BASE!$I$63),AC177*BASE!$I$64)))</f>
        <v>7318799.9999999991</v>
      </c>
      <c r="AE177" s="411">
        <f>IF(I177&lt;10,0,IF(AC177&lt;=BASE!$C$3*2,BASE!$C$2,0)*(AD177/AC177))</f>
        <v>0</v>
      </c>
      <c r="AF177" s="13">
        <v>0</v>
      </c>
      <c r="AG177" s="14">
        <f t="shared" si="35"/>
        <v>406599.99999999994</v>
      </c>
      <c r="AH177" s="14">
        <f t="shared" si="45"/>
        <v>643783</v>
      </c>
      <c r="AI177" s="14">
        <f t="shared" si="46"/>
        <v>643783.33333333326</v>
      </c>
      <c r="AJ177" s="14">
        <f t="shared" si="36"/>
        <v>70816.166666666657</v>
      </c>
      <c r="AK177" s="14">
        <f>IF(I177=0,0,IF(G177=5,0,(AC177+AF177/12)*12*BASE!$C$5))</f>
        <v>697680</v>
      </c>
      <c r="AL177" s="14">
        <v>0</v>
      </c>
      <c r="AM177" s="14">
        <f>IF(I177=0,0,IF(G177=5,0,(AC177+AF177/12)*12*BASE!$C$9))</f>
        <v>42845.760000000002</v>
      </c>
      <c r="AN177" s="412">
        <f>IF(I177=0,0,IF(G177=5,0,(AD177+AF177+AG177)*BASE!$C$10))</f>
        <v>695285.99999999988</v>
      </c>
      <c r="AO177" s="837">
        <f t="shared" si="50"/>
        <v>10519594.259999998</v>
      </c>
      <c r="AP177" s="677">
        <f t="shared" si="47"/>
        <v>1.4373386702738153</v>
      </c>
      <c r="AQ177" s="1148"/>
      <c r="AR177" s="1149"/>
      <c r="CG177" s="179"/>
      <c r="CH177" s="181"/>
      <c r="CI177" s="182"/>
    </row>
    <row r="178" spans="1:87" ht="13.5" customHeight="1" outlineLevel="1" x14ac:dyDescent="0.2">
      <c r="A178" s="368" t="s">
        <v>581</v>
      </c>
      <c r="B178" s="477" t="s">
        <v>1127</v>
      </c>
      <c r="C178" s="427"/>
      <c r="D178" s="431">
        <f>IF(E178="","",VLOOKUP(E178,BASE!$F$20:$H$25,2,FALSE))</f>
        <v>2</v>
      </c>
      <c r="E178" s="399" t="s">
        <v>541</v>
      </c>
      <c r="F178" s="436" t="s">
        <v>863</v>
      </c>
      <c r="G178" s="437">
        <f>IF(F178="","",VLOOKUP(F178,BASE!$B$15:$C$18,2,FALSE))</f>
        <v>4</v>
      </c>
      <c r="H178" s="355">
        <v>40</v>
      </c>
      <c r="I178" s="423">
        <f t="shared" si="37"/>
        <v>40</v>
      </c>
      <c r="J178" s="354">
        <v>13</v>
      </c>
      <c r="K178" s="354">
        <v>7</v>
      </c>
      <c r="L178" s="399">
        <v>5</v>
      </c>
      <c r="M178" s="399">
        <v>3</v>
      </c>
      <c r="N178" s="399">
        <v>5</v>
      </c>
      <c r="O178" s="355">
        <f t="shared" si="38"/>
        <v>33</v>
      </c>
      <c r="P178" s="354"/>
      <c r="Q178" s="354"/>
      <c r="R178" s="355">
        <f t="shared" si="39"/>
        <v>0</v>
      </c>
      <c r="S178" s="354"/>
      <c r="T178" s="354"/>
      <c r="U178" s="354"/>
      <c r="V178" s="355">
        <f t="shared" si="40"/>
        <v>0</v>
      </c>
      <c r="W178" s="354">
        <v>7</v>
      </c>
      <c r="X178" s="477">
        <f t="shared" si="41"/>
        <v>40</v>
      </c>
      <c r="Y178" s="19" t="str">
        <f t="shared" si="42"/>
        <v xml:space="preserve">OK </v>
      </c>
      <c r="Z178" s="404" t="str">
        <f t="shared" si="43"/>
        <v xml:space="preserve"> </v>
      </c>
      <c r="AA178" s="478">
        <f>ROUND((IF(D178=1,(BASE!$G$51*I178),IF(D178=2,(BASE!$G$52*I178),IF(D178=3,(BASE!$G$53*I178),IF(D178=4,(BASE!$G$54*I178),IF(D178=5,(BASE!$G$55*I178),IF(D178=6,(BASE!$G$56*I178),0)))))))/1000,0)*1000</f>
        <v>8016000</v>
      </c>
      <c r="AB178" s="408">
        <v>388000</v>
      </c>
      <c r="AC178" s="478">
        <f t="shared" si="44"/>
        <v>8404000</v>
      </c>
      <c r="AD178" s="478">
        <f>IF(G178=3,AC178*BASE!$I$62,IF(G178=1,AC178*(BASE!$I$61),IF(G178=2,AC178*(BASE!$I$63),AC178*BASE!$I$64)))</f>
        <v>95525466.666666672</v>
      </c>
      <c r="AE178" s="411">
        <f>IF(I178&lt;10,0,IF(AC178&lt;=BASE!$C$3*2,BASE!$C$2,0)*(AD178/AC178))</f>
        <v>0</v>
      </c>
      <c r="AF178" s="13">
        <v>0</v>
      </c>
      <c r="AG178" s="14">
        <f t="shared" si="35"/>
        <v>5306970.3703703703</v>
      </c>
      <c r="AH178" s="14">
        <f t="shared" si="45"/>
        <v>8402703</v>
      </c>
      <c r="AI178" s="14">
        <f t="shared" si="46"/>
        <v>8402703.0864197537</v>
      </c>
      <c r="AJ178" s="14">
        <f t="shared" si="36"/>
        <v>1008324.3703703705</v>
      </c>
      <c r="AK178" s="14">
        <f>IF(I178=0,0,IF(G178=5,0,(AC178+AF178/12)*12*BASE!$C$5))</f>
        <v>8572080</v>
      </c>
      <c r="AL178" s="14">
        <v>0</v>
      </c>
      <c r="AM178" s="14">
        <f>IF(I178=0,0,IF(G178=5,0,(AC178+AF178/12)*12*BASE!$C$9))</f>
        <v>526426.55999999994</v>
      </c>
      <c r="AN178" s="412">
        <f>IF(I178=0,0,IF(G178=5,0,(AD178+AF178+AG178)*BASE!$C$10))</f>
        <v>9074919.333333334</v>
      </c>
      <c r="AO178" s="837">
        <f t="shared" si="50"/>
        <v>136819593.38716051</v>
      </c>
      <c r="AP178" s="677">
        <f t="shared" si="47"/>
        <v>1.4322839569534738</v>
      </c>
      <c r="AQ178" s="1148"/>
      <c r="AR178" s="1149"/>
      <c r="CG178" s="179"/>
      <c r="CH178" s="181"/>
      <c r="CI178" s="182"/>
    </row>
    <row r="179" spans="1:87" ht="13.5" customHeight="1" outlineLevel="1" x14ac:dyDescent="0.2">
      <c r="A179" s="368" t="s">
        <v>581</v>
      </c>
      <c r="B179" s="477" t="s">
        <v>1128</v>
      </c>
      <c r="C179" s="427"/>
      <c r="D179" s="431">
        <f>IF(E179="","",VLOOKUP(E179,BASE!$F$20:$H$25,2,FALSE))</f>
        <v>4</v>
      </c>
      <c r="E179" s="399" t="s">
        <v>539</v>
      </c>
      <c r="F179" s="436" t="s">
        <v>546</v>
      </c>
      <c r="G179" s="437">
        <f>IF(F179="","",VLOOKUP(F179,BASE!$B$15:$C$18,2,FALSE))</f>
        <v>3</v>
      </c>
      <c r="H179" s="355">
        <v>40</v>
      </c>
      <c r="I179" s="423">
        <f t="shared" si="37"/>
        <v>40</v>
      </c>
      <c r="J179" s="399">
        <v>6</v>
      </c>
      <c r="K179" s="399">
        <v>2</v>
      </c>
      <c r="L179" s="399">
        <v>2</v>
      </c>
      <c r="M179" s="399">
        <v>1</v>
      </c>
      <c r="N179" s="399">
        <v>2</v>
      </c>
      <c r="O179" s="355">
        <f t="shared" si="38"/>
        <v>13</v>
      </c>
      <c r="P179" s="354"/>
      <c r="Q179" s="354"/>
      <c r="R179" s="355">
        <f t="shared" si="39"/>
        <v>0</v>
      </c>
      <c r="S179" s="354">
        <v>15</v>
      </c>
      <c r="T179" s="354">
        <v>6</v>
      </c>
      <c r="U179" s="354">
        <v>6</v>
      </c>
      <c r="V179" s="355">
        <f t="shared" si="40"/>
        <v>27</v>
      </c>
      <c r="W179" s="354"/>
      <c r="X179" s="477">
        <f t="shared" si="41"/>
        <v>40</v>
      </c>
      <c r="Y179" s="19" t="str">
        <f t="shared" si="42"/>
        <v xml:space="preserve">OK </v>
      </c>
      <c r="Z179" s="404" t="str">
        <f t="shared" si="43"/>
        <v xml:space="preserve"> </v>
      </c>
      <c r="AA179" s="478">
        <f>ROUND((IF(D179=1,(BASE!$G$51*I179),IF(D179=2,(BASE!$G$52*I179),IF(D179=3,(BASE!$G$53*I179),IF(D179=4,(BASE!$G$54*I179),IF(D179=5,(BASE!$G$55*I179),IF(D179=6,(BASE!$G$56*I179),0)))))))/1000,0)*1000</f>
        <v>4456000</v>
      </c>
      <c r="AB179" s="408">
        <v>0</v>
      </c>
      <c r="AC179" s="478">
        <f t="shared" si="44"/>
        <v>4456000</v>
      </c>
      <c r="AD179" s="478">
        <f>IF(G179=3,AC179*BASE!$I$62,IF(G179=1,AC179*(BASE!$I$61),IF(G179=2,AC179*(BASE!$I$63),AC179*BASE!$I$64)))</f>
        <v>47679200</v>
      </c>
      <c r="AE179" s="411">
        <f>IF(I179&lt;10,0,IF(AC179&lt;=BASE!$C$3*2,BASE!$C$2,0)*(AD179/AC179))</f>
        <v>0</v>
      </c>
      <c r="AF179" s="13">
        <v>0</v>
      </c>
      <c r="AG179" s="14">
        <f t="shared" si="35"/>
        <v>2648844.4444444445</v>
      </c>
      <c r="AH179" s="14">
        <f t="shared" si="45"/>
        <v>4194004</v>
      </c>
      <c r="AI179" s="14">
        <f t="shared" si="46"/>
        <v>4194003.7037037034</v>
      </c>
      <c r="AJ179" s="14">
        <f t="shared" si="36"/>
        <v>461340.40740740736</v>
      </c>
      <c r="AK179" s="14">
        <f>IF(I179=0,0,IF(G179=5,0,(AC179+AF179/12)*12*BASE!$C$5))</f>
        <v>4545120</v>
      </c>
      <c r="AL179" s="14">
        <f>IF(I179=0,0,IF(G179=5,0,(AC179+AF179/12)*12*BASE!$C$7))</f>
        <v>6416640</v>
      </c>
      <c r="AM179" s="14">
        <f>IF(I179=0,0,IF(G179=5,0,(AC179+AF179/12)*12*BASE!$C$9))</f>
        <v>279123.83999999997</v>
      </c>
      <c r="AN179" s="412">
        <f>IF(I179=0,0,IF(G179=5,0,(AD179+AF179+AG179)*BASE!$C$10))</f>
        <v>4529524</v>
      </c>
      <c r="AO179" s="837">
        <f t="shared" si="50"/>
        <v>74947800.395555556</v>
      </c>
      <c r="AP179" s="677">
        <f t="shared" si="47"/>
        <v>1.571918161285331</v>
      </c>
      <c r="AQ179" s="1148"/>
      <c r="AR179" s="1149"/>
      <c r="CG179" s="179"/>
      <c r="CH179" s="181"/>
      <c r="CI179" s="182"/>
    </row>
    <row r="180" spans="1:87" ht="13.5" customHeight="1" outlineLevel="1" x14ac:dyDescent="0.2">
      <c r="A180" s="368" t="s">
        <v>581</v>
      </c>
      <c r="B180" s="477" t="s">
        <v>1129</v>
      </c>
      <c r="C180" s="427"/>
      <c r="D180" s="431">
        <f>IF(E180="","",VLOOKUP(E180,BASE!$F$20:$H$25,2,FALSE))</f>
        <v>5</v>
      </c>
      <c r="E180" s="399" t="s">
        <v>538</v>
      </c>
      <c r="F180" s="436" t="s">
        <v>546</v>
      </c>
      <c r="G180" s="437">
        <f>IF(F180="","",VLOOKUP(F180,BASE!$B$15:$C$18,2,FALSE))</f>
        <v>3</v>
      </c>
      <c r="H180" s="355">
        <v>20</v>
      </c>
      <c r="I180" s="423">
        <f t="shared" si="37"/>
        <v>20</v>
      </c>
      <c r="J180" s="354">
        <v>12</v>
      </c>
      <c r="K180" s="354">
        <v>2</v>
      </c>
      <c r="L180" s="399">
        <v>4</v>
      </c>
      <c r="M180" s="354"/>
      <c r="N180" s="399">
        <v>2</v>
      </c>
      <c r="O180" s="355">
        <f t="shared" si="38"/>
        <v>20</v>
      </c>
      <c r="P180" s="354"/>
      <c r="Q180" s="354"/>
      <c r="R180" s="355">
        <f t="shared" si="39"/>
        <v>0</v>
      </c>
      <c r="S180" s="354"/>
      <c r="T180" s="354"/>
      <c r="U180" s="354"/>
      <c r="V180" s="355">
        <f t="shared" si="40"/>
        <v>0</v>
      </c>
      <c r="W180" s="354"/>
      <c r="X180" s="477">
        <f t="shared" si="41"/>
        <v>20</v>
      </c>
      <c r="Y180" s="19" t="str">
        <f t="shared" si="42"/>
        <v xml:space="preserve">OK </v>
      </c>
      <c r="Z180" s="404" t="str">
        <f t="shared" si="43"/>
        <v xml:space="preserve"> </v>
      </c>
      <c r="AA180" s="478">
        <f>ROUND((IF(D180=1,(BASE!$G$51*I180),IF(D180=2,(BASE!$G$52*I180),IF(D180=3,(BASE!$G$53*I180),IF(D180=4,(BASE!$G$54*I180),IF(D180=5,(BASE!$G$55*I180),IF(D180=6,(BASE!$G$56*I180),0)))))))/1000,0)*1000</f>
        <v>1780000</v>
      </c>
      <c r="AB180" s="408">
        <v>0</v>
      </c>
      <c r="AC180" s="478">
        <f t="shared" si="44"/>
        <v>1780000</v>
      </c>
      <c r="AD180" s="478">
        <f>IF(G180=3,AC180*BASE!$I$62,IF(G180=1,AC180*(BASE!$I$61),IF(G180=2,AC180*(BASE!$I$63),AC180*BASE!$I$64)))</f>
        <v>19046000</v>
      </c>
      <c r="AE180" s="411">
        <f>IF(I180&lt;10,0,IF(AC180&lt;=BASE!$C$3*2,BASE!$C$2,0)*(AD180/AC180))</f>
        <v>0</v>
      </c>
      <c r="AF180" s="13">
        <v>0</v>
      </c>
      <c r="AG180" s="14">
        <f t="shared" si="35"/>
        <v>1058111.1111111112</v>
      </c>
      <c r="AH180" s="14">
        <f t="shared" si="45"/>
        <v>1675343</v>
      </c>
      <c r="AI180" s="14">
        <f t="shared" si="46"/>
        <v>1675342.5925925926</v>
      </c>
      <c r="AJ180" s="14">
        <f t="shared" si="36"/>
        <v>184287.6851851852</v>
      </c>
      <c r="AK180" s="14">
        <f>IF(I180=0,0,IF(G180=5,0,(AC180+AF180/12)*12*BASE!$C$5))</f>
        <v>1815600.0000000002</v>
      </c>
      <c r="AL180" s="14">
        <f>IF(I180=0,0,IF(G180=5,0,(AC180+AF180/12)*12*BASE!$C$7))</f>
        <v>2563200</v>
      </c>
      <c r="AM180" s="14">
        <f>IF(I180=0,0,IF(G180=5,0,(AC180+AF180/12)*12*BASE!$C$9))</f>
        <v>111499.2</v>
      </c>
      <c r="AN180" s="412">
        <f>IF(I180=0,0,IF(G180=5,0,(AD180+AF180+AG180)*BASE!$C$10))</f>
        <v>1809370</v>
      </c>
      <c r="AO180" s="837">
        <f t="shared" si="50"/>
        <v>29938753.588888891</v>
      </c>
      <c r="AP180" s="677">
        <f t="shared" si="47"/>
        <v>1.5719181764616661</v>
      </c>
      <c r="AQ180" s="1148"/>
      <c r="AR180" s="1149"/>
      <c r="CG180" s="179"/>
      <c r="CH180" s="181"/>
      <c r="CI180" s="182"/>
    </row>
    <row r="181" spans="1:87" ht="13.5" customHeight="1" outlineLevel="1" x14ac:dyDescent="0.2">
      <c r="A181" s="368" t="s">
        <v>581</v>
      </c>
      <c r="B181" s="477" t="s">
        <v>1130</v>
      </c>
      <c r="C181" s="427"/>
      <c r="D181" s="431">
        <f>IF(E181="","",VLOOKUP(E181,BASE!$F$20:$H$25,2,FALSE))</f>
        <v>4</v>
      </c>
      <c r="E181" s="399" t="s">
        <v>539</v>
      </c>
      <c r="F181" s="436" t="s">
        <v>863</v>
      </c>
      <c r="G181" s="437">
        <f>IF(F181="","",VLOOKUP(F181,BASE!$B$15:$C$18,2,FALSE))</f>
        <v>4</v>
      </c>
      <c r="H181" s="355">
        <v>40</v>
      </c>
      <c r="I181" s="423">
        <f t="shared" si="37"/>
        <v>40</v>
      </c>
      <c r="J181" s="399">
        <v>4</v>
      </c>
      <c r="K181" s="399">
        <v>2</v>
      </c>
      <c r="L181" s="399">
        <v>2</v>
      </c>
      <c r="M181" s="399">
        <v>2</v>
      </c>
      <c r="N181" s="399">
        <v>2</v>
      </c>
      <c r="O181" s="355">
        <f t="shared" si="38"/>
        <v>12</v>
      </c>
      <c r="P181" s="354"/>
      <c r="Q181" s="354">
        <v>28</v>
      </c>
      <c r="R181" s="355">
        <f t="shared" si="39"/>
        <v>28</v>
      </c>
      <c r="S181" s="354"/>
      <c r="T181" s="354"/>
      <c r="U181" s="354"/>
      <c r="V181" s="355">
        <f t="shared" si="40"/>
        <v>0</v>
      </c>
      <c r="W181" s="354"/>
      <c r="X181" s="477">
        <f t="shared" si="41"/>
        <v>40</v>
      </c>
      <c r="Y181" s="19" t="str">
        <f t="shared" si="42"/>
        <v xml:space="preserve">OK </v>
      </c>
      <c r="Z181" s="404" t="str">
        <f t="shared" si="43"/>
        <v xml:space="preserve"> </v>
      </c>
      <c r="AA181" s="478">
        <f>ROUND((IF(D181=1,(BASE!$G$51*I181),IF(D181=2,(BASE!$G$52*I181),IF(D181=3,(BASE!$G$53*I181),IF(D181=4,(BASE!$G$54*I181),IF(D181=5,(BASE!$G$55*I181),IF(D181=6,(BASE!$G$56*I181),0)))))))/1000,0)*1000</f>
        <v>4456000</v>
      </c>
      <c r="AB181" s="408">
        <v>0</v>
      </c>
      <c r="AC181" s="478">
        <f t="shared" si="44"/>
        <v>4456000</v>
      </c>
      <c r="AD181" s="478">
        <f>IF(G181=3,AC181*BASE!$I$62,IF(G181=1,AC181*(BASE!$I$61),IF(G181=2,AC181*(BASE!$I$63),AC181*BASE!$I$64)))</f>
        <v>50649866.666666672</v>
      </c>
      <c r="AE181" s="411">
        <f>IF(I181&lt;10,0,IF(AC181&lt;=BASE!$C$3*2,BASE!$C$2,0)*(AD181/AC181))</f>
        <v>0</v>
      </c>
      <c r="AF181" s="13">
        <v>0</v>
      </c>
      <c r="AG181" s="14">
        <f t="shared" si="35"/>
        <v>2813881.4814814818</v>
      </c>
      <c r="AH181" s="14">
        <f t="shared" si="45"/>
        <v>4455312</v>
      </c>
      <c r="AI181" s="14">
        <f t="shared" si="46"/>
        <v>4455312.3456790131</v>
      </c>
      <c r="AJ181" s="14">
        <f t="shared" si="36"/>
        <v>534637.48148148158</v>
      </c>
      <c r="AK181" s="14">
        <f>IF(I181=0,0,IF(G181=5,0,(AC181+AF181/12)*12*BASE!$C$5))</f>
        <v>4545120</v>
      </c>
      <c r="AL181" s="14">
        <f>IF(I181=0,0,IF(G181=5,0,(AC181+AF181/12)*12*BASE!$C$7))</f>
        <v>6416640</v>
      </c>
      <c r="AM181" s="14">
        <f>IF(I181=0,0,IF(G181=5,0,(AC181+AF181/12)*12*BASE!$C$9))</f>
        <v>279123.83999999997</v>
      </c>
      <c r="AN181" s="412">
        <f>IF(I181=0,0,IF(G181=5,0,(AD181+AF181+AG181)*BASE!$C$10))</f>
        <v>4811737.333333334</v>
      </c>
      <c r="AO181" s="837">
        <f t="shared" si="50"/>
        <v>78961631.148641989</v>
      </c>
      <c r="AP181" s="677">
        <f t="shared" si="47"/>
        <v>1.558970168042074</v>
      </c>
      <c r="AQ181" s="1148"/>
      <c r="AR181" s="1149"/>
      <c r="CG181" s="179"/>
      <c r="CH181" s="181"/>
      <c r="CI181" s="182"/>
    </row>
    <row r="182" spans="1:87" ht="13.5" customHeight="1" outlineLevel="1" x14ac:dyDescent="0.2">
      <c r="A182" s="368" t="s">
        <v>581</v>
      </c>
      <c r="B182" s="477" t="s">
        <v>1131</v>
      </c>
      <c r="C182" s="427"/>
      <c r="D182" s="431">
        <f>IF(E182="","",VLOOKUP(E182,BASE!$F$20:$H$25,2,FALSE))</f>
        <v>4</v>
      </c>
      <c r="E182" s="399" t="s">
        <v>539</v>
      </c>
      <c r="F182" s="436" t="s">
        <v>546</v>
      </c>
      <c r="G182" s="437">
        <f>IF(F182="","",VLOOKUP(F182,BASE!$B$15:$C$18,2,FALSE))</f>
        <v>3</v>
      </c>
      <c r="H182" s="355">
        <v>5</v>
      </c>
      <c r="I182" s="423">
        <v>0</v>
      </c>
      <c r="J182" s="399"/>
      <c r="K182" s="354"/>
      <c r="L182" s="354"/>
      <c r="M182" s="354"/>
      <c r="N182" s="354"/>
      <c r="O182" s="355">
        <f t="shared" si="38"/>
        <v>0</v>
      </c>
      <c r="P182" s="354"/>
      <c r="Q182" s="354"/>
      <c r="R182" s="355">
        <f t="shared" si="39"/>
        <v>0</v>
      </c>
      <c r="S182" s="354"/>
      <c r="T182" s="354"/>
      <c r="U182" s="354"/>
      <c r="V182" s="355">
        <f t="shared" si="40"/>
        <v>0</v>
      </c>
      <c r="W182" s="354"/>
      <c r="X182" s="477">
        <f t="shared" si="41"/>
        <v>0</v>
      </c>
      <c r="Y182" s="19" t="str">
        <f t="shared" si="42"/>
        <v xml:space="preserve">OK </v>
      </c>
      <c r="Z182" s="404" t="str">
        <f t="shared" si="43"/>
        <v>JUSTIFICAR</v>
      </c>
      <c r="AA182" s="478">
        <f>ROUND((IF(D182=1,(BASE!$G$51*I182),IF(D182=2,(BASE!$G$52*I182),IF(D182=3,(BASE!$G$53*I182),IF(D182=4,(BASE!$G$54*I182),IF(D182=5,(BASE!$G$55*I182),IF(D182=6,(BASE!$G$56*I182),0)))))))/1000,0)*1000</f>
        <v>0</v>
      </c>
      <c r="AB182" s="408">
        <v>0</v>
      </c>
      <c r="AC182" s="478">
        <f t="shared" si="44"/>
        <v>0</v>
      </c>
      <c r="AD182" s="478">
        <f>IF(G182=3,AC182*BASE!$I$62,IF(G182=1,AC182*(BASE!$I$61),IF(G182=2,AC182*(BASE!$I$63),AC182*BASE!$I$64)))</f>
        <v>0</v>
      </c>
      <c r="AE182" s="411">
        <f>IF(I182&lt;10,0,IF(AC182&lt;=BASE!$C$3*2,BASE!$C$2,0)*(AD182/AC182))</f>
        <v>0</v>
      </c>
      <c r="AF182" s="13">
        <v>0</v>
      </c>
      <c r="AG182" s="14">
        <f t="shared" si="35"/>
        <v>0</v>
      </c>
      <c r="AH182" s="14">
        <f t="shared" si="45"/>
        <v>0</v>
      </c>
      <c r="AI182" s="14">
        <f t="shared" si="46"/>
        <v>0</v>
      </c>
      <c r="AJ182" s="14">
        <f t="shared" si="36"/>
        <v>0</v>
      </c>
      <c r="AK182" s="14">
        <f>IF(I182=0,0,IF(G182=5,0,(AC182+AF182/12)*12*BASE!$C$5))</f>
        <v>0</v>
      </c>
      <c r="AL182" s="14">
        <f>IF(I182=0,0,IF(G182=5,0,(AC182+AF182/12)*12*BASE!$C$7))</f>
        <v>0</v>
      </c>
      <c r="AM182" s="14">
        <f>IF(I182=0,0,IF(G182=5,0,(AC182+AF182/12)*12*BASE!$C$9))</f>
        <v>0</v>
      </c>
      <c r="AN182" s="412">
        <f>IF(I182=0,0,IF(G182=5,0,(AD182+AF182+AG182)*BASE!$C$10))</f>
        <v>0</v>
      </c>
      <c r="AO182" s="837">
        <f t="shared" si="50"/>
        <v>0</v>
      </c>
      <c r="AP182" s="677" t="str">
        <f t="shared" si="47"/>
        <v>Sin datos</v>
      </c>
      <c r="AQ182" s="1150" t="s">
        <v>1362</v>
      </c>
      <c r="AR182" s="1149"/>
      <c r="CG182" s="179"/>
      <c r="CH182" s="181"/>
      <c r="CI182" s="182"/>
    </row>
    <row r="183" spans="1:87" ht="13.5" customHeight="1" outlineLevel="1" x14ac:dyDescent="0.2">
      <c r="A183" s="368" t="s">
        <v>581</v>
      </c>
      <c r="B183" s="477" t="s">
        <v>1132</v>
      </c>
      <c r="C183" s="427"/>
      <c r="D183" s="431">
        <f>IF(E183="","",VLOOKUP(E183,BASE!$F$20:$H$25,2,FALSE))</f>
        <v>4</v>
      </c>
      <c r="E183" s="399" t="s">
        <v>539</v>
      </c>
      <c r="F183" s="436" t="s">
        <v>546</v>
      </c>
      <c r="G183" s="437">
        <f>IF(F183="","",VLOOKUP(F183,BASE!$B$15:$C$18,2,FALSE))</f>
        <v>3</v>
      </c>
      <c r="H183" s="355">
        <v>2</v>
      </c>
      <c r="I183" s="423">
        <f t="shared" si="37"/>
        <v>2</v>
      </c>
      <c r="J183" s="399">
        <v>1</v>
      </c>
      <c r="K183" s="399">
        <v>1</v>
      </c>
      <c r="L183" s="354"/>
      <c r="M183" s="354"/>
      <c r="N183" s="354"/>
      <c r="O183" s="355">
        <f t="shared" si="38"/>
        <v>2</v>
      </c>
      <c r="P183" s="354"/>
      <c r="Q183" s="354"/>
      <c r="R183" s="355">
        <f t="shared" si="39"/>
        <v>0</v>
      </c>
      <c r="S183" s="354"/>
      <c r="T183" s="354"/>
      <c r="U183" s="354"/>
      <c r="V183" s="355">
        <f t="shared" si="40"/>
        <v>0</v>
      </c>
      <c r="W183" s="354"/>
      <c r="X183" s="477">
        <f t="shared" si="41"/>
        <v>2</v>
      </c>
      <c r="Y183" s="19" t="str">
        <f t="shared" si="42"/>
        <v xml:space="preserve">OK </v>
      </c>
      <c r="Z183" s="404" t="str">
        <f t="shared" si="43"/>
        <v xml:space="preserve"> </v>
      </c>
      <c r="AA183" s="478">
        <f>ROUND((IF(D183=1,(BASE!$G$51*I183),IF(D183=2,(BASE!$G$52*I183),IF(D183=3,(BASE!$G$53*I183),IF(D183=4,(BASE!$G$54*I183),IF(D183=5,(BASE!$G$55*I183),IF(D183=6,(BASE!$G$56*I183),0)))))))/1000,0)*1000</f>
        <v>223000</v>
      </c>
      <c r="AB183" s="408">
        <v>0</v>
      </c>
      <c r="AC183" s="478">
        <f t="shared" si="44"/>
        <v>223000</v>
      </c>
      <c r="AD183" s="478">
        <f>IF(G183=3,AC183*BASE!$I$62,IF(G183=1,AC183*(BASE!$I$61),IF(G183=2,AC183*(BASE!$I$63),AC183*BASE!$I$64)))</f>
        <v>2386100</v>
      </c>
      <c r="AE183" s="411">
        <f>IF(I183&lt;10,0,IF(AC183&lt;=BASE!$C$3*2,BASE!$C$2,0)*(AD183/AC183))</f>
        <v>0</v>
      </c>
      <c r="AF183" s="13">
        <v>0</v>
      </c>
      <c r="AG183" s="14">
        <f t="shared" si="35"/>
        <v>132561.11111111109</v>
      </c>
      <c r="AH183" s="14">
        <f t="shared" si="45"/>
        <v>209888</v>
      </c>
      <c r="AI183" s="14">
        <f t="shared" si="46"/>
        <v>209888.42592592593</v>
      </c>
      <c r="AJ183" s="14">
        <f t="shared" si="36"/>
        <v>23087.72685185185</v>
      </c>
      <c r="AK183" s="14">
        <f>IF(I183=0,0,IF(G183=5,0,(AC183+AF183/12)*12*BASE!$C$5))</f>
        <v>227460.00000000003</v>
      </c>
      <c r="AL183" s="14">
        <v>0</v>
      </c>
      <c r="AM183" s="14">
        <f>IF(I183=0,0,IF(G183=5,0,(AC183+AF183/12)*12*BASE!$C$9))</f>
        <v>13968.72</v>
      </c>
      <c r="AN183" s="412">
        <f>IF(I183=0,0,IF(G183=5,0,(AD183+AF183+AG183)*BASE!$C$10))</f>
        <v>226679.49999999997</v>
      </c>
      <c r="AO183" s="837">
        <f t="shared" si="50"/>
        <v>3429633.4838888887</v>
      </c>
      <c r="AP183" s="677">
        <f t="shared" si="47"/>
        <v>1.4373385373156569</v>
      </c>
      <c r="AQ183" s="1148"/>
      <c r="AR183" s="1149"/>
      <c r="CG183" s="179"/>
      <c r="CH183" s="181"/>
      <c r="CI183" s="182"/>
    </row>
    <row r="184" spans="1:87" ht="13.5" customHeight="1" outlineLevel="1" x14ac:dyDescent="0.2">
      <c r="A184" s="368" t="s">
        <v>581</v>
      </c>
      <c r="B184" s="477" t="s">
        <v>1133</v>
      </c>
      <c r="C184" s="427"/>
      <c r="D184" s="431">
        <f>IF(E184="","",VLOOKUP(E184,BASE!$F$20:$H$25,2,FALSE))</f>
        <v>2</v>
      </c>
      <c r="E184" s="399" t="s">
        <v>541</v>
      </c>
      <c r="F184" s="436" t="s">
        <v>546</v>
      </c>
      <c r="G184" s="437">
        <f>IF(F184="","",VLOOKUP(F184,BASE!$B$15:$C$18,2,FALSE))</f>
        <v>3</v>
      </c>
      <c r="H184" s="355">
        <v>14</v>
      </c>
      <c r="I184" s="423">
        <f t="shared" si="37"/>
        <v>14</v>
      </c>
      <c r="J184" s="354">
        <v>4</v>
      </c>
      <c r="K184" s="354">
        <v>2</v>
      </c>
      <c r="L184" s="399">
        <v>2</v>
      </c>
      <c r="M184" s="354"/>
      <c r="N184" s="399">
        <v>3</v>
      </c>
      <c r="O184" s="355">
        <f t="shared" si="38"/>
        <v>11</v>
      </c>
      <c r="P184" s="354"/>
      <c r="Q184" s="354"/>
      <c r="R184" s="355">
        <f t="shared" si="39"/>
        <v>0</v>
      </c>
      <c r="S184" s="354">
        <v>3</v>
      </c>
      <c r="T184" s="354"/>
      <c r="U184" s="354"/>
      <c r="V184" s="355">
        <f t="shared" si="40"/>
        <v>3</v>
      </c>
      <c r="W184" s="354"/>
      <c r="X184" s="477">
        <f t="shared" si="41"/>
        <v>14</v>
      </c>
      <c r="Y184" s="19" t="str">
        <f t="shared" si="42"/>
        <v xml:space="preserve">OK </v>
      </c>
      <c r="Z184" s="404" t="str">
        <f t="shared" si="43"/>
        <v xml:space="preserve"> </v>
      </c>
      <c r="AA184" s="478">
        <f>ROUND((IF(D184=1,(BASE!$G$51*I184),IF(D184=2,(BASE!$G$52*I184),IF(D184=3,(BASE!$G$53*I184),IF(D184=4,(BASE!$G$54*I184),IF(D184=5,(BASE!$G$55*I184),IF(D184=6,(BASE!$G$56*I184),0)))))))/1000,0)*1000</f>
        <v>2806000</v>
      </c>
      <c r="AB184" s="408">
        <v>0</v>
      </c>
      <c r="AC184" s="478">
        <f t="shared" si="44"/>
        <v>2806000</v>
      </c>
      <c r="AD184" s="478">
        <f>IF(G184=3,AC184*BASE!$I$62,IF(G184=1,AC184*(BASE!$I$61),IF(G184=2,AC184*(BASE!$I$63),AC184*BASE!$I$64)))</f>
        <v>30024199.999999996</v>
      </c>
      <c r="AE184" s="411">
        <f>IF(I184&lt;10,0,IF(AC184&lt;=BASE!$C$3*2,BASE!$C$2,0)*(AD184/AC184))</f>
        <v>0</v>
      </c>
      <c r="AF184" s="13">
        <v>0</v>
      </c>
      <c r="AG184" s="14">
        <f t="shared" si="35"/>
        <v>1668011.111111111</v>
      </c>
      <c r="AH184" s="14">
        <f t="shared" si="45"/>
        <v>2641018</v>
      </c>
      <c r="AI184" s="14">
        <f t="shared" si="46"/>
        <v>2641017.5925925924</v>
      </c>
      <c r="AJ184" s="14">
        <f t="shared" si="36"/>
        <v>290511.93518518517</v>
      </c>
      <c r="AK184" s="14">
        <f>IF(I184=0,0,IF(G184=5,0,(AC184+AF184/12)*12*BASE!$C$5))</f>
        <v>2862120</v>
      </c>
      <c r="AL184" s="14">
        <f>IF(I184=0,0,IF(G184=5,0,(AC184+AF184/12)*12*BASE!$C$7))</f>
        <v>4040640</v>
      </c>
      <c r="AM184" s="14">
        <f>IF(I184=0,0,IF(G184=5,0,(AC184+AF184/12)*12*BASE!$C$9))</f>
        <v>175767.84</v>
      </c>
      <c r="AN184" s="412">
        <f>IF(I184=0,0,IF(G184=5,0,(AD184+AF184+AG184)*BASE!$C$10))</f>
        <v>2852298.9999999995</v>
      </c>
      <c r="AO184" s="837">
        <f t="shared" si="50"/>
        <v>47195585.478888884</v>
      </c>
      <c r="AP184" s="677">
        <f t="shared" si="47"/>
        <v>1.5719181686402599</v>
      </c>
      <c r="AQ184" s="1148"/>
      <c r="AR184" s="1149"/>
      <c r="CG184" s="179"/>
      <c r="CH184" s="181"/>
      <c r="CI184" s="182"/>
    </row>
    <row r="185" spans="1:87" ht="13.5" customHeight="1" outlineLevel="1" x14ac:dyDescent="0.2">
      <c r="A185" s="368" t="s">
        <v>581</v>
      </c>
      <c r="B185" s="477" t="s">
        <v>1134</v>
      </c>
      <c r="C185" s="427"/>
      <c r="D185" s="431">
        <f>IF(E185="","",VLOOKUP(E185,BASE!$F$20:$H$25,2,FALSE))</f>
        <v>4</v>
      </c>
      <c r="E185" s="399" t="s">
        <v>539</v>
      </c>
      <c r="F185" s="436" t="s">
        <v>546</v>
      </c>
      <c r="G185" s="437">
        <f>IF(F185="","",VLOOKUP(F185,BASE!$B$15:$C$18,2,FALSE))</f>
        <v>3</v>
      </c>
      <c r="H185" s="355">
        <v>20</v>
      </c>
      <c r="I185" s="423">
        <f t="shared" si="37"/>
        <v>20</v>
      </c>
      <c r="J185" s="354">
        <v>6</v>
      </c>
      <c r="K185" s="354">
        <v>3</v>
      </c>
      <c r="L185" s="399">
        <v>3</v>
      </c>
      <c r="M185" s="399">
        <v>3</v>
      </c>
      <c r="N185" s="354"/>
      <c r="O185" s="355">
        <f t="shared" si="38"/>
        <v>15</v>
      </c>
      <c r="P185" s="354"/>
      <c r="Q185" s="354"/>
      <c r="R185" s="355">
        <f t="shared" si="39"/>
        <v>0</v>
      </c>
      <c r="S185" s="354"/>
      <c r="T185" s="354"/>
      <c r="U185" s="354"/>
      <c r="V185" s="355">
        <f t="shared" si="40"/>
        <v>0</v>
      </c>
      <c r="W185" s="354">
        <v>5</v>
      </c>
      <c r="X185" s="477">
        <f t="shared" si="41"/>
        <v>20</v>
      </c>
      <c r="Y185" s="19" t="str">
        <f t="shared" si="42"/>
        <v xml:space="preserve">OK </v>
      </c>
      <c r="Z185" s="404" t="str">
        <f t="shared" si="43"/>
        <v xml:space="preserve"> </v>
      </c>
      <c r="AA185" s="478">
        <f>ROUND((IF(D185=1,(BASE!$G$51*I185),IF(D185=2,(BASE!$G$52*I185),IF(D185=3,(BASE!$G$53*I185),IF(D185=4,(BASE!$G$54*I185),IF(D185=5,(BASE!$G$55*I185),IF(D185=6,(BASE!$G$56*I185),0)))))))/1000,0)*1000</f>
        <v>2228000</v>
      </c>
      <c r="AB185" s="408">
        <v>0</v>
      </c>
      <c r="AC185" s="478">
        <f t="shared" si="44"/>
        <v>2228000</v>
      </c>
      <c r="AD185" s="478">
        <f>IF(G185=3,AC185*BASE!$I$62,IF(G185=1,AC185*(BASE!$I$61),IF(G185=2,AC185*(BASE!$I$63),AC185*BASE!$I$64)))</f>
        <v>23839600</v>
      </c>
      <c r="AE185" s="411">
        <f>IF(I185&lt;10,0,IF(AC185&lt;=BASE!$C$3*2,BASE!$C$2,0)*(AD185/AC185))</f>
        <v>0</v>
      </c>
      <c r="AF185" s="13">
        <v>0</v>
      </c>
      <c r="AG185" s="14">
        <f t="shared" si="35"/>
        <v>1324422.2222222222</v>
      </c>
      <c r="AH185" s="14">
        <f t="shared" si="45"/>
        <v>2097002</v>
      </c>
      <c r="AI185" s="14">
        <f t="shared" si="46"/>
        <v>2097001.8518518517</v>
      </c>
      <c r="AJ185" s="14">
        <f t="shared" si="36"/>
        <v>230670.20370370368</v>
      </c>
      <c r="AK185" s="14">
        <f>IF(I185=0,0,IF(G185=5,0,(AC185+AF185/12)*12*BASE!$C$5))</f>
        <v>2272560</v>
      </c>
      <c r="AL185" s="14">
        <f>IF(I185=0,0,IF(G185=5,0,(AC185+AF185/12)*12*BASE!$C$7))</f>
        <v>3208320</v>
      </c>
      <c r="AM185" s="14">
        <f>IF(I185=0,0,IF(G185=5,0,(AC185+AF185/12)*12*BASE!$C$9))</f>
        <v>139561.91999999998</v>
      </c>
      <c r="AN185" s="412">
        <f>IF(I185=0,0,IF(G185=5,0,(AD185+AF185+AG185)*BASE!$C$10))</f>
        <v>2264762</v>
      </c>
      <c r="AO185" s="837">
        <f t="shared" si="49"/>
        <v>37473900.197777778</v>
      </c>
      <c r="AP185" s="677">
        <f t="shared" si="47"/>
        <v>1.571918161285331</v>
      </c>
      <c r="AQ185" s="1148"/>
      <c r="AR185" s="1149"/>
      <c r="CG185" s="179"/>
      <c r="CH185" s="181"/>
      <c r="CI185" s="182"/>
    </row>
    <row r="186" spans="1:87" ht="13.5" customHeight="1" outlineLevel="1" x14ac:dyDescent="0.2">
      <c r="A186" s="368" t="s">
        <v>581</v>
      </c>
      <c r="B186" s="477" t="s">
        <v>1135</v>
      </c>
      <c r="C186" s="427"/>
      <c r="D186" s="431">
        <f>IF(E186="","",VLOOKUP(E186,BASE!$F$20:$H$25,2,FALSE))</f>
        <v>4</v>
      </c>
      <c r="E186" s="399" t="s">
        <v>539</v>
      </c>
      <c r="F186" s="436" t="s">
        <v>546</v>
      </c>
      <c r="G186" s="437">
        <f>IF(F186="","",VLOOKUP(F186,BASE!$B$15:$C$18,2,FALSE))</f>
        <v>3</v>
      </c>
      <c r="H186" s="355">
        <v>10</v>
      </c>
      <c r="I186" s="423">
        <f t="shared" si="37"/>
        <v>10</v>
      </c>
      <c r="J186" s="354"/>
      <c r="K186" s="354"/>
      <c r="L186" s="354"/>
      <c r="M186" s="354"/>
      <c r="N186" s="354"/>
      <c r="O186" s="355">
        <f t="shared" si="38"/>
        <v>0</v>
      </c>
      <c r="P186" s="354"/>
      <c r="Q186" s="354"/>
      <c r="R186" s="355">
        <f t="shared" si="39"/>
        <v>0</v>
      </c>
      <c r="S186" s="354">
        <v>10</v>
      </c>
      <c r="T186" s="354"/>
      <c r="U186" s="354"/>
      <c r="V186" s="355">
        <f t="shared" si="40"/>
        <v>10</v>
      </c>
      <c r="W186" s="354"/>
      <c r="X186" s="477">
        <f t="shared" si="41"/>
        <v>10</v>
      </c>
      <c r="Y186" s="19" t="str">
        <f t="shared" si="42"/>
        <v xml:space="preserve">OK </v>
      </c>
      <c r="Z186" s="404" t="str">
        <f t="shared" si="43"/>
        <v xml:space="preserve"> </v>
      </c>
      <c r="AA186" s="478">
        <f>ROUND((IF(D186=1,(BASE!$G$51*I186),IF(D186=2,(BASE!$G$52*I186),IF(D186=3,(BASE!$G$53*I186),IF(D186=4,(BASE!$G$54*I186),IF(D186=5,(BASE!$G$55*I186),IF(D186=6,(BASE!$G$56*I186),0)))))))/1000,0)*1000</f>
        <v>1114000</v>
      </c>
      <c r="AB186" s="408">
        <v>0</v>
      </c>
      <c r="AC186" s="478">
        <f t="shared" si="44"/>
        <v>1114000</v>
      </c>
      <c r="AD186" s="478">
        <f>IF(G186=3,AC186*BASE!$I$62,IF(G186=1,AC186*(BASE!$I$61),IF(G186=2,AC186*(BASE!$I$63),AC186*BASE!$I$64)))</f>
        <v>11919800</v>
      </c>
      <c r="AE186" s="411">
        <f>IF(I186&lt;10,0,IF(AC186&lt;=BASE!$C$3*2,BASE!$C$2,0)*(AD186/AC186))</f>
        <v>943857.7</v>
      </c>
      <c r="AF186" s="13">
        <v>0</v>
      </c>
      <c r="AG186" s="14">
        <f t="shared" si="35"/>
        <v>662211.11111111112</v>
      </c>
      <c r="AH186" s="14">
        <f t="shared" si="45"/>
        <v>1127156</v>
      </c>
      <c r="AI186" s="14">
        <f t="shared" si="46"/>
        <v>1127155.7342592592</v>
      </c>
      <c r="AJ186" s="14">
        <f t="shared" si="36"/>
        <v>123987.13076851852</v>
      </c>
      <c r="AK186" s="14">
        <f>IF(I186=0,0,IF(G186=5,0,(AC186+AF186/12)*12*BASE!$C$5))</f>
        <v>1136280</v>
      </c>
      <c r="AL186" s="14">
        <v>0</v>
      </c>
      <c r="AM186" s="14">
        <f>IF(I186=0,0,IF(G186=5,0,(AC186+AF186/12)*12*BASE!$C$9))</f>
        <v>69780.959999999992</v>
      </c>
      <c r="AN186" s="412">
        <f>IF(I186=0,0,IF(G186=5,0,(AD186+AF186+AG186)*BASE!$C$10))</f>
        <v>1132381</v>
      </c>
      <c r="AO186" s="837">
        <f t="shared" si="49"/>
        <v>18242609.63613889</v>
      </c>
      <c r="AP186" s="677">
        <f t="shared" si="47"/>
        <v>1.530445950111486</v>
      </c>
      <c r="AQ186" s="1148"/>
      <c r="AR186" s="1149"/>
      <c r="CG186" s="179"/>
      <c r="CH186" s="181"/>
      <c r="CI186" s="182"/>
    </row>
    <row r="187" spans="1:87" ht="13.5" customHeight="1" outlineLevel="1" x14ac:dyDescent="0.2">
      <c r="A187" s="368" t="s">
        <v>581</v>
      </c>
      <c r="B187" s="477" t="s">
        <v>1136</v>
      </c>
      <c r="C187" s="427"/>
      <c r="D187" s="431">
        <f>IF(E187="","",VLOOKUP(E187,BASE!$F$20:$H$25,2,FALSE))</f>
        <v>5</v>
      </c>
      <c r="E187" s="399" t="s">
        <v>538</v>
      </c>
      <c r="F187" s="436" t="s">
        <v>546</v>
      </c>
      <c r="G187" s="437">
        <f>IF(F187="","",VLOOKUP(F187,BASE!$B$15:$C$18,2,FALSE))</f>
        <v>3</v>
      </c>
      <c r="H187" s="355">
        <v>6</v>
      </c>
      <c r="I187" s="423">
        <f t="shared" si="37"/>
        <v>6</v>
      </c>
      <c r="J187" s="399">
        <v>1</v>
      </c>
      <c r="K187" s="399">
        <v>1</v>
      </c>
      <c r="L187" s="399">
        <v>1</v>
      </c>
      <c r="M187" s="354"/>
      <c r="N187" s="354"/>
      <c r="O187" s="355">
        <f t="shared" si="38"/>
        <v>3</v>
      </c>
      <c r="P187" s="354"/>
      <c r="Q187" s="354"/>
      <c r="R187" s="355">
        <f t="shared" si="39"/>
        <v>0</v>
      </c>
      <c r="S187" s="399">
        <v>3</v>
      </c>
      <c r="T187" s="354"/>
      <c r="U187" s="354"/>
      <c r="V187" s="355">
        <f t="shared" si="40"/>
        <v>3</v>
      </c>
      <c r="W187" s="354"/>
      <c r="X187" s="477">
        <f t="shared" si="41"/>
        <v>6</v>
      </c>
      <c r="Y187" s="19" t="str">
        <f t="shared" si="42"/>
        <v xml:space="preserve">OK </v>
      </c>
      <c r="Z187" s="404" t="str">
        <f t="shared" si="43"/>
        <v xml:space="preserve"> </v>
      </c>
      <c r="AA187" s="478">
        <f>ROUND((IF(D187=1,(BASE!$G$51*I187),IF(D187=2,(BASE!$G$52*I187),IF(D187=3,(BASE!$G$53*I187),IF(D187=4,(BASE!$G$54*I187),IF(D187=5,(BASE!$G$55*I187),IF(D187=6,(BASE!$G$56*I187),0)))))))/1000,0)*1000</f>
        <v>534000</v>
      </c>
      <c r="AB187" s="408">
        <v>0</v>
      </c>
      <c r="AC187" s="478">
        <f t="shared" si="44"/>
        <v>534000</v>
      </c>
      <c r="AD187" s="478">
        <f>IF(G187=3,AC187*BASE!$I$62,IF(G187=1,AC187*(BASE!$I$61),IF(G187=2,AC187*(BASE!$I$63),AC187*BASE!$I$64)))</f>
        <v>5713800</v>
      </c>
      <c r="AE187" s="411">
        <f>IF(I187&lt;10,0,IF(AC187&lt;=BASE!$C$3*2,BASE!$C$2,0)*(AD187/AC187))</f>
        <v>0</v>
      </c>
      <c r="AF187" s="13">
        <v>0</v>
      </c>
      <c r="AG187" s="14">
        <f t="shared" si="35"/>
        <v>317433.33333333331</v>
      </c>
      <c r="AH187" s="14">
        <f t="shared" si="45"/>
        <v>502603</v>
      </c>
      <c r="AI187" s="14">
        <f t="shared" si="46"/>
        <v>502602.77777777775</v>
      </c>
      <c r="AJ187" s="14">
        <f t="shared" si="36"/>
        <v>55286.305555555555</v>
      </c>
      <c r="AK187" s="14">
        <f>IF(I187=0,0,IF(G187=5,0,(AC187+AF187/12)*12*BASE!$C$5))</f>
        <v>544680</v>
      </c>
      <c r="AL187" s="14">
        <v>0</v>
      </c>
      <c r="AM187" s="14">
        <f>IF(I187=0,0,IF(G187=5,0,(AC187+AF187/12)*12*BASE!$C$9))</f>
        <v>33449.760000000002</v>
      </c>
      <c r="AN187" s="412">
        <f>IF(I187=0,0,IF(G187=5,0,(AD187+AF187+AG187)*BASE!$C$10))</f>
        <v>542811</v>
      </c>
      <c r="AO187" s="837">
        <f t="shared" si="49"/>
        <v>8212666.1766666668</v>
      </c>
      <c r="AP187" s="677">
        <f t="shared" si="47"/>
        <v>1.4373387547108172</v>
      </c>
      <c r="AQ187" s="1148"/>
      <c r="AR187" s="1149"/>
      <c r="CG187" s="179"/>
      <c r="CH187" s="181"/>
      <c r="CI187" s="182"/>
    </row>
    <row r="188" spans="1:87" ht="13.5" customHeight="1" outlineLevel="1" x14ac:dyDescent="0.2">
      <c r="A188" s="368" t="s">
        <v>581</v>
      </c>
      <c r="B188" s="477" t="s">
        <v>1137</v>
      </c>
      <c r="C188" s="427"/>
      <c r="D188" s="431">
        <f>IF(E188="","",VLOOKUP(E188,BASE!$F$20:$H$25,2,FALSE))</f>
        <v>2</v>
      </c>
      <c r="E188" s="399" t="s">
        <v>541</v>
      </c>
      <c r="F188" s="436" t="s">
        <v>258</v>
      </c>
      <c r="G188" s="437">
        <f>IF(F188="","",VLOOKUP(F188,BASE!$B$15:$C$18,2,FALSE))</f>
        <v>2</v>
      </c>
      <c r="H188" s="355">
        <v>40</v>
      </c>
      <c r="I188" s="423">
        <f t="shared" si="37"/>
        <v>40</v>
      </c>
      <c r="J188" s="399">
        <v>6</v>
      </c>
      <c r="K188" s="399">
        <v>2</v>
      </c>
      <c r="L188" s="399">
        <v>2</v>
      </c>
      <c r="M188" s="354"/>
      <c r="N188" s="354"/>
      <c r="O188" s="355">
        <f t="shared" si="38"/>
        <v>10</v>
      </c>
      <c r="P188" s="354"/>
      <c r="Q188" s="354"/>
      <c r="R188" s="355">
        <f t="shared" si="39"/>
        <v>0</v>
      </c>
      <c r="S188" s="399">
        <v>10</v>
      </c>
      <c r="T188" s="354"/>
      <c r="U188" s="354"/>
      <c r="V188" s="355">
        <f t="shared" si="40"/>
        <v>10</v>
      </c>
      <c r="W188" s="354">
        <v>20</v>
      </c>
      <c r="X188" s="477">
        <v>40</v>
      </c>
      <c r="Y188" s="19" t="str">
        <f t="shared" si="42"/>
        <v xml:space="preserve">OK </v>
      </c>
      <c r="Z188" s="404" t="str">
        <f t="shared" si="43"/>
        <v xml:space="preserve"> </v>
      </c>
      <c r="AA188" s="478">
        <v>12365000</v>
      </c>
      <c r="AB188" s="408">
        <v>0</v>
      </c>
      <c r="AC188" s="478">
        <f t="shared" si="44"/>
        <v>12365000</v>
      </c>
      <c r="AD188" s="478">
        <f>IF(G188=3,AC188*BASE!$I$62,IF(G188=1,AC188*(BASE!$I$61),IF(G188=2,AC188*(BASE!$I$63),AC188*BASE!$I$64)))</f>
        <v>140548833.33333334</v>
      </c>
      <c r="AE188" s="411">
        <f>IF(I188&lt;10,0,IF(AC188&lt;=BASE!$C$3*2,BASE!$C$2,0)*(AD188/AC188))</f>
        <v>0</v>
      </c>
      <c r="AF188" s="13">
        <v>0</v>
      </c>
      <c r="AG188" s="14">
        <f t="shared" si="35"/>
        <v>7808268.5185185187</v>
      </c>
      <c r="AH188" s="14">
        <f t="shared" si="45"/>
        <v>12363092</v>
      </c>
      <c r="AI188" s="14">
        <f t="shared" si="46"/>
        <v>12363091.820987655</v>
      </c>
      <c r="AJ188" s="14">
        <f t="shared" si="36"/>
        <v>1483571.0185185184</v>
      </c>
      <c r="AK188" s="14">
        <f>IF(I188=0,0,IF(G188=5,0,(AC188+AF188/12)*12*BASE!$C$5))</f>
        <v>12612300</v>
      </c>
      <c r="AL188" s="14">
        <v>0</v>
      </c>
      <c r="AM188" s="14">
        <f>IF(I188=0,0,IF(G188=5,0,(AC188+AF188/12)*12*BASE!$C$9))</f>
        <v>774543.6</v>
      </c>
      <c r="AN188" s="412">
        <f>IF(I188=0,0,IF(G188=5,0,(AD188+AF188+AG188)*BASE!$C$10))</f>
        <v>13352139.166666666</v>
      </c>
      <c r="AO188" s="837">
        <f t="shared" si="49"/>
        <v>201305839.45802465</v>
      </c>
      <c r="AP188" s="677">
        <f t="shared" si="47"/>
        <v>1.4322839591318175</v>
      </c>
      <c r="AQ188" s="1148"/>
      <c r="AR188" s="1149"/>
      <c r="CG188" s="179"/>
      <c r="CH188" s="181"/>
      <c r="CI188" s="182"/>
    </row>
    <row r="189" spans="1:87" ht="13.5" customHeight="1" outlineLevel="1" x14ac:dyDescent="0.2">
      <c r="A189" s="368" t="s">
        <v>581</v>
      </c>
      <c r="B189" s="477" t="s">
        <v>1138</v>
      </c>
      <c r="C189" s="427"/>
      <c r="D189" s="431">
        <f>IF(E189="","",VLOOKUP(E189,BASE!$F$20:$H$25,2,FALSE))</f>
        <v>4</v>
      </c>
      <c r="E189" s="399" t="s">
        <v>539</v>
      </c>
      <c r="F189" s="436" t="s">
        <v>258</v>
      </c>
      <c r="G189" s="437">
        <f>IF(F189="","",VLOOKUP(F189,BASE!$B$15:$C$18,2,FALSE))</f>
        <v>2</v>
      </c>
      <c r="H189" s="355">
        <v>40</v>
      </c>
      <c r="I189" s="423">
        <f t="shared" si="37"/>
        <v>40</v>
      </c>
      <c r="J189" s="354"/>
      <c r="K189" s="354"/>
      <c r="L189" s="354"/>
      <c r="M189" s="354"/>
      <c r="N189" s="354"/>
      <c r="O189" s="355">
        <f t="shared" si="38"/>
        <v>0</v>
      </c>
      <c r="P189" s="354"/>
      <c r="Q189" s="354"/>
      <c r="R189" s="355">
        <f t="shared" si="39"/>
        <v>0</v>
      </c>
      <c r="S189" s="354"/>
      <c r="T189" s="354"/>
      <c r="U189" s="354"/>
      <c r="V189" s="355">
        <f t="shared" si="40"/>
        <v>0</v>
      </c>
      <c r="W189" s="354"/>
      <c r="X189" s="477">
        <v>40</v>
      </c>
      <c r="Y189" s="19" t="str">
        <f t="shared" si="42"/>
        <v xml:space="preserve">OK </v>
      </c>
      <c r="Z189" s="404" t="str">
        <f t="shared" si="43"/>
        <v xml:space="preserve"> </v>
      </c>
      <c r="AA189" s="478">
        <f>ROUND((IF(D189=1,(BASE!$G$51*I189),IF(D189=2,(BASE!$G$52*I189),IF(D189=3,(BASE!$G$53*I189),IF(D189=4,(BASE!$G$54*I189),IF(D189=5,(BASE!$G$55*I189),IF(D189=6,(BASE!$G$56*I189),0)))))))/1000,0)*1000</f>
        <v>4456000</v>
      </c>
      <c r="AB189" s="408">
        <v>0</v>
      </c>
      <c r="AC189" s="478">
        <f t="shared" si="44"/>
        <v>4456000</v>
      </c>
      <c r="AD189" s="478">
        <f>IF(G189=3,AC189*BASE!$I$62,IF(G189=1,AC189*(BASE!$I$61),IF(G189=2,AC189*(BASE!$I$63),AC189*BASE!$I$64)))</f>
        <v>50649866.666666672</v>
      </c>
      <c r="AE189" s="411">
        <f>IF(I189&lt;10,0,IF(AC189&lt;=BASE!$C$3*2,BASE!$C$2,0)*(AD189/AC189))</f>
        <v>0</v>
      </c>
      <c r="AF189" s="13">
        <v>0</v>
      </c>
      <c r="AG189" s="14">
        <f t="shared" si="35"/>
        <v>2813881.4814814818</v>
      </c>
      <c r="AH189" s="14">
        <f t="shared" si="45"/>
        <v>4455312</v>
      </c>
      <c r="AI189" s="14">
        <f t="shared" si="46"/>
        <v>4455312.3456790131</v>
      </c>
      <c r="AJ189" s="14">
        <f t="shared" si="36"/>
        <v>534637.48148148158</v>
      </c>
      <c r="AK189" s="14">
        <f>IF(I189=0,0,IF(G189=5,0,(AC189+AF189/12)*12*BASE!$C$5))</f>
        <v>4545120</v>
      </c>
      <c r="AL189" s="14">
        <f>IF(I189=0,0,IF(G189=5,0,(AC189+AF189/12)*12*BASE!$C$7))</f>
        <v>6416640</v>
      </c>
      <c r="AM189" s="14">
        <f>IF(I189=0,0,IF(G189=5,0,(AC189+AF189/12)*12*BASE!$C$9))</f>
        <v>279123.83999999997</v>
      </c>
      <c r="AN189" s="412">
        <f>IF(I189=0,0,IF(G189=5,0,(AD189+AF189+AG189)*BASE!$C$10))</f>
        <v>4811737.333333334</v>
      </c>
      <c r="AO189" s="837">
        <f t="shared" si="49"/>
        <v>78961631.148641989</v>
      </c>
      <c r="AP189" s="677">
        <f t="shared" si="47"/>
        <v>1.558970168042074</v>
      </c>
      <c r="AQ189" s="1148"/>
      <c r="AR189" s="1149"/>
      <c r="CG189" s="179"/>
      <c r="CH189" s="181"/>
      <c r="CI189" s="182"/>
    </row>
    <row r="190" spans="1:87" ht="13.5" customHeight="1" outlineLevel="1" x14ac:dyDescent="0.2">
      <c r="A190" s="368" t="s">
        <v>581</v>
      </c>
      <c r="B190" s="477" t="s">
        <v>1139</v>
      </c>
      <c r="C190" s="427"/>
      <c r="D190" s="431">
        <f>IF(E190="","",VLOOKUP(E190,BASE!$F$20:$H$25,2,FALSE))</f>
        <v>5</v>
      </c>
      <c r="E190" s="399" t="s">
        <v>538</v>
      </c>
      <c r="F190" s="436" t="s">
        <v>546</v>
      </c>
      <c r="G190" s="437">
        <f>IF(F190="","",VLOOKUP(F190,BASE!$B$15:$C$18,2,FALSE))</f>
        <v>3</v>
      </c>
      <c r="H190" s="355">
        <v>10</v>
      </c>
      <c r="I190" s="423">
        <f t="shared" si="37"/>
        <v>10</v>
      </c>
      <c r="J190" s="354">
        <v>2</v>
      </c>
      <c r="K190" s="354">
        <v>1</v>
      </c>
      <c r="L190" s="399">
        <v>1</v>
      </c>
      <c r="M190" s="399">
        <v>1</v>
      </c>
      <c r="N190" s="354"/>
      <c r="O190" s="355">
        <f t="shared" si="38"/>
        <v>5</v>
      </c>
      <c r="P190" s="354"/>
      <c r="Q190" s="354"/>
      <c r="R190" s="355">
        <f t="shared" si="39"/>
        <v>0</v>
      </c>
      <c r="S190" s="354">
        <v>5</v>
      </c>
      <c r="T190" s="354"/>
      <c r="U190" s="354"/>
      <c r="V190" s="355">
        <f t="shared" si="40"/>
        <v>5</v>
      </c>
      <c r="W190" s="354"/>
      <c r="X190" s="477">
        <f t="shared" si="41"/>
        <v>10</v>
      </c>
      <c r="Y190" s="19" t="str">
        <f t="shared" si="42"/>
        <v xml:space="preserve">OK </v>
      </c>
      <c r="Z190" s="404" t="str">
        <f t="shared" si="43"/>
        <v xml:space="preserve"> </v>
      </c>
      <c r="AA190" s="478">
        <f>ROUND((IF(D190=1,(BASE!$G$51*I190),IF(D190=2,(BASE!$G$52*I190),IF(D190=3,(BASE!$G$53*I190),IF(D190=4,(BASE!$G$54*I190),IF(D190=5,(BASE!$G$55*I190),IF(D190=6,(BASE!$G$56*I190),0)))))))/1000,0)*1000</f>
        <v>890000</v>
      </c>
      <c r="AB190" s="408">
        <v>0</v>
      </c>
      <c r="AC190" s="478">
        <f t="shared" si="44"/>
        <v>890000</v>
      </c>
      <c r="AD190" s="478">
        <f>IF(G190=3,AC190*BASE!$I$62,IF(G190=1,AC190*(BASE!$I$61),IF(G190=2,AC190*(BASE!$I$63),AC190*BASE!$I$64)))</f>
        <v>9523000</v>
      </c>
      <c r="AE190" s="411">
        <f>IF(I190&lt;10,0,IF(AC190&lt;=BASE!$C$3*2,BASE!$C$2,0)*(AD190/AC190))</f>
        <v>943857.7</v>
      </c>
      <c r="AF190" s="13">
        <v>0</v>
      </c>
      <c r="AG190" s="14">
        <f t="shared" si="35"/>
        <v>529055.55555555562</v>
      </c>
      <c r="AH190" s="14">
        <f t="shared" si="45"/>
        <v>916326</v>
      </c>
      <c r="AI190" s="14">
        <f t="shared" si="46"/>
        <v>916326.10462962964</v>
      </c>
      <c r="AJ190" s="14">
        <f t="shared" si="36"/>
        <v>100795.87150925926</v>
      </c>
      <c r="AK190" s="14">
        <f>IF(I190=0,0,IF(G190=5,0,(AC190+AF190/12)*12*BASE!$C$5))</f>
        <v>907800.00000000012</v>
      </c>
      <c r="AL190" s="14">
        <f>IF(I190=0,0,IF(G190=5,0,(AC190+AF190/12)*12*BASE!$C$7))</f>
        <v>1281600</v>
      </c>
      <c r="AM190" s="14">
        <f>IF(I190=0,0,IF(G190=5,0,(AC190+AF190/12)*12*BASE!$C$9))</f>
        <v>55749.599999999999</v>
      </c>
      <c r="AN190" s="412">
        <f>IF(I190=0,0,IF(G190=5,0,(AD190+AF190+AG190)*BASE!$C$10))</f>
        <v>904685</v>
      </c>
      <c r="AO190" s="837">
        <f t="shared" si="49"/>
        <v>16079195.831694445</v>
      </c>
      <c r="AP190" s="677">
        <f t="shared" si="47"/>
        <v>1.6884590813498315</v>
      </c>
      <c r="AQ190" s="1148"/>
      <c r="AR190" s="1149"/>
      <c r="CG190" s="179"/>
      <c r="CH190" s="181"/>
      <c r="CI190" s="182"/>
    </row>
    <row r="191" spans="1:87" ht="13.5" customHeight="1" outlineLevel="1" x14ac:dyDescent="0.2">
      <c r="A191" s="368" t="s">
        <v>581</v>
      </c>
      <c r="B191" s="477" t="s">
        <v>1140</v>
      </c>
      <c r="C191" s="427"/>
      <c r="D191" s="431">
        <f>IF(E191="","",VLOOKUP(E191,BASE!$F$20:$H$25,2,FALSE))</f>
        <v>5</v>
      </c>
      <c r="E191" s="399" t="s">
        <v>538</v>
      </c>
      <c r="F191" s="436" t="s">
        <v>546</v>
      </c>
      <c r="G191" s="437">
        <f>IF(F191="","",VLOOKUP(F191,BASE!$B$15:$C$18,2,FALSE))</f>
        <v>3</v>
      </c>
      <c r="H191" s="355">
        <v>20</v>
      </c>
      <c r="I191" s="423">
        <f t="shared" si="37"/>
        <v>20</v>
      </c>
      <c r="J191" s="354">
        <v>10</v>
      </c>
      <c r="K191" s="354"/>
      <c r="L191" s="354"/>
      <c r="M191" s="354"/>
      <c r="N191" s="354"/>
      <c r="O191" s="355">
        <f t="shared" si="38"/>
        <v>10</v>
      </c>
      <c r="P191" s="354"/>
      <c r="Q191" s="354"/>
      <c r="R191" s="355">
        <f t="shared" si="39"/>
        <v>0</v>
      </c>
      <c r="S191" s="399">
        <v>10</v>
      </c>
      <c r="T191" s="354"/>
      <c r="U191" s="354"/>
      <c r="V191" s="355">
        <f t="shared" si="40"/>
        <v>10</v>
      </c>
      <c r="W191" s="354"/>
      <c r="X191" s="477">
        <f t="shared" si="41"/>
        <v>20</v>
      </c>
      <c r="Y191" s="19" t="str">
        <f t="shared" si="42"/>
        <v xml:space="preserve">OK </v>
      </c>
      <c r="Z191" s="404" t="str">
        <f t="shared" si="43"/>
        <v xml:space="preserve"> </v>
      </c>
      <c r="AA191" s="478">
        <f>ROUND((IF(D191=1,(BASE!$G$51*I191),IF(D191=2,(BASE!$G$52*I191),IF(D191=3,(BASE!$G$53*I191),IF(D191=4,(BASE!$G$54*I191),IF(D191=5,(BASE!$G$55*I191),IF(D191=6,(BASE!$G$56*I191),0)))))))/1000,0)*1000</f>
        <v>1780000</v>
      </c>
      <c r="AB191" s="408">
        <v>0</v>
      </c>
      <c r="AC191" s="478">
        <f t="shared" si="44"/>
        <v>1780000</v>
      </c>
      <c r="AD191" s="478">
        <f>IF(G191=3,AC191*BASE!$I$62,IF(G191=1,AC191*(BASE!$I$61),IF(G191=2,AC191*(BASE!$I$63),AC191*BASE!$I$64)))</f>
        <v>19046000</v>
      </c>
      <c r="AE191" s="411">
        <f>IF(I191&lt;10,0,IF(AC191&lt;=BASE!$C$3*2,BASE!$C$2,0)*(AD191/AC191))</f>
        <v>0</v>
      </c>
      <c r="AF191" s="13">
        <v>0</v>
      </c>
      <c r="AG191" s="14">
        <f t="shared" si="35"/>
        <v>1058111.1111111112</v>
      </c>
      <c r="AH191" s="14">
        <f t="shared" si="45"/>
        <v>1675343</v>
      </c>
      <c r="AI191" s="14">
        <f t="shared" si="46"/>
        <v>1675342.5925925926</v>
      </c>
      <c r="AJ191" s="14">
        <f t="shared" si="36"/>
        <v>184287.6851851852</v>
      </c>
      <c r="AK191" s="14">
        <f>IF(I191=0,0,IF(G191=5,0,(AC191+AF191/12)*12*BASE!$C$5))</f>
        <v>1815600.0000000002</v>
      </c>
      <c r="AL191" s="14">
        <f>IF(I191=0,0,IF(G191=5,0,(AC191+AF191/12)*12*BASE!$C$7))</f>
        <v>2563200</v>
      </c>
      <c r="AM191" s="14">
        <f>IF(I191=0,0,IF(G191=5,0,(AC191+AF191/12)*12*BASE!$C$9))</f>
        <v>111499.2</v>
      </c>
      <c r="AN191" s="412">
        <f>IF(I191=0,0,IF(G191=5,0,(AD191+AF191+AG191)*BASE!$C$10))</f>
        <v>1809370</v>
      </c>
      <c r="AO191" s="837">
        <f t="shared" si="49"/>
        <v>29938753.588888891</v>
      </c>
      <c r="AP191" s="677">
        <f t="shared" si="47"/>
        <v>1.5719181764616661</v>
      </c>
      <c r="AQ191" s="1148"/>
      <c r="AR191" s="1149"/>
      <c r="CG191" s="179"/>
      <c r="CH191" s="181"/>
      <c r="CI191" s="182"/>
    </row>
    <row r="192" spans="1:87" ht="13.5" customHeight="1" outlineLevel="1" x14ac:dyDescent="0.2">
      <c r="A192" s="368" t="s">
        <v>581</v>
      </c>
      <c r="B192" s="477" t="s">
        <v>1141</v>
      </c>
      <c r="C192" s="427"/>
      <c r="D192" s="431">
        <f>IF(E192="","",VLOOKUP(E192,BASE!$F$20:$H$25,2,FALSE))</f>
        <v>5</v>
      </c>
      <c r="E192" s="399" t="s">
        <v>538</v>
      </c>
      <c r="F192" s="436" t="s">
        <v>546</v>
      </c>
      <c r="G192" s="437">
        <f>IF(F192="","",VLOOKUP(F192,BASE!$B$15:$C$18,2,FALSE))</f>
        <v>3</v>
      </c>
      <c r="H192" s="355">
        <v>10</v>
      </c>
      <c r="I192" s="423">
        <f t="shared" si="37"/>
        <v>10</v>
      </c>
      <c r="J192" s="354">
        <v>6</v>
      </c>
      <c r="K192" s="354">
        <v>2</v>
      </c>
      <c r="L192" s="399">
        <v>2</v>
      </c>
      <c r="M192" s="354"/>
      <c r="N192" s="354"/>
      <c r="O192" s="355">
        <f t="shared" si="38"/>
        <v>10</v>
      </c>
      <c r="P192" s="354"/>
      <c r="Q192" s="354"/>
      <c r="R192" s="355">
        <f t="shared" si="39"/>
        <v>0</v>
      </c>
      <c r="S192" s="354"/>
      <c r="T192" s="354"/>
      <c r="U192" s="354"/>
      <c r="V192" s="355">
        <f t="shared" si="40"/>
        <v>0</v>
      </c>
      <c r="W192" s="354"/>
      <c r="X192" s="477">
        <f t="shared" si="41"/>
        <v>10</v>
      </c>
      <c r="Y192" s="19" t="str">
        <f t="shared" si="42"/>
        <v xml:space="preserve">OK </v>
      </c>
      <c r="Z192" s="404" t="str">
        <f t="shared" si="43"/>
        <v xml:space="preserve"> </v>
      </c>
      <c r="AA192" s="478">
        <f>ROUND((IF(D192=1,(BASE!$G$51*I192),IF(D192=2,(BASE!$G$52*I192),IF(D192=3,(BASE!$G$53*I192),IF(D192=4,(BASE!$G$54*I192),IF(D192=5,(BASE!$G$55*I192),IF(D192=6,(BASE!$G$56*I192),0)))))))/1000,0)*1000</f>
        <v>890000</v>
      </c>
      <c r="AB192" s="408">
        <v>0</v>
      </c>
      <c r="AC192" s="478">
        <f t="shared" si="44"/>
        <v>890000</v>
      </c>
      <c r="AD192" s="478">
        <f>IF(G192=3,AC192*BASE!$I$62,IF(G192=1,AC192*(BASE!$I$61),IF(G192=2,AC192*(BASE!$I$63),AC192*BASE!$I$64)))</f>
        <v>9523000</v>
      </c>
      <c r="AE192" s="411">
        <f>IF(I192&lt;10,0,IF(AC192&lt;=BASE!$C$3*2,BASE!$C$2,0)*(AD192/AC192))</f>
        <v>943857.7</v>
      </c>
      <c r="AF192" s="13">
        <v>0</v>
      </c>
      <c r="AG192" s="14">
        <f t="shared" si="35"/>
        <v>529055.55555555562</v>
      </c>
      <c r="AH192" s="14">
        <f t="shared" si="45"/>
        <v>916326</v>
      </c>
      <c r="AI192" s="14">
        <f t="shared" si="46"/>
        <v>916326.10462962964</v>
      </c>
      <c r="AJ192" s="14">
        <f t="shared" si="36"/>
        <v>100795.87150925926</v>
      </c>
      <c r="AK192" s="14">
        <f>IF(I192=0,0,IF(G192=5,0,(AC192+AF192/12)*12*BASE!$C$5))</f>
        <v>907800.00000000012</v>
      </c>
      <c r="AL192" s="14">
        <f>IF(I192=0,0,IF(G192=5,0,(AC192+AF192/12)*12*BASE!$C$7))</f>
        <v>1281600</v>
      </c>
      <c r="AM192" s="14">
        <f>IF(I192=0,0,IF(G192=5,0,(AC192+AF192/12)*12*BASE!$C$9))</f>
        <v>55749.599999999999</v>
      </c>
      <c r="AN192" s="412">
        <f>IF(I192=0,0,IF(G192=5,0,(AD192+AF192+AG192)*BASE!$C$10))</f>
        <v>904685</v>
      </c>
      <c r="AO192" s="837">
        <f t="shared" si="49"/>
        <v>16079195.831694445</v>
      </c>
      <c r="AP192" s="677">
        <f t="shared" si="47"/>
        <v>1.6884590813498315</v>
      </c>
      <c r="AQ192" s="1148"/>
      <c r="AR192" s="1149"/>
      <c r="CG192" s="179"/>
      <c r="CH192" s="181"/>
      <c r="CI192" s="182"/>
    </row>
    <row r="193" spans="1:87" ht="13.5" customHeight="1" outlineLevel="1" x14ac:dyDescent="0.2">
      <c r="A193" s="368" t="s">
        <v>581</v>
      </c>
      <c r="B193" s="477" t="s">
        <v>1142</v>
      </c>
      <c r="C193" s="427"/>
      <c r="D193" s="431">
        <f>IF(E193="","",VLOOKUP(E193,BASE!$F$20:$H$25,2,FALSE))</f>
        <v>4</v>
      </c>
      <c r="E193" s="399" t="s">
        <v>539</v>
      </c>
      <c r="F193" s="436" t="s">
        <v>546</v>
      </c>
      <c r="G193" s="437">
        <f>IF(F193="","",VLOOKUP(F193,BASE!$B$15:$C$18,2,FALSE))</f>
        <v>3</v>
      </c>
      <c r="H193" s="355">
        <v>8</v>
      </c>
      <c r="I193" s="423">
        <f t="shared" si="37"/>
        <v>8</v>
      </c>
      <c r="J193" s="354">
        <v>2</v>
      </c>
      <c r="K193" s="354">
        <v>1</v>
      </c>
      <c r="L193" s="399">
        <v>1</v>
      </c>
      <c r="M193" s="354"/>
      <c r="N193" s="354"/>
      <c r="O193" s="355">
        <f t="shared" si="38"/>
        <v>4</v>
      </c>
      <c r="P193" s="354"/>
      <c r="Q193" s="354"/>
      <c r="R193" s="355">
        <f t="shared" si="39"/>
        <v>0</v>
      </c>
      <c r="S193" s="354">
        <v>4</v>
      </c>
      <c r="T193" s="354"/>
      <c r="U193" s="354"/>
      <c r="V193" s="355">
        <f t="shared" si="40"/>
        <v>4</v>
      </c>
      <c r="W193" s="354"/>
      <c r="X193" s="477">
        <f t="shared" si="41"/>
        <v>8</v>
      </c>
      <c r="Y193" s="19" t="str">
        <f t="shared" si="42"/>
        <v xml:space="preserve">OK </v>
      </c>
      <c r="Z193" s="404" t="str">
        <f t="shared" si="43"/>
        <v xml:space="preserve"> </v>
      </c>
      <c r="AA193" s="478">
        <f>ROUND((IF(D193=1,(BASE!$G$51*I193),IF(D193=2,(BASE!$G$52*I193),IF(D193=3,(BASE!$G$53*I193),IF(D193=4,(BASE!$G$54*I193),IF(D193=5,(BASE!$G$55*I193),IF(D193=6,(BASE!$G$56*I193),0)))))))/1000,0)*1000</f>
        <v>891000</v>
      </c>
      <c r="AB193" s="408">
        <v>0</v>
      </c>
      <c r="AC193" s="478">
        <f t="shared" si="44"/>
        <v>891000</v>
      </c>
      <c r="AD193" s="478">
        <f>IF(G193=3,AC193*BASE!$I$62,IF(G193=1,AC193*(BASE!$I$61),IF(G193=2,AC193*(BASE!$I$63),AC193*BASE!$I$64)))</f>
        <v>9533700</v>
      </c>
      <c r="AE193" s="411">
        <f>IF(I193&lt;10,0,IF(AC193&lt;=BASE!$C$3*2,BASE!$C$2,0)*(AD193/AC193))</f>
        <v>0</v>
      </c>
      <c r="AF193" s="13">
        <v>0</v>
      </c>
      <c r="AG193" s="14">
        <f t="shared" si="35"/>
        <v>529650</v>
      </c>
      <c r="AH193" s="14">
        <f t="shared" si="45"/>
        <v>838613</v>
      </c>
      <c r="AI193" s="14">
        <f t="shared" si="46"/>
        <v>838612.5</v>
      </c>
      <c r="AJ193" s="14">
        <f t="shared" si="36"/>
        <v>92247.375</v>
      </c>
      <c r="AK193" s="14">
        <f>IF(I193=0,0,IF(G193=5,0,(AC193+AF193/12)*12*BASE!$C$5))</f>
        <v>908820.00000000012</v>
      </c>
      <c r="AL193" s="14">
        <f>IF(I193=0,0,IF(G193=5,0,(AC193+AF193/12)*12*BASE!$C$7))</f>
        <v>1283040</v>
      </c>
      <c r="AM193" s="14">
        <f>IF(I193=0,0,IF(G193=5,0,(AC193+AF193/12)*12*BASE!$C$9))</f>
        <v>55812.24</v>
      </c>
      <c r="AN193" s="412">
        <f>IF(I193=0,0,IF(G193=5,0,(AD193+AF193+AG193)*BASE!$C$10))</f>
        <v>905701.5</v>
      </c>
      <c r="AO193" s="837">
        <f t="shared" si="49"/>
        <v>14986196.615</v>
      </c>
      <c r="AP193" s="677">
        <f t="shared" si="47"/>
        <v>1.5719182075164941</v>
      </c>
      <c r="AQ193" s="1148"/>
      <c r="AR193" s="1149"/>
      <c r="CG193" s="179"/>
      <c r="CH193" s="181"/>
      <c r="CI193" s="182"/>
    </row>
    <row r="194" spans="1:87" ht="13.5" customHeight="1" outlineLevel="1" x14ac:dyDescent="0.2">
      <c r="A194" s="368" t="s">
        <v>581</v>
      </c>
      <c r="B194" s="477" t="s">
        <v>1143</v>
      </c>
      <c r="C194" s="427"/>
      <c r="D194" s="431">
        <f>IF(E194="","",VLOOKUP(E194,BASE!$F$20:$H$25,2,FALSE))</f>
        <v>5</v>
      </c>
      <c r="E194" s="399" t="s">
        <v>538</v>
      </c>
      <c r="F194" s="436" t="s">
        <v>546</v>
      </c>
      <c r="G194" s="437">
        <f>IF(F194="","",VLOOKUP(F194,BASE!$B$15:$C$18,2,FALSE))</f>
        <v>3</v>
      </c>
      <c r="H194" s="355">
        <v>4</v>
      </c>
      <c r="I194" s="423">
        <f t="shared" si="37"/>
        <v>4</v>
      </c>
      <c r="J194" s="354">
        <v>1</v>
      </c>
      <c r="K194" s="354">
        <v>1</v>
      </c>
      <c r="L194" s="399">
        <v>1</v>
      </c>
      <c r="M194" s="399">
        <v>1</v>
      </c>
      <c r="N194" s="354"/>
      <c r="O194" s="355">
        <f t="shared" si="38"/>
        <v>4</v>
      </c>
      <c r="P194" s="354"/>
      <c r="Q194" s="354"/>
      <c r="R194" s="355">
        <f t="shared" si="39"/>
        <v>0</v>
      </c>
      <c r="S194" s="354"/>
      <c r="T194" s="354"/>
      <c r="U194" s="354"/>
      <c r="V194" s="355">
        <f t="shared" si="40"/>
        <v>0</v>
      </c>
      <c r="W194" s="354"/>
      <c r="X194" s="477">
        <f t="shared" si="41"/>
        <v>4</v>
      </c>
      <c r="Y194" s="19" t="str">
        <f t="shared" si="42"/>
        <v xml:space="preserve">OK </v>
      </c>
      <c r="Z194" s="404" t="str">
        <f t="shared" si="43"/>
        <v xml:space="preserve"> </v>
      </c>
      <c r="AA194" s="478">
        <f>ROUND((IF(D194=1,(BASE!$G$51*I194),IF(D194=2,(BASE!$G$52*I194),IF(D194=3,(BASE!$G$53*I194),IF(D194=4,(BASE!$G$54*I194),IF(D194=5,(BASE!$G$55*I194),IF(D194=6,(BASE!$G$56*I194),0)))))))/1000,0)*1000</f>
        <v>356000</v>
      </c>
      <c r="AB194" s="408">
        <v>0</v>
      </c>
      <c r="AC194" s="478">
        <f t="shared" si="44"/>
        <v>356000</v>
      </c>
      <c r="AD194" s="478">
        <f>IF(G194=3,AC194*BASE!$I$62,IF(G194=1,AC194*(BASE!$I$61),IF(G194=2,AC194*(BASE!$I$63),AC194*BASE!$I$64)))</f>
        <v>3809199.9999999995</v>
      </c>
      <c r="AE194" s="411">
        <f>IF(I194&lt;10,0,IF(AC194&lt;=BASE!$C$3*2,BASE!$C$2,0)*(AD194/AC194))</f>
        <v>0</v>
      </c>
      <c r="AF194" s="13">
        <v>0</v>
      </c>
      <c r="AG194" s="14">
        <f t="shared" si="35"/>
        <v>211622.22222222222</v>
      </c>
      <c r="AH194" s="14">
        <f t="shared" si="45"/>
        <v>335069</v>
      </c>
      <c r="AI194" s="14">
        <f t="shared" si="46"/>
        <v>335068.51851851848</v>
      </c>
      <c r="AJ194" s="14">
        <f t="shared" si="36"/>
        <v>36857.537037037036</v>
      </c>
      <c r="AK194" s="14">
        <f>IF(I194=0,0,IF(G194=5,0,(AC194+AF194/12)*12*BASE!$C$5))</f>
        <v>363120</v>
      </c>
      <c r="AL194" s="14">
        <f>IF(I194=0,0,IF(G194=5,0,(AC194+AF194/12)*12*BASE!$C$7))</f>
        <v>512640</v>
      </c>
      <c r="AM194" s="14">
        <f>IF(I194=0,0,IF(G194=5,0,(AC194+AF194/12)*12*BASE!$C$9))</f>
        <v>22299.84</v>
      </c>
      <c r="AN194" s="412">
        <f>IF(I194=0,0,IF(G194=5,0,(AD194+AF194+AG194)*BASE!$C$10))</f>
        <v>361873.99999999994</v>
      </c>
      <c r="AO194" s="837">
        <f t="shared" si="49"/>
        <v>5987751.1177777778</v>
      </c>
      <c r="AP194" s="677">
        <f t="shared" si="47"/>
        <v>1.5719182814705919</v>
      </c>
      <c r="AQ194" s="1148"/>
      <c r="AR194" s="1149"/>
      <c r="CG194" s="179"/>
      <c r="CH194" s="181"/>
      <c r="CI194" s="182"/>
    </row>
    <row r="195" spans="1:87" ht="13.5" customHeight="1" outlineLevel="1" x14ac:dyDescent="0.2">
      <c r="A195" s="368" t="s">
        <v>581</v>
      </c>
      <c r="B195" s="477" t="s">
        <v>1144</v>
      </c>
      <c r="C195" s="427"/>
      <c r="D195" s="431">
        <f>IF(E195="","",VLOOKUP(E195,BASE!$F$20:$H$25,2,FALSE))</f>
        <v>2</v>
      </c>
      <c r="E195" s="399" t="s">
        <v>541</v>
      </c>
      <c r="F195" s="436" t="s">
        <v>258</v>
      </c>
      <c r="G195" s="437">
        <f>IF(F195="","",VLOOKUP(F195,BASE!$B$15:$C$18,2,FALSE))</f>
        <v>2</v>
      </c>
      <c r="H195" s="355">
        <v>20</v>
      </c>
      <c r="I195" s="423">
        <f t="shared" si="37"/>
        <v>20</v>
      </c>
      <c r="J195" s="399">
        <v>12</v>
      </c>
      <c r="K195" s="399">
        <v>4</v>
      </c>
      <c r="L195" s="399">
        <v>2</v>
      </c>
      <c r="M195" s="399">
        <v>2</v>
      </c>
      <c r="N195" s="354"/>
      <c r="O195" s="355">
        <f t="shared" si="38"/>
        <v>20</v>
      </c>
      <c r="P195" s="354"/>
      <c r="Q195" s="354"/>
      <c r="R195" s="355">
        <f t="shared" si="39"/>
        <v>0</v>
      </c>
      <c r="S195" s="354"/>
      <c r="T195" s="354"/>
      <c r="U195" s="354"/>
      <c r="V195" s="355">
        <f t="shared" si="40"/>
        <v>0</v>
      </c>
      <c r="W195" s="354"/>
      <c r="X195" s="477">
        <f t="shared" si="41"/>
        <v>20</v>
      </c>
      <c r="Y195" s="19" t="str">
        <f t="shared" si="42"/>
        <v xml:space="preserve">OK </v>
      </c>
      <c r="Z195" s="404" t="str">
        <f t="shared" si="43"/>
        <v xml:space="preserve"> </v>
      </c>
      <c r="AA195" s="478">
        <f>ROUND((IF(D195=1,(BASE!$G$51*I195),IF(D195=2,(BASE!$G$52*I195),IF(D195=3,(BASE!$G$53*I195),IF(D195=4,(BASE!$G$54*I195),IF(D195=5,(BASE!$G$55*I195),IF(D195=6,(BASE!$G$56*I195),0)))))))/1000,0)*1000</f>
        <v>4008000</v>
      </c>
      <c r="AB195" s="408">
        <v>0</v>
      </c>
      <c r="AC195" s="478">
        <f t="shared" si="44"/>
        <v>4008000</v>
      </c>
      <c r="AD195" s="478">
        <f>IF(G195=3,AC195*BASE!$I$62,IF(G195=1,AC195*(BASE!$I$61),IF(G195=2,AC195*(BASE!$I$63),AC195*BASE!$I$64)))</f>
        <v>45557600</v>
      </c>
      <c r="AE195" s="411">
        <f>IF(I195&lt;10,0,IF(AC195&lt;=BASE!$C$3*2,BASE!$C$2,0)*(AD195/AC195))</f>
        <v>0</v>
      </c>
      <c r="AF195" s="13">
        <v>0</v>
      </c>
      <c r="AG195" s="14">
        <f t="shared" si="35"/>
        <v>2530977.7777777775</v>
      </c>
      <c r="AH195" s="14">
        <f t="shared" si="45"/>
        <v>4007381</v>
      </c>
      <c r="AI195" s="14">
        <f t="shared" si="46"/>
        <v>4007381.4814814813</v>
      </c>
      <c r="AJ195" s="14">
        <f t="shared" si="36"/>
        <v>480885.77777777775</v>
      </c>
      <c r="AK195" s="14">
        <f>IF(I195=0,0,IF(G195=5,0,(AC195+AF195/12)*12*BASE!$C$5))</f>
        <v>4088160.0000000005</v>
      </c>
      <c r="AL195" s="14">
        <v>0</v>
      </c>
      <c r="AM195" s="14">
        <f>IF(I195=0,0,IF(G195=5,0,(AC195+AF195/12)*12*BASE!$C$9))</f>
        <v>251061.12</v>
      </c>
      <c r="AN195" s="412">
        <f>IF(I195=0,0,IF(G195=5,0,(AD195+AF195+AG195)*BASE!$C$10))</f>
        <v>4327972</v>
      </c>
      <c r="AO195" s="837">
        <f t="shared" si="49"/>
        <v>65251419.157037027</v>
      </c>
      <c r="AP195" s="677">
        <f t="shared" si="47"/>
        <v>1.4322839472895197</v>
      </c>
      <c r="AQ195" s="1148"/>
      <c r="AR195" s="1149"/>
      <c r="CG195" s="179"/>
      <c r="CH195" s="181"/>
      <c r="CI195" s="182"/>
    </row>
    <row r="196" spans="1:87" ht="13.5" customHeight="1" outlineLevel="1" x14ac:dyDescent="0.2">
      <c r="A196" s="368" t="s">
        <v>581</v>
      </c>
      <c r="B196" s="477" t="s">
        <v>1145</v>
      </c>
      <c r="C196" s="427"/>
      <c r="D196" s="431">
        <f>IF(E196="","",VLOOKUP(E196,BASE!$F$20:$H$25,2,FALSE))</f>
        <v>5</v>
      </c>
      <c r="E196" s="399" t="s">
        <v>538</v>
      </c>
      <c r="F196" s="436" t="s">
        <v>546</v>
      </c>
      <c r="G196" s="437">
        <f>IF(F196="","",VLOOKUP(F196,BASE!$B$15:$C$18,2,FALSE))</f>
        <v>3</v>
      </c>
      <c r="H196" s="355">
        <v>5</v>
      </c>
      <c r="I196" s="423">
        <f t="shared" si="37"/>
        <v>5</v>
      </c>
      <c r="J196" s="399">
        <v>4</v>
      </c>
      <c r="K196" s="354"/>
      <c r="L196" s="354"/>
      <c r="M196" s="354"/>
      <c r="N196" s="354"/>
      <c r="O196" s="355">
        <f t="shared" si="38"/>
        <v>4</v>
      </c>
      <c r="P196" s="354"/>
      <c r="Q196" s="354"/>
      <c r="R196" s="355">
        <f t="shared" si="39"/>
        <v>0</v>
      </c>
      <c r="S196" s="354">
        <v>1</v>
      </c>
      <c r="T196" s="354"/>
      <c r="U196" s="354"/>
      <c r="V196" s="355">
        <f t="shared" si="40"/>
        <v>1</v>
      </c>
      <c r="W196" s="354"/>
      <c r="X196" s="477">
        <f t="shared" si="41"/>
        <v>5</v>
      </c>
      <c r="Y196" s="19" t="str">
        <f t="shared" si="42"/>
        <v xml:space="preserve">OK </v>
      </c>
      <c r="Z196" s="404" t="str">
        <f t="shared" si="43"/>
        <v xml:space="preserve"> </v>
      </c>
      <c r="AA196" s="478">
        <f>ROUND((IF(D196=1,(BASE!$G$51*I196),IF(D196=2,(BASE!$G$52*I196),IF(D196=3,(BASE!$G$53*I196),IF(D196=4,(BASE!$G$54*I196),IF(D196=5,(BASE!$G$55*I196),IF(D196=6,(BASE!$G$56*I196),0)))))))/1000,0)*1000</f>
        <v>445000</v>
      </c>
      <c r="AB196" s="408">
        <v>0</v>
      </c>
      <c r="AC196" s="478">
        <f t="shared" si="44"/>
        <v>445000</v>
      </c>
      <c r="AD196" s="478">
        <f>IF(G196=3,AC196*BASE!$I$62,IF(G196=1,AC196*(BASE!$I$61),IF(G196=2,AC196*(BASE!$I$63),AC196*BASE!$I$64)))</f>
        <v>4761500</v>
      </c>
      <c r="AE196" s="411">
        <f>IF(I196&lt;10,0,IF(AC196&lt;=BASE!$C$3*2,BASE!$C$2,0)*(AD196/AC196))</f>
        <v>0</v>
      </c>
      <c r="AF196" s="13">
        <v>0</v>
      </c>
      <c r="AG196" s="14">
        <f t="shared" si="35"/>
        <v>264527.77777777781</v>
      </c>
      <c r="AH196" s="14">
        <f t="shared" si="45"/>
        <v>418836</v>
      </c>
      <c r="AI196" s="14">
        <f t="shared" si="46"/>
        <v>418835.64814814815</v>
      </c>
      <c r="AJ196" s="14">
        <f t="shared" si="36"/>
        <v>46071.921296296299</v>
      </c>
      <c r="AK196" s="14">
        <f>IF(I196=0,0,IF(G196=5,0,(AC196+AF196/12)*12*BASE!$C$5))</f>
        <v>453900.00000000006</v>
      </c>
      <c r="AL196" s="14">
        <f>IF(I196=0,0,IF(G196=5,0,(AC196+AF196/12)*12*BASE!$C$7))</f>
        <v>640800</v>
      </c>
      <c r="AM196" s="14">
        <f>IF(I196=0,0,IF(G196=5,0,(AC196+AF196/12)*12*BASE!$C$9))</f>
        <v>27874.799999999999</v>
      </c>
      <c r="AN196" s="412">
        <f>IF(I196=0,0,IF(G196=5,0,(AD196+AF196+AG196)*BASE!$C$10))</f>
        <v>452342.5</v>
      </c>
      <c r="AO196" s="837">
        <f t="shared" si="49"/>
        <v>7484688.6472222228</v>
      </c>
      <c r="AP196" s="677">
        <f t="shared" si="47"/>
        <v>1.5719182289661289</v>
      </c>
      <c r="AQ196" s="1148"/>
      <c r="AR196" s="1149"/>
      <c r="CG196" s="179"/>
      <c r="CH196" s="181"/>
      <c r="CI196" s="182"/>
    </row>
    <row r="197" spans="1:87" ht="13.5" customHeight="1" outlineLevel="1" x14ac:dyDescent="0.2">
      <c r="A197" s="368" t="s">
        <v>581</v>
      </c>
      <c r="B197" s="477" t="s">
        <v>1146</v>
      </c>
      <c r="C197" s="427"/>
      <c r="D197" s="431">
        <f>IF(E197="","",VLOOKUP(E197,BASE!$F$20:$H$25,2,FALSE))</f>
        <v>4</v>
      </c>
      <c r="E197" s="399" t="s">
        <v>539</v>
      </c>
      <c r="F197" s="436" t="s">
        <v>863</v>
      </c>
      <c r="G197" s="437">
        <f>IF(F197="","",VLOOKUP(F197,BASE!$B$15:$C$18,2,FALSE))</f>
        <v>4</v>
      </c>
      <c r="H197" s="355">
        <v>40</v>
      </c>
      <c r="I197" s="423">
        <f t="shared" si="37"/>
        <v>40</v>
      </c>
      <c r="J197" s="399">
        <v>20</v>
      </c>
      <c r="K197" s="399">
        <v>8</v>
      </c>
      <c r="L197" s="399">
        <v>4</v>
      </c>
      <c r="M197" s="399">
        <v>4</v>
      </c>
      <c r="N197" s="399">
        <v>4</v>
      </c>
      <c r="O197" s="355">
        <f t="shared" si="38"/>
        <v>40</v>
      </c>
      <c r="P197" s="354"/>
      <c r="Q197" s="354"/>
      <c r="R197" s="355">
        <f t="shared" si="39"/>
        <v>0</v>
      </c>
      <c r="S197" s="354"/>
      <c r="T197" s="354"/>
      <c r="U197" s="354"/>
      <c r="V197" s="355">
        <f t="shared" si="40"/>
        <v>0</v>
      </c>
      <c r="W197" s="354"/>
      <c r="X197" s="477">
        <f t="shared" si="41"/>
        <v>40</v>
      </c>
      <c r="Y197" s="19" t="str">
        <f t="shared" si="42"/>
        <v xml:space="preserve">OK </v>
      </c>
      <c r="Z197" s="404" t="str">
        <f t="shared" si="43"/>
        <v xml:space="preserve"> </v>
      </c>
      <c r="AA197" s="478">
        <f>ROUND((IF(D197=1,(BASE!$G$51*I197),IF(D197=2,(BASE!$G$52*I197),IF(D197=3,(BASE!$G$53*I197),IF(D197=4,(BASE!$G$54*I197),IF(D197=5,(BASE!$G$55*I197),IF(D197=6,(BASE!$G$56*I197),0)))))))/1000,0)*1000</f>
        <v>4456000</v>
      </c>
      <c r="AB197" s="408">
        <v>0</v>
      </c>
      <c r="AC197" s="478">
        <f t="shared" si="44"/>
        <v>4456000</v>
      </c>
      <c r="AD197" s="478">
        <f>IF(G197=3,AC197*BASE!$I$62,IF(G197=1,AC197*(BASE!$I$61),IF(G197=2,AC197*(BASE!$I$63),AC197*BASE!$I$64)))</f>
        <v>50649866.666666672</v>
      </c>
      <c r="AE197" s="411">
        <f>IF(I197&lt;10,0,IF(AC197&lt;=BASE!$C$3*2,BASE!$C$2,0)*(AD197/AC197))</f>
        <v>0</v>
      </c>
      <c r="AF197" s="13">
        <v>0</v>
      </c>
      <c r="AG197" s="14">
        <f t="shared" si="35"/>
        <v>2813881.4814814818</v>
      </c>
      <c r="AH197" s="14">
        <f t="shared" si="45"/>
        <v>4455312</v>
      </c>
      <c r="AI197" s="14">
        <f t="shared" si="46"/>
        <v>4455312.3456790131</v>
      </c>
      <c r="AJ197" s="14">
        <f t="shared" si="36"/>
        <v>534637.48148148158</v>
      </c>
      <c r="AK197" s="14">
        <f>IF(I197=0,0,IF(G197=5,0,(AC197+AF197/12)*12*BASE!$C$5))</f>
        <v>4545120</v>
      </c>
      <c r="AL197" s="14">
        <f>IF(I197=0,0,IF(G197=5,0,(AC197+AF197/12)*12*BASE!$C$7))</f>
        <v>6416640</v>
      </c>
      <c r="AM197" s="14">
        <f>IF(I197=0,0,IF(G197=5,0,(AC197+AF197/12)*12*BASE!$C$9))</f>
        <v>279123.83999999997</v>
      </c>
      <c r="AN197" s="412">
        <f>IF(I197=0,0,IF(G197=5,0,(AD197+AF197+AG197)*BASE!$C$10))</f>
        <v>4811737.333333334</v>
      </c>
      <c r="AO197" s="837">
        <f t="shared" si="49"/>
        <v>78961631.148641989</v>
      </c>
      <c r="AP197" s="677">
        <f t="shared" si="47"/>
        <v>1.558970168042074</v>
      </c>
      <c r="AQ197" s="1148"/>
      <c r="AR197" s="1149"/>
      <c r="CG197" s="179"/>
      <c r="CH197" s="181"/>
      <c r="CI197" s="182"/>
    </row>
    <row r="198" spans="1:87" ht="13.5" customHeight="1" outlineLevel="1" x14ac:dyDescent="0.2">
      <c r="A198" s="368" t="s">
        <v>581</v>
      </c>
      <c r="B198" s="477" t="s">
        <v>1147</v>
      </c>
      <c r="C198" s="427"/>
      <c r="D198" s="431">
        <f>IF(E198="","",VLOOKUP(E198,BASE!$F$20:$H$25,2,FALSE))</f>
        <v>2</v>
      </c>
      <c r="E198" s="399" t="s">
        <v>541</v>
      </c>
      <c r="F198" s="436" t="s">
        <v>863</v>
      </c>
      <c r="G198" s="437">
        <f>IF(F198="","",VLOOKUP(F198,BASE!$B$15:$C$18,2,FALSE))</f>
        <v>4</v>
      </c>
      <c r="H198" s="355">
        <v>40</v>
      </c>
      <c r="I198" s="423">
        <f t="shared" si="37"/>
        <v>40</v>
      </c>
      <c r="J198" s="354">
        <v>4</v>
      </c>
      <c r="K198" s="354">
        <v>2</v>
      </c>
      <c r="L198" s="399">
        <v>2</v>
      </c>
      <c r="M198" s="399">
        <v>23</v>
      </c>
      <c r="N198" s="354"/>
      <c r="O198" s="355">
        <f t="shared" si="38"/>
        <v>31</v>
      </c>
      <c r="P198" s="354"/>
      <c r="Q198" s="354"/>
      <c r="R198" s="355">
        <f t="shared" si="39"/>
        <v>0</v>
      </c>
      <c r="S198" s="354"/>
      <c r="T198" s="354"/>
      <c r="U198" s="354"/>
      <c r="V198" s="355">
        <f t="shared" si="40"/>
        <v>0</v>
      </c>
      <c r="W198" s="354">
        <v>9</v>
      </c>
      <c r="X198" s="477">
        <f t="shared" si="41"/>
        <v>40</v>
      </c>
      <c r="Y198" s="19" t="str">
        <f t="shared" si="42"/>
        <v xml:space="preserve">OK </v>
      </c>
      <c r="Z198" s="404" t="str">
        <f t="shared" si="43"/>
        <v xml:space="preserve"> </v>
      </c>
      <c r="AA198" s="478">
        <f>ROUND((IF(D198=1,(BASE!$G$51*I198),IF(D198=2,(BASE!$G$52*I198),IF(D198=3,(BASE!$G$53*I198),IF(D198=4,(BASE!$G$54*I198),IF(D198=5,(BASE!$G$55*I198),IF(D198=6,(BASE!$G$56*I198),0)))))))/1000,0)*1000</f>
        <v>8016000</v>
      </c>
      <c r="AB198" s="408">
        <v>0</v>
      </c>
      <c r="AC198" s="478">
        <f t="shared" si="44"/>
        <v>8016000</v>
      </c>
      <c r="AD198" s="478">
        <f>IF(G198=3,AC198*BASE!$I$62,IF(G198=1,AC198*(BASE!$I$61),IF(G198=2,AC198*(BASE!$I$63),AC198*BASE!$I$64)))</f>
        <v>91115200</v>
      </c>
      <c r="AE198" s="411">
        <f>IF(I198&lt;10,0,IF(AC198&lt;=BASE!$C$3*2,BASE!$C$2,0)*(AD198/AC198))</f>
        <v>0</v>
      </c>
      <c r="AF198" s="13">
        <v>0</v>
      </c>
      <c r="AG198" s="14">
        <f t="shared" si="35"/>
        <v>5061955.555555555</v>
      </c>
      <c r="AH198" s="14">
        <f t="shared" si="45"/>
        <v>8014763</v>
      </c>
      <c r="AI198" s="14">
        <f t="shared" si="46"/>
        <v>8014762.9629629627</v>
      </c>
      <c r="AJ198" s="14">
        <f t="shared" si="36"/>
        <v>961771.5555555555</v>
      </c>
      <c r="AK198" s="14">
        <f>IF(I198=0,0,IF(G198=5,0,(AC198+AF198/12)*12*BASE!$C$5))</f>
        <v>8176320.0000000009</v>
      </c>
      <c r="AL198" s="14">
        <v>0</v>
      </c>
      <c r="AM198" s="14">
        <f>IF(I198=0,0,IF(G198=5,0,(AC198+AF198/12)*12*BASE!$C$9))</f>
        <v>502122.23999999999</v>
      </c>
      <c r="AN198" s="412">
        <f>IF(I198=0,0,IF(G198=5,0,(AD198+AF198+AG198)*BASE!$C$10))</f>
        <v>8655944</v>
      </c>
      <c r="AO198" s="837">
        <f t="shared" si="49"/>
        <v>130502839.31407405</v>
      </c>
      <c r="AP198" s="677">
        <f t="shared" si="47"/>
        <v>1.4322839582646369</v>
      </c>
      <c r="AQ198" s="1148"/>
      <c r="AR198" s="1149"/>
      <c r="CG198" s="179"/>
      <c r="CH198" s="181"/>
      <c r="CI198" s="182"/>
    </row>
    <row r="199" spans="1:87" ht="13.5" customHeight="1" outlineLevel="1" x14ac:dyDescent="0.2">
      <c r="A199" s="368" t="s">
        <v>581</v>
      </c>
      <c r="B199" s="477" t="s">
        <v>1148</v>
      </c>
      <c r="C199" s="427"/>
      <c r="D199" s="431">
        <f>IF(E199="","",VLOOKUP(E199,BASE!$F$20:$H$25,2,FALSE))</f>
        <v>6</v>
      </c>
      <c r="E199" s="399" t="s">
        <v>537</v>
      </c>
      <c r="F199" s="436" t="s">
        <v>261</v>
      </c>
      <c r="G199" s="437">
        <f>IF(F199="","",VLOOKUP(F199,BASE!$B$15:$C$18,2,FALSE))</f>
        <v>1</v>
      </c>
      <c r="H199" s="355">
        <v>20</v>
      </c>
      <c r="I199" s="423">
        <v>0</v>
      </c>
      <c r="J199" s="354"/>
      <c r="K199" s="354"/>
      <c r="L199" s="354"/>
      <c r="M199" s="354"/>
      <c r="N199" s="354"/>
      <c r="O199" s="355">
        <f t="shared" si="38"/>
        <v>0</v>
      </c>
      <c r="P199" s="354"/>
      <c r="Q199" s="354"/>
      <c r="R199" s="355">
        <f t="shared" si="39"/>
        <v>0</v>
      </c>
      <c r="S199" s="354"/>
      <c r="T199" s="354"/>
      <c r="U199" s="354"/>
      <c r="V199" s="355">
        <f t="shared" si="40"/>
        <v>0</v>
      </c>
      <c r="W199" s="354"/>
      <c r="X199" s="477">
        <f t="shared" si="41"/>
        <v>0</v>
      </c>
      <c r="Y199" s="19" t="str">
        <f t="shared" si="42"/>
        <v xml:space="preserve">OK </v>
      </c>
      <c r="Z199" s="404" t="str">
        <f t="shared" si="43"/>
        <v>JUSTIFICAR</v>
      </c>
      <c r="AA199" s="478">
        <f>ROUND((IF(D199=1,(BASE!$G$51*I199),IF(D199=2,(BASE!$G$52*I199),IF(D199=3,(BASE!$G$53*I199),IF(D199=4,(BASE!$G$54*I199),IF(D199=5,(BASE!$G$55*I199),IF(D199=6,(BASE!$G$56*I199),0)))))))/1000,0)*1000</f>
        <v>0</v>
      </c>
      <c r="AB199" s="408">
        <v>0</v>
      </c>
      <c r="AC199" s="478">
        <f t="shared" si="44"/>
        <v>0</v>
      </c>
      <c r="AD199" s="478">
        <f>IF(G199=3,AC199*BASE!$I$62,IF(G199=1,AC199*(BASE!$I$61),IF(G199=2,AC199*(BASE!$I$63),AC199*BASE!$I$64)))</f>
        <v>0</v>
      </c>
      <c r="AE199" s="411">
        <f>IF(I199&lt;10,0,IF(AC199&lt;=BASE!$C$3*2,BASE!$C$2,0)*(AD199/AC199))</f>
        <v>0</v>
      </c>
      <c r="AF199" s="13">
        <v>0</v>
      </c>
      <c r="AG199" s="14">
        <f t="shared" si="35"/>
        <v>0</v>
      </c>
      <c r="AH199" s="14">
        <f t="shared" si="45"/>
        <v>0</v>
      </c>
      <c r="AI199" s="14">
        <f t="shared" si="46"/>
        <v>0</v>
      </c>
      <c r="AJ199" s="14">
        <f t="shared" si="36"/>
        <v>0</v>
      </c>
      <c r="AK199" s="14">
        <f>IF(I199=0,0,IF(G199=5,0,(AC199+AF199/12)*12*BASE!$C$5))</f>
        <v>0</v>
      </c>
      <c r="AL199" s="14">
        <f>IF(I199=0,0,IF(G199=5,0,(AC199+AF199/12)*12*BASE!$C$7))</f>
        <v>0</v>
      </c>
      <c r="AM199" s="14">
        <f>IF(I199=0,0,IF(G199=5,0,(AC199+AF199/12)*12*BASE!$C$9))</f>
        <v>0</v>
      </c>
      <c r="AN199" s="412">
        <f>IF(I199=0,0,IF(G199=5,0,(AD199+AF199+AG199)*BASE!$C$10))</f>
        <v>0</v>
      </c>
      <c r="AO199" s="837">
        <f t="shared" si="49"/>
        <v>0</v>
      </c>
      <c r="AP199" s="677" t="str">
        <f t="shared" si="47"/>
        <v>Sin datos</v>
      </c>
      <c r="AQ199" s="1150" t="s">
        <v>1247</v>
      </c>
      <c r="AR199" s="1149"/>
      <c r="CG199" s="179"/>
      <c r="CH199" s="181"/>
      <c r="CI199" s="182"/>
    </row>
    <row r="200" spans="1:87" ht="13.5" customHeight="1" outlineLevel="1" x14ac:dyDescent="0.2">
      <c r="A200" s="368" t="s">
        <v>581</v>
      </c>
      <c r="B200" s="477" t="s">
        <v>1149</v>
      </c>
      <c r="C200" s="427"/>
      <c r="D200" s="431">
        <f>IF(E200="","",VLOOKUP(E200,BASE!$F$20:$H$25,2,FALSE))</f>
        <v>4</v>
      </c>
      <c r="E200" s="399" t="s">
        <v>539</v>
      </c>
      <c r="F200" s="436" t="s">
        <v>863</v>
      </c>
      <c r="G200" s="437">
        <f>IF(F200="","",VLOOKUP(F200,BASE!$B$15:$C$18,2,FALSE))</f>
        <v>4</v>
      </c>
      <c r="H200" s="355">
        <v>20</v>
      </c>
      <c r="I200" s="423">
        <f t="shared" si="37"/>
        <v>20</v>
      </c>
      <c r="J200" s="354">
        <v>4</v>
      </c>
      <c r="K200" s="354">
        <v>2</v>
      </c>
      <c r="L200" s="399">
        <v>2</v>
      </c>
      <c r="M200" s="354"/>
      <c r="N200" s="399">
        <v>2</v>
      </c>
      <c r="O200" s="355">
        <f t="shared" si="38"/>
        <v>10</v>
      </c>
      <c r="P200" s="354"/>
      <c r="Q200" s="354">
        <v>10</v>
      </c>
      <c r="R200" s="355">
        <f t="shared" si="39"/>
        <v>10</v>
      </c>
      <c r="S200" s="354"/>
      <c r="T200" s="354"/>
      <c r="U200" s="354"/>
      <c r="V200" s="355">
        <f t="shared" si="40"/>
        <v>0</v>
      </c>
      <c r="W200" s="354"/>
      <c r="X200" s="477">
        <f t="shared" si="41"/>
        <v>20</v>
      </c>
      <c r="Y200" s="19" t="str">
        <f t="shared" si="42"/>
        <v xml:space="preserve">OK </v>
      </c>
      <c r="Z200" s="404" t="str">
        <f t="shared" si="43"/>
        <v xml:space="preserve"> </v>
      </c>
      <c r="AA200" s="478">
        <f>ROUND((IF(D200=1,(BASE!$G$51*I200),IF(D200=2,(BASE!$G$52*I200),IF(D200=3,(BASE!$G$53*I200),IF(D200=4,(BASE!$G$54*I200),IF(D200=5,(BASE!$G$55*I200),IF(D200=6,(BASE!$G$56*I200),0)))))))/1000,0)*1000</f>
        <v>2228000</v>
      </c>
      <c r="AB200" s="408">
        <v>0</v>
      </c>
      <c r="AC200" s="478">
        <f t="shared" si="44"/>
        <v>2228000</v>
      </c>
      <c r="AD200" s="478">
        <f>IF(G200=3,AC200*BASE!$I$62,IF(G200=1,AC200*(BASE!$I$61),IF(G200=2,AC200*(BASE!$I$63),AC200*BASE!$I$64)))</f>
        <v>25324933.333333336</v>
      </c>
      <c r="AE200" s="411">
        <f>IF(I200&lt;10,0,IF(AC200&lt;=BASE!$C$3*2,BASE!$C$2,0)*(AD200/AC200))</f>
        <v>0</v>
      </c>
      <c r="AF200" s="13">
        <v>0</v>
      </c>
      <c r="AG200" s="14">
        <f t="shared" si="35"/>
        <v>1406940.7407407409</v>
      </c>
      <c r="AH200" s="14">
        <f t="shared" si="45"/>
        <v>2227656</v>
      </c>
      <c r="AI200" s="14">
        <f t="shared" si="46"/>
        <v>2227656.1728395065</v>
      </c>
      <c r="AJ200" s="14">
        <f t="shared" si="36"/>
        <v>267318.74074074079</v>
      </c>
      <c r="AK200" s="14">
        <f>IF(I200=0,0,IF(G200=5,0,(AC200+AF200/12)*12*BASE!$C$5))</f>
        <v>2272560</v>
      </c>
      <c r="AL200" s="14">
        <f>IF(I200=0,0,IF(G200=5,0,(AC200+AF200/12)*12*BASE!$C$7))</f>
        <v>3208320</v>
      </c>
      <c r="AM200" s="14">
        <f>IF(I200=0,0,IF(G200=5,0,(AC200+AF200/12)*12*BASE!$C$9))</f>
        <v>139561.91999999998</v>
      </c>
      <c r="AN200" s="412">
        <f>IF(I200=0,0,IF(G200=5,0,(AD200+AF200+AG200)*BASE!$C$10))</f>
        <v>2405868.666666667</v>
      </c>
      <c r="AO200" s="837">
        <f t="shared" si="49"/>
        <v>39480815.574320994</v>
      </c>
      <c r="AP200" s="677">
        <f t="shared" si="47"/>
        <v>1.558970168042074</v>
      </c>
      <c r="AQ200" s="1148"/>
      <c r="AR200" s="1149"/>
      <c r="CG200" s="179"/>
      <c r="CH200" s="181"/>
      <c r="CI200" s="182"/>
    </row>
    <row r="201" spans="1:87" ht="13.5" customHeight="1" outlineLevel="1" x14ac:dyDescent="0.2">
      <c r="A201" s="368" t="s">
        <v>581</v>
      </c>
      <c r="B201" s="477" t="s">
        <v>1150</v>
      </c>
      <c r="C201" s="427"/>
      <c r="D201" s="431">
        <f>IF(E201="","",VLOOKUP(E201,BASE!$F$20:$H$25,2,FALSE))</f>
        <v>5</v>
      </c>
      <c r="E201" s="399" t="s">
        <v>538</v>
      </c>
      <c r="F201" s="436" t="s">
        <v>546</v>
      </c>
      <c r="G201" s="437">
        <f>IF(F201="","",VLOOKUP(F201,BASE!$B$15:$C$18,2,FALSE))</f>
        <v>3</v>
      </c>
      <c r="H201" s="355">
        <v>5</v>
      </c>
      <c r="I201" s="423">
        <f t="shared" si="37"/>
        <v>5</v>
      </c>
      <c r="J201" s="399">
        <v>4</v>
      </c>
      <c r="K201" s="354"/>
      <c r="L201" s="354"/>
      <c r="M201" s="354"/>
      <c r="N201" s="354"/>
      <c r="O201" s="355">
        <f t="shared" si="38"/>
        <v>4</v>
      </c>
      <c r="P201" s="354"/>
      <c r="Q201" s="354"/>
      <c r="R201" s="355">
        <f t="shared" si="39"/>
        <v>0</v>
      </c>
      <c r="S201" s="354">
        <v>1</v>
      </c>
      <c r="T201" s="354"/>
      <c r="U201" s="354"/>
      <c r="V201" s="355">
        <f t="shared" si="40"/>
        <v>1</v>
      </c>
      <c r="W201" s="354"/>
      <c r="X201" s="477">
        <f t="shared" si="41"/>
        <v>5</v>
      </c>
      <c r="Y201" s="19" t="str">
        <f t="shared" si="42"/>
        <v xml:space="preserve">OK </v>
      </c>
      <c r="Z201" s="404" t="str">
        <f t="shared" si="43"/>
        <v xml:space="preserve"> </v>
      </c>
      <c r="AA201" s="478">
        <f>ROUND((IF(D201=1,(BASE!$G$51*I201),IF(D201=2,(BASE!$G$52*I201),IF(D201=3,(BASE!$G$53*I201),IF(D201=4,(BASE!$G$54*I201),IF(D201=5,(BASE!$G$55*I201),IF(D201=6,(BASE!$G$56*I201),0)))))))/1000,0)*1000</f>
        <v>445000</v>
      </c>
      <c r="AB201" s="408">
        <v>0</v>
      </c>
      <c r="AC201" s="478">
        <f t="shared" si="44"/>
        <v>445000</v>
      </c>
      <c r="AD201" s="478">
        <f>IF(G201=3,AC201*BASE!$I$62,IF(G201=1,AC201*(BASE!$I$61),IF(G201=2,AC201*(BASE!$I$63),AC201*BASE!$I$64)))</f>
        <v>4761500</v>
      </c>
      <c r="AE201" s="411">
        <f>IF(I201&lt;10,0,IF(AC201&lt;=BASE!$C$3*2,BASE!$C$2,0)*(AD201/AC201))</f>
        <v>0</v>
      </c>
      <c r="AF201" s="13">
        <v>0</v>
      </c>
      <c r="AG201" s="14">
        <f t="shared" si="35"/>
        <v>264527.77777777781</v>
      </c>
      <c r="AH201" s="14">
        <f t="shared" si="45"/>
        <v>418836</v>
      </c>
      <c r="AI201" s="14">
        <f t="shared" si="46"/>
        <v>418835.64814814815</v>
      </c>
      <c r="AJ201" s="14">
        <f t="shared" si="36"/>
        <v>46071.921296296299</v>
      </c>
      <c r="AK201" s="14">
        <f>IF(I201=0,0,IF(G201=5,0,(AC201+AF201/12)*12*BASE!$C$5))</f>
        <v>453900.00000000006</v>
      </c>
      <c r="AL201" s="14">
        <f>IF(I201=0,0,IF(G201=5,0,(AC201+AF201/12)*12*BASE!$C$7))</f>
        <v>640800</v>
      </c>
      <c r="AM201" s="14">
        <f>IF(I201=0,0,IF(G201=5,0,(AC201+AF201/12)*12*BASE!$C$9))</f>
        <v>27874.799999999999</v>
      </c>
      <c r="AN201" s="412">
        <f>IF(I201=0,0,IF(G201=5,0,(AD201+AF201+AG201)*BASE!$C$10))</f>
        <v>452342.5</v>
      </c>
      <c r="AO201" s="837">
        <f t="shared" si="49"/>
        <v>7484688.6472222228</v>
      </c>
      <c r="AP201" s="677">
        <f t="shared" si="47"/>
        <v>1.5719182289661289</v>
      </c>
      <c r="AQ201" s="1148"/>
      <c r="AR201" s="1149"/>
      <c r="CG201" s="179"/>
      <c r="CH201" s="181"/>
      <c r="CI201" s="182"/>
    </row>
    <row r="202" spans="1:87" ht="13.5" customHeight="1" outlineLevel="1" x14ac:dyDescent="0.2">
      <c r="A202" s="368" t="s">
        <v>581</v>
      </c>
      <c r="B202" s="477" t="s">
        <v>1151</v>
      </c>
      <c r="C202" s="427"/>
      <c r="D202" s="431">
        <f>IF(E202="","",VLOOKUP(E202,BASE!$F$20:$H$25,2,FALSE))</f>
        <v>3</v>
      </c>
      <c r="E202" s="399" t="s">
        <v>540</v>
      </c>
      <c r="F202" s="436" t="s">
        <v>863</v>
      </c>
      <c r="G202" s="437">
        <f>IF(F202="","",VLOOKUP(F202,BASE!$B$15:$C$18,2,FALSE))</f>
        <v>4</v>
      </c>
      <c r="H202" s="355">
        <v>40</v>
      </c>
      <c r="I202" s="423">
        <f t="shared" si="37"/>
        <v>40</v>
      </c>
      <c r="J202" s="354">
        <v>20</v>
      </c>
      <c r="K202" s="354">
        <v>8</v>
      </c>
      <c r="L202" s="399">
        <v>5</v>
      </c>
      <c r="M202" s="399">
        <v>4</v>
      </c>
      <c r="N202" s="399">
        <v>3</v>
      </c>
      <c r="O202" s="355">
        <f t="shared" si="38"/>
        <v>40</v>
      </c>
      <c r="P202" s="354"/>
      <c r="Q202" s="354"/>
      <c r="R202" s="355">
        <f t="shared" si="39"/>
        <v>0</v>
      </c>
      <c r="S202" s="354"/>
      <c r="T202" s="354"/>
      <c r="U202" s="354"/>
      <c r="V202" s="355">
        <f t="shared" si="40"/>
        <v>0</v>
      </c>
      <c r="W202" s="354"/>
      <c r="X202" s="477">
        <f t="shared" si="41"/>
        <v>40</v>
      </c>
      <c r="Y202" s="19" t="str">
        <f t="shared" si="42"/>
        <v xml:space="preserve">OK </v>
      </c>
      <c r="Z202" s="404" t="str">
        <f t="shared" si="43"/>
        <v xml:space="preserve"> </v>
      </c>
      <c r="AA202" s="478">
        <f>ROUND((IF(D202=1,(BASE!$G$51*I202),IF(D202=2,(BASE!$G$52*I202),IF(D202=3,(BASE!$G$53*I202),IF(D202=4,(BASE!$G$54*I202),IF(D202=5,(BASE!$G$55*I202),IF(D202=6,(BASE!$G$56*I202),0)))))))/1000,0)*1000</f>
        <v>5472000</v>
      </c>
      <c r="AB202" s="408">
        <v>0</v>
      </c>
      <c r="AC202" s="478">
        <f t="shared" si="44"/>
        <v>5472000</v>
      </c>
      <c r="AD202" s="478">
        <f>IF(G202=3,AC202*BASE!$I$62,IF(G202=1,AC202*(BASE!$I$61),IF(G202=2,AC202*(BASE!$I$63),AC202*BASE!$I$64)))</f>
        <v>62198400</v>
      </c>
      <c r="AE202" s="411">
        <f>IF(I202&lt;10,0,IF(AC202&lt;=BASE!$C$3*2,BASE!$C$2,0)*(AD202/AC202))</f>
        <v>0</v>
      </c>
      <c r="AF202" s="13">
        <v>0</v>
      </c>
      <c r="AG202" s="14">
        <f t="shared" si="35"/>
        <v>3455466.6666666665</v>
      </c>
      <c r="AH202" s="14">
        <f t="shared" si="45"/>
        <v>5471156</v>
      </c>
      <c r="AI202" s="14">
        <f t="shared" si="46"/>
        <v>5471155.555555556</v>
      </c>
      <c r="AJ202" s="14">
        <f t="shared" si="36"/>
        <v>656538.66666666674</v>
      </c>
      <c r="AK202" s="14">
        <f>IF(I202=0,0,IF(G202=5,0,(AC202+AF202/12)*12*BASE!$C$5))</f>
        <v>5581440</v>
      </c>
      <c r="AL202" s="14">
        <f>IF(I202=0,0,IF(G202=5,0,(AC202+AF202/12)*12*BASE!$C$7))</f>
        <v>7879680</v>
      </c>
      <c r="AM202" s="14">
        <f>IF(I202=0,0,IF(G202=5,0,(AC202+AF202/12)*12*BASE!$C$9))</f>
        <v>342766.08000000002</v>
      </c>
      <c r="AN202" s="412">
        <f>IF(I202=0,0,IF(G202=5,0,(AD202+AF202+AG202)*BASE!$C$10))</f>
        <v>5908848</v>
      </c>
      <c r="AO202" s="837">
        <f t="shared" si="49"/>
        <v>96965450.968888879</v>
      </c>
      <c r="AP202" s="677">
        <f t="shared" si="47"/>
        <v>1.5589701820125417</v>
      </c>
      <c r="AQ202" s="1148"/>
      <c r="AR202" s="1149"/>
      <c r="CG202" s="179"/>
      <c r="CH202" s="181"/>
      <c r="CI202" s="182"/>
    </row>
    <row r="203" spans="1:87" ht="13.5" customHeight="1" outlineLevel="1" x14ac:dyDescent="0.2">
      <c r="A203" s="368" t="s">
        <v>581</v>
      </c>
      <c r="B203" s="477" t="s">
        <v>1152</v>
      </c>
      <c r="C203" s="427"/>
      <c r="D203" s="431">
        <f>IF(E203="","",VLOOKUP(E203,BASE!$F$20:$H$25,2,FALSE))</f>
        <v>4</v>
      </c>
      <c r="E203" s="399" t="s">
        <v>539</v>
      </c>
      <c r="F203" s="436" t="s">
        <v>546</v>
      </c>
      <c r="G203" s="437">
        <f>IF(F203="","",VLOOKUP(F203,BASE!$B$15:$C$18,2,FALSE))</f>
        <v>3</v>
      </c>
      <c r="H203" s="355">
        <v>20</v>
      </c>
      <c r="I203" s="423">
        <f t="shared" si="37"/>
        <v>20</v>
      </c>
      <c r="J203" s="399">
        <v>12</v>
      </c>
      <c r="K203" s="399">
        <v>5</v>
      </c>
      <c r="L203" s="399">
        <v>3</v>
      </c>
      <c r="M203" s="354"/>
      <c r="N203" s="354"/>
      <c r="O203" s="355">
        <f t="shared" si="38"/>
        <v>20</v>
      </c>
      <c r="P203" s="354"/>
      <c r="Q203" s="354"/>
      <c r="R203" s="355">
        <f t="shared" si="39"/>
        <v>0</v>
      </c>
      <c r="S203" s="354"/>
      <c r="T203" s="354"/>
      <c r="U203" s="354"/>
      <c r="V203" s="355">
        <f t="shared" si="40"/>
        <v>0</v>
      </c>
      <c r="W203" s="354"/>
      <c r="X203" s="477">
        <f t="shared" si="41"/>
        <v>20</v>
      </c>
      <c r="Y203" s="19" t="str">
        <f t="shared" si="42"/>
        <v xml:space="preserve">OK </v>
      </c>
      <c r="Z203" s="404" t="str">
        <f t="shared" si="43"/>
        <v xml:space="preserve"> </v>
      </c>
      <c r="AA203" s="478">
        <f>ROUND((IF(D203=1,(BASE!$G$51*I203),IF(D203=2,(BASE!$G$52*I203),IF(D203=3,(BASE!$G$53*I203),IF(D203=4,(BASE!$G$54*I203),IF(D203=5,(BASE!$G$55*I203),IF(D203=6,(BASE!$G$56*I203),0)))))))/1000,0)*1000</f>
        <v>2228000</v>
      </c>
      <c r="AB203" s="408">
        <v>0</v>
      </c>
      <c r="AC203" s="478">
        <f t="shared" si="44"/>
        <v>2228000</v>
      </c>
      <c r="AD203" s="478">
        <f>IF(G203=3,AC203*BASE!$I$62,IF(G203=1,AC203*(BASE!$I$61),IF(G203=2,AC203*(BASE!$I$63),AC203*BASE!$I$64)))</f>
        <v>23839600</v>
      </c>
      <c r="AE203" s="411">
        <f>IF(I203&lt;10,0,IF(AC203&lt;=BASE!$C$3*2,BASE!$C$2,0)*(AD203/AC203))</f>
        <v>0</v>
      </c>
      <c r="AF203" s="13">
        <v>0</v>
      </c>
      <c r="AG203" s="14">
        <f t="shared" si="35"/>
        <v>1324422.2222222222</v>
      </c>
      <c r="AH203" s="14">
        <f t="shared" si="45"/>
        <v>2097002</v>
      </c>
      <c r="AI203" s="14">
        <f t="shared" si="46"/>
        <v>2097001.8518518517</v>
      </c>
      <c r="AJ203" s="14">
        <f t="shared" si="36"/>
        <v>230670.20370370368</v>
      </c>
      <c r="AK203" s="14">
        <f>IF(I203=0,0,IF(G203=5,0,(AC203+AF203/12)*12*BASE!$C$5))</f>
        <v>2272560</v>
      </c>
      <c r="AL203" s="14">
        <v>0</v>
      </c>
      <c r="AM203" s="14">
        <f>IF(I203=0,0,IF(G203=5,0,(AC203+AF203/12)*12*BASE!$C$9))</f>
        <v>139561.91999999998</v>
      </c>
      <c r="AN203" s="412">
        <f>IF(I203=0,0,IF(G203=5,0,(AD203+AF203+AG203)*BASE!$C$10))</f>
        <v>2264762</v>
      </c>
      <c r="AO203" s="837">
        <f t="shared" si="49"/>
        <v>34265580.197777778</v>
      </c>
      <c r="AP203" s="677">
        <f t="shared" si="47"/>
        <v>1.4373387220329945</v>
      </c>
      <c r="AQ203" s="1148"/>
      <c r="AR203" s="1149"/>
      <c r="CG203" s="179"/>
      <c r="CH203" s="181"/>
      <c r="CI203" s="182"/>
    </row>
    <row r="204" spans="1:87" ht="13.5" customHeight="1" outlineLevel="1" x14ac:dyDescent="0.2">
      <c r="A204" s="368" t="s">
        <v>581</v>
      </c>
      <c r="B204" s="477" t="s">
        <v>1153</v>
      </c>
      <c r="C204" s="427"/>
      <c r="D204" s="431">
        <f>IF(E204="","",VLOOKUP(E204,BASE!$F$20:$H$25,2,FALSE))</f>
        <v>3</v>
      </c>
      <c r="E204" s="399" t="s">
        <v>540</v>
      </c>
      <c r="F204" s="436" t="s">
        <v>258</v>
      </c>
      <c r="G204" s="437">
        <f>IF(F204="","",VLOOKUP(F204,BASE!$B$15:$C$18,2,FALSE))</f>
        <v>2</v>
      </c>
      <c r="H204" s="355">
        <v>40</v>
      </c>
      <c r="I204" s="423">
        <f t="shared" si="37"/>
        <v>40</v>
      </c>
      <c r="J204" s="399">
        <v>18</v>
      </c>
      <c r="K204" s="399">
        <v>8</v>
      </c>
      <c r="L204" s="399">
        <v>5</v>
      </c>
      <c r="M204" s="399">
        <v>4</v>
      </c>
      <c r="N204" s="399">
        <v>3</v>
      </c>
      <c r="O204" s="355">
        <f t="shared" si="38"/>
        <v>38</v>
      </c>
      <c r="P204" s="354"/>
      <c r="Q204" s="354"/>
      <c r="R204" s="355">
        <f t="shared" si="39"/>
        <v>0</v>
      </c>
      <c r="S204" s="354"/>
      <c r="T204" s="354"/>
      <c r="U204" s="354"/>
      <c r="V204" s="355">
        <f t="shared" si="40"/>
        <v>0</v>
      </c>
      <c r="W204" s="354">
        <v>2</v>
      </c>
      <c r="X204" s="477">
        <f t="shared" si="41"/>
        <v>40</v>
      </c>
      <c r="Y204" s="19" t="str">
        <f t="shared" si="42"/>
        <v xml:space="preserve">OK </v>
      </c>
      <c r="Z204" s="404" t="str">
        <f t="shared" si="43"/>
        <v xml:space="preserve"> </v>
      </c>
      <c r="AA204" s="478">
        <f>ROUND((IF(D204=1,(BASE!$G$51*I204),IF(D204=2,(BASE!$G$52*I204),IF(D204=3,(BASE!$G$53*I204),IF(D204=4,(BASE!$G$54*I204),IF(D204=5,(BASE!$G$55*I204),IF(D204=6,(BASE!$G$56*I204),0)))))))/1000,0)*1000</f>
        <v>5472000</v>
      </c>
      <c r="AB204" s="408">
        <v>388000</v>
      </c>
      <c r="AC204" s="478">
        <f t="shared" si="44"/>
        <v>5860000</v>
      </c>
      <c r="AD204" s="478">
        <f>IF(G204=3,AC204*BASE!$I$62,IF(G204=1,AC204*(BASE!$I$61),IF(G204=2,AC204*(BASE!$I$63),AC204*BASE!$I$64)))</f>
        <v>66608666.666666672</v>
      </c>
      <c r="AE204" s="411">
        <f>IF(I204&lt;10,0,IF(AC204&lt;=BASE!$C$3*2,BASE!$C$2,0)*(AD204/AC204))</f>
        <v>0</v>
      </c>
      <c r="AF204" s="13">
        <v>0</v>
      </c>
      <c r="AG204" s="14">
        <f t="shared" si="35"/>
        <v>3700481.4814814818</v>
      </c>
      <c r="AH204" s="14">
        <f t="shared" si="45"/>
        <v>5859096</v>
      </c>
      <c r="AI204" s="14">
        <f t="shared" si="46"/>
        <v>5859095.6790123461</v>
      </c>
      <c r="AJ204" s="14">
        <f t="shared" si="36"/>
        <v>703091.48148148146</v>
      </c>
      <c r="AK204" s="14">
        <f>IF(I204=0,0,IF(G204=5,0,(AC204+AF204/12)*12*BASE!$C$5))</f>
        <v>5977200</v>
      </c>
      <c r="AL204" s="14">
        <f>IF(I204=0,0,IF(G204=5,0,(AC204+AF204/12)*12*BASE!$C$7))</f>
        <v>8438400</v>
      </c>
      <c r="AM204" s="14">
        <f>IF(I204=0,0,IF(G204=5,0,(AC204+AF204/12)*12*BASE!$C$9))</f>
        <v>367070.39999999997</v>
      </c>
      <c r="AN204" s="412">
        <f>IF(I204=0,0,IF(G204=5,0,(AD204+AF204+AG204)*BASE!$C$10))</f>
        <v>6327823.333333333</v>
      </c>
      <c r="AO204" s="837">
        <f t="shared" si="49"/>
        <v>103840925.0419753</v>
      </c>
      <c r="AP204" s="677">
        <f t="shared" si="47"/>
        <v>1.5589701796859563</v>
      </c>
      <c r="AQ204" s="1148"/>
      <c r="AR204" s="1149"/>
      <c r="CG204" s="179"/>
      <c r="CH204" s="181"/>
      <c r="CI204" s="182"/>
    </row>
    <row r="205" spans="1:87" ht="13.5" customHeight="1" outlineLevel="1" x14ac:dyDescent="0.2">
      <c r="A205" s="368" t="s">
        <v>581</v>
      </c>
      <c r="B205" s="477" t="s">
        <v>1154</v>
      </c>
      <c r="C205" s="427"/>
      <c r="D205" s="431">
        <f>IF(E205="","",VLOOKUP(E205,BASE!$F$20:$H$25,2,FALSE))</f>
        <v>5</v>
      </c>
      <c r="E205" s="399" t="s">
        <v>538</v>
      </c>
      <c r="F205" s="436" t="s">
        <v>261</v>
      </c>
      <c r="G205" s="437">
        <f>IF(F205="","",VLOOKUP(F205,BASE!$B$15:$C$18,2,FALSE))</f>
        <v>1</v>
      </c>
      <c r="H205" s="355">
        <v>5</v>
      </c>
      <c r="I205" s="423">
        <f t="shared" si="37"/>
        <v>5</v>
      </c>
      <c r="J205" s="399">
        <v>4</v>
      </c>
      <c r="K205" s="354"/>
      <c r="L205" s="354"/>
      <c r="M205" s="354"/>
      <c r="N205" s="354"/>
      <c r="O205" s="355">
        <f t="shared" si="38"/>
        <v>4</v>
      </c>
      <c r="P205" s="354"/>
      <c r="Q205" s="354"/>
      <c r="R205" s="355">
        <f t="shared" si="39"/>
        <v>0</v>
      </c>
      <c r="S205" s="354">
        <v>1</v>
      </c>
      <c r="T205" s="354"/>
      <c r="U205" s="354"/>
      <c r="V205" s="355">
        <f t="shared" si="40"/>
        <v>1</v>
      </c>
      <c r="W205" s="354"/>
      <c r="X205" s="477">
        <f t="shared" si="41"/>
        <v>5</v>
      </c>
      <c r="Y205" s="19" t="str">
        <f t="shared" si="42"/>
        <v xml:space="preserve">OK </v>
      </c>
      <c r="Z205" s="404" t="str">
        <f t="shared" si="43"/>
        <v xml:space="preserve"> </v>
      </c>
      <c r="AA205" s="478">
        <f>ROUND((IF(D205=1,(BASE!$G$51*I205),IF(D205=2,(BASE!$G$52*I205),IF(D205=3,(BASE!$G$53*I205),IF(D205=4,(BASE!$G$54*I205),IF(D205=5,(BASE!$G$55*I205),IF(D205=6,(BASE!$G$56*I205),0)))))))/1000,0)*1000</f>
        <v>445000</v>
      </c>
      <c r="AB205" s="408">
        <v>0</v>
      </c>
      <c r="AC205" s="478">
        <f t="shared" si="44"/>
        <v>445000</v>
      </c>
      <c r="AD205" s="478">
        <f>IF(G205=3,AC205*BASE!$I$62,IF(G205=1,AC205*(BASE!$I$61),IF(G205=2,AC205*(BASE!$I$63),AC205*BASE!$I$64)))</f>
        <v>4390666.666666667</v>
      </c>
      <c r="AE205" s="411">
        <f>IF(I205&lt;10,0,IF(AC205&lt;=BASE!$C$3*2,BASE!$C$2,0)*(AD205/AC205))</f>
        <v>0</v>
      </c>
      <c r="AF205" s="13">
        <v>0</v>
      </c>
      <c r="AG205" s="14">
        <f t="shared" si="35"/>
        <v>243925.92592592596</v>
      </c>
      <c r="AH205" s="14">
        <f t="shared" si="45"/>
        <v>386216</v>
      </c>
      <c r="AI205" s="14">
        <f t="shared" si="46"/>
        <v>386216.04938271607</v>
      </c>
      <c r="AJ205" s="14">
        <f t="shared" si="36"/>
        <v>38621.604938271608</v>
      </c>
      <c r="AK205" s="14">
        <f>IF(I205=0,0,IF(G205=5,0,(AC205+AF205/12)*12*BASE!$C$5))</f>
        <v>453900.00000000006</v>
      </c>
      <c r="AL205" s="14">
        <f>IF(I205=0,0,IF(G205=5,0,(AC205+AF205/12)*12*BASE!$C$7))</f>
        <v>640800</v>
      </c>
      <c r="AM205" s="14">
        <f>IF(I205=0,0,IF(G205=5,0,(AC205+AF205/12)*12*BASE!$C$9))</f>
        <v>27874.799999999999</v>
      </c>
      <c r="AN205" s="412">
        <f>IF(I205=0,0,IF(G205=5,0,(AD205+AF205+AG205)*BASE!$C$10))</f>
        <v>417113.33333333337</v>
      </c>
      <c r="AO205" s="837">
        <f t="shared" si="49"/>
        <v>6985334.380246914</v>
      </c>
      <c r="AP205" s="677">
        <f t="shared" si="47"/>
        <v>1.5909507395035485</v>
      </c>
      <c r="AQ205" s="1148"/>
      <c r="AR205" s="1149"/>
      <c r="CG205" s="179"/>
      <c r="CH205" s="181"/>
      <c r="CI205" s="182"/>
    </row>
    <row r="206" spans="1:87" ht="13.5" customHeight="1" outlineLevel="1" x14ac:dyDescent="0.2">
      <c r="A206" s="368" t="s">
        <v>581</v>
      </c>
      <c r="B206" s="477" t="s">
        <v>1155</v>
      </c>
      <c r="C206" s="427"/>
      <c r="D206" s="431">
        <f>IF(E206="","",VLOOKUP(E206,BASE!$F$20:$H$25,2,FALSE))</f>
        <v>5</v>
      </c>
      <c r="E206" s="399" t="s">
        <v>538</v>
      </c>
      <c r="F206" s="436" t="s">
        <v>546</v>
      </c>
      <c r="G206" s="437">
        <f>IF(F206="","",VLOOKUP(F206,BASE!$B$15:$C$18,2,FALSE))</f>
        <v>3</v>
      </c>
      <c r="H206" s="355">
        <v>10</v>
      </c>
      <c r="I206" s="423">
        <f t="shared" si="37"/>
        <v>10</v>
      </c>
      <c r="J206" s="399">
        <v>4</v>
      </c>
      <c r="K206" s="399">
        <v>1</v>
      </c>
      <c r="L206" s="399">
        <v>1</v>
      </c>
      <c r="M206" s="399">
        <v>1</v>
      </c>
      <c r="N206" s="354"/>
      <c r="O206" s="355">
        <f t="shared" si="38"/>
        <v>7</v>
      </c>
      <c r="P206" s="354"/>
      <c r="Q206" s="354"/>
      <c r="R206" s="355">
        <f t="shared" si="39"/>
        <v>0</v>
      </c>
      <c r="S206" s="354">
        <v>1</v>
      </c>
      <c r="T206" s="354"/>
      <c r="U206" s="354"/>
      <c r="V206" s="355">
        <f t="shared" si="40"/>
        <v>1</v>
      </c>
      <c r="W206" s="354">
        <v>2</v>
      </c>
      <c r="X206" s="477">
        <f t="shared" si="41"/>
        <v>10</v>
      </c>
      <c r="Y206" s="19" t="str">
        <f t="shared" si="42"/>
        <v xml:space="preserve">OK </v>
      </c>
      <c r="Z206" s="404" t="str">
        <f t="shared" si="43"/>
        <v xml:space="preserve"> </v>
      </c>
      <c r="AA206" s="478">
        <f>ROUND((IF(D206=1,(BASE!$G$51*I206),IF(D206=2,(BASE!$G$52*I206),IF(D206=3,(BASE!$G$53*I206),IF(D206=4,(BASE!$G$54*I206),IF(D206=5,(BASE!$G$55*I206),IF(D206=6,(BASE!$G$56*I206),0)))))))/1000,0)*1000</f>
        <v>890000</v>
      </c>
      <c r="AB206" s="408">
        <v>0</v>
      </c>
      <c r="AC206" s="478">
        <f t="shared" si="44"/>
        <v>890000</v>
      </c>
      <c r="AD206" s="478">
        <f>IF(G206=3,AC206*BASE!$I$62,IF(G206=1,AC206*(BASE!$I$61),IF(G206=2,AC206*(BASE!$I$63),AC206*BASE!$I$64)))</f>
        <v>9523000</v>
      </c>
      <c r="AE206" s="411">
        <f>IF(I206&lt;10,0,IF(AC206&lt;=BASE!$C$3*2,BASE!$C$2,0)*(AD206/AC206))</f>
        <v>943857.7</v>
      </c>
      <c r="AF206" s="13">
        <v>0</v>
      </c>
      <c r="AG206" s="14">
        <f t="shared" si="35"/>
        <v>529055.55555555562</v>
      </c>
      <c r="AH206" s="14">
        <f t="shared" si="45"/>
        <v>916326</v>
      </c>
      <c r="AI206" s="14">
        <f t="shared" si="46"/>
        <v>916326.10462962964</v>
      </c>
      <c r="AJ206" s="14">
        <f t="shared" si="36"/>
        <v>100795.87150925926</v>
      </c>
      <c r="AK206" s="14">
        <f>IF(I206=0,0,IF(G206=5,0,(AC206+AF206/12)*12*BASE!$C$5))</f>
        <v>907800.00000000012</v>
      </c>
      <c r="AL206" s="14">
        <f>IF(I206=0,0,IF(G206=5,0,(AC206+AF206/12)*12*BASE!$C$7))</f>
        <v>1281600</v>
      </c>
      <c r="AM206" s="14">
        <f>IF(I206=0,0,IF(G206=5,0,(AC206+AF206/12)*12*BASE!$C$9))</f>
        <v>55749.599999999999</v>
      </c>
      <c r="AN206" s="412">
        <f>IF(I206=0,0,IF(G206=5,0,(AD206+AF206+AG206)*BASE!$C$10))</f>
        <v>904685</v>
      </c>
      <c r="AO206" s="837">
        <f t="shared" si="49"/>
        <v>16079195.831694445</v>
      </c>
      <c r="AP206" s="677">
        <f t="shared" si="47"/>
        <v>1.6884590813498315</v>
      </c>
      <c r="AQ206" s="1148"/>
      <c r="AR206" s="1149"/>
      <c r="CG206" s="179"/>
      <c r="CH206" s="181"/>
      <c r="CI206" s="182"/>
    </row>
    <row r="207" spans="1:87" ht="13.5" customHeight="1" outlineLevel="1" x14ac:dyDescent="0.2">
      <c r="A207" s="368" t="s">
        <v>581</v>
      </c>
      <c r="B207" s="477" t="s">
        <v>1156</v>
      </c>
      <c r="C207" s="427"/>
      <c r="D207" s="431">
        <f>IF(E207="","",VLOOKUP(E207,BASE!$F$20:$H$25,2,FALSE))</f>
        <v>4</v>
      </c>
      <c r="E207" s="399" t="s">
        <v>539</v>
      </c>
      <c r="F207" s="436" t="s">
        <v>258</v>
      </c>
      <c r="G207" s="437">
        <f>IF(F207="","",VLOOKUP(F207,BASE!$B$15:$C$18,2,FALSE))</f>
        <v>2</v>
      </c>
      <c r="H207" s="355">
        <v>40</v>
      </c>
      <c r="I207" s="423">
        <f t="shared" si="37"/>
        <v>40</v>
      </c>
      <c r="J207" s="399">
        <v>18</v>
      </c>
      <c r="K207" s="399">
        <v>8</v>
      </c>
      <c r="L207" s="399">
        <v>6</v>
      </c>
      <c r="M207" s="399">
        <v>5</v>
      </c>
      <c r="N207" s="399">
        <v>3</v>
      </c>
      <c r="O207" s="355">
        <f t="shared" si="38"/>
        <v>40</v>
      </c>
      <c r="P207" s="354"/>
      <c r="Q207" s="354"/>
      <c r="R207" s="355">
        <f t="shared" si="39"/>
        <v>0</v>
      </c>
      <c r="S207" s="354"/>
      <c r="T207" s="354"/>
      <c r="U207" s="354"/>
      <c r="V207" s="355">
        <f t="shared" si="40"/>
        <v>0</v>
      </c>
      <c r="W207" s="354"/>
      <c r="X207" s="477">
        <f t="shared" si="41"/>
        <v>40</v>
      </c>
      <c r="Y207" s="19" t="str">
        <f t="shared" si="42"/>
        <v xml:space="preserve">OK </v>
      </c>
      <c r="Z207" s="404" t="str">
        <f t="shared" si="43"/>
        <v xml:space="preserve"> </v>
      </c>
      <c r="AA207" s="478">
        <f>ROUND((IF(D207=1,(BASE!$G$51*I207),IF(D207=2,(BASE!$G$52*I207),IF(D207=3,(BASE!$G$53*I207),IF(D207=4,(BASE!$G$54*I207),IF(D207=5,(BASE!$G$55*I207),IF(D207=6,(BASE!$G$56*I207),0)))))))/1000,0)*1000</f>
        <v>4456000</v>
      </c>
      <c r="AB207" s="408">
        <v>0</v>
      </c>
      <c r="AC207" s="478">
        <f t="shared" si="44"/>
        <v>4456000</v>
      </c>
      <c r="AD207" s="478">
        <f>IF(G207=3,AC207*BASE!$I$62,IF(G207=1,AC207*(BASE!$I$61),IF(G207=2,AC207*(BASE!$I$63),AC207*BASE!$I$64)))</f>
        <v>50649866.666666672</v>
      </c>
      <c r="AE207" s="411">
        <f>IF(I207&lt;10,0,IF(AC207&lt;=BASE!$C$3*2,BASE!$C$2,0)*(AD207/AC207))</f>
        <v>0</v>
      </c>
      <c r="AF207" s="13">
        <v>0</v>
      </c>
      <c r="AG207" s="14">
        <f t="shared" si="35"/>
        <v>2813881.4814814818</v>
      </c>
      <c r="AH207" s="14">
        <f t="shared" si="45"/>
        <v>4455312</v>
      </c>
      <c r="AI207" s="14">
        <f t="shared" si="46"/>
        <v>4455312.3456790131</v>
      </c>
      <c r="AJ207" s="14">
        <f t="shared" si="36"/>
        <v>534637.48148148158</v>
      </c>
      <c r="AK207" s="14">
        <f>IF(I207=0,0,IF(G207=5,0,(AC207+AF207/12)*12*BASE!$C$5))</f>
        <v>4545120</v>
      </c>
      <c r="AL207" s="14">
        <f>IF(I207=0,0,IF(G207=5,0,(AC207+AF207/12)*12*BASE!$C$7))</f>
        <v>6416640</v>
      </c>
      <c r="AM207" s="14">
        <f>IF(I207=0,0,IF(G207=5,0,(AC207+AF207/12)*12*BASE!$C$9))</f>
        <v>279123.83999999997</v>
      </c>
      <c r="AN207" s="412">
        <f>IF(I207=0,0,IF(G207=5,0,(AD207+AF207+AG207)*BASE!$C$10))</f>
        <v>4811737.333333334</v>
      </c>
      <c r="AO207" s="837">
        <f t="shared" si="49"/>
        <v>78961631.148641989</v>
      </c>
      <c r="AP207" s="677">
        <f t="shared" si="47"/>
        <v>1.558970168042074</v>
      </c>
      <c r="AQ207" s="1148"/>
      <c r="AR207" s="1149"/>
      <c r="CG207" s="179"/>
      <c r="CH207" s="181"/>
      <c r="CI207" s="182"/>
    </row>
    <row r="208" spans="1:87" ht="13.5" customHeight="1" outlineLevel="1" x14ac:dyDescent="0.2">
      <c r="A208" s="368" t="s">
        <v>581</v>
      </c>
      <c r="B208" s="477" t="s">
        <v>1157</v>
      </c>
      <c r="C208" s="427"/>
      <c r="D208" s="431">
        <f>IF(E208="","",VLOOKUP(E208,BASE!$F$20:$H$25,2,FALSE))</f>
        <v>3</v>
      </c>
      <c r="E208" s="399" t="s">
        <v>540</v>
      </c>
      <c r="F208" s="436" t="s">
        <v>546</v>
      </c>
      <c r="G208" s="437">
        <f>IF(F208="","",VLOOKUP(F208,BASE!$B$15:$C$18,2,FALSE))</f>
        <v>3</v>
      </c>
      <c r="H208" s="355">
        <v>10</v>
      </c>
      <c r="I208" s="423">
        <f t="shared" si="37"/>
        <v>10</v>
      </c>
      <c r="J208" s="399">
        <v>2</v>
      </c>
      <c r="K208" s="399">
        <v>1</v>
      </c>
      <c r="L208" s="399">
        <v>1</v>
      </c>
      <c r="M208" s="354"/>
      <c r="N208" s="354"/>
      <c r="O208" s="355">
        <f t="shared" si="38"/>
        <v>4</v>
      </c>
      <c r="P208" s="354"/>
      <c r="Q208" s="354"/>
      <c r="R208" s="355">
        <f t="shared" si="39"/>
        <v>0</v>
      </c>
      <c r="S208" s="354">
        <v>6</v>
      </c>
      <c r="T208" s="354"/>
      <c r="U208" s="354"/>
      <c r="V208" s="355">
        <f t="shared" si="40"/>
        <v>6</v>
      </c>
      <c r="W208" s="354"/>
      <c r="X208" s="477">
        <f t="shared" si="41"/>
        <v>10</v>
      </c>
      <c r="Y208" s="19" t="str">
        <f t="shared" si="42"/>
        <v xml:space="preserve">OK </v>
      </c>
      <c r="Z208" s="404" t="str">
        <f t="shared" si="43"/>
        <v xml:space="preserve"> </v>
      </c>
      <c r="AA208" s="478">
        <f>ROUND((IF(D208=1,(BASE!$G$51*I208),IF(D208=2,(BASE!$G$52*I208),IF(D208=3,(BASE!$G$53*I208),IF(D208=4,(BASE!$G$54*I208),IF(D208=5,(BASE!$G$55*I208),IF(D208=6,(BASE!$G$56*I208),0)))))))/1000,0)*1000</f>
        <v>1368000</v>
      </c>
      <c r="AB208" s="408">
        <v>0</v>
      </c>
      <c r="AC208" s="478">
        <f t="shared" si="44"/>
        <v>1368000</v>
      </c>
      <c r="AD208" s="478">
        <f>IF(G208=3,AC208*BASE!$I$62,IF(G208=1,AC208*(BASE!$I$61),IF(G208=2,AC208*(BASE!$I$63),AC208*BASE!$I$64)))</f>
        <v>14637599.999999998</v>
      </c>
      <c r="AE208" s="411">
        <f>IF(I208&lt;10,0,IF(AC208&lt;=BASE!$C$3*2,BASE!$C$2,0)*(AD208/AC208))</f>
        <v>943857.7</v>
      </c>
      <c r="AF208" s="13">
        <v>0</v>
      </c>
      <c r="AG208" s="14">
        <f t="shared" si="35"/>
        <v>813199.99999999988</v>
      </c>
      <c r="AH208" s="14">
        <f t="shared" si="45"/>
        <v>1366221</v>
      </c>
      <c r="AI208" s="14">
        <f t="shared" si="46"/>
        <v>1366221.4749999999</v>
      </c>
      <c r="AJ208" s="14">
        <f t="shared" si="36"/>
        <v>150284.36224999998</v>
      </c>
      <c r="AK208" s="14">
        <f>IF(I208=0,0,IF(G208=5,0,(AC208+AF208/12)*12*BASE!$C$5))</f>
        <v>1395360</v>
      </c>
      <c r="AL208" s="14">
        <f>IF(I208=0,0,IF(G208=5,0,(AC208+AF208/12)*12*BASE!$C$7))</f>
        <v>1969920</v>
      </c>
      <c r="AM208" s="14">
        <f>IF(I208=0,0,IF(G208=5,0,(AC208+AF208/12)*12*BASE!$C$9))</f>
        <v>85691.520000000004</v>
      </c>
      <c r="AN208" s="412">
        <f>IF(I208=0,0,IF(G208=5,0,(AD208+AF208+AG208)*BASE!$C$10))</f>
        <v>1390571.9999999998</v>
      </c>
      <c r="AO208" s="837">
        <f t="shared" si="49"/>
        <v>24118928.057249997</v>
      </c>
      <c r="AP208" s="677">
        <f t="shared" si="47"/>
        <v>1.6477378844380226</v>
      </c>
      <c r="AQ208" s="1148"/>
      <c r="AR208" s="1149"/>
      <c r="CG208" s="179"/>
      <c r="CH208" s="181"/>
      <c r="CI208" s="182"/>
    </row>
    <row r="209" spans="1:87" ht="13.5" customHeight="1" outlineLevel="1" x14ac:dyDescent="0.2">
      <c r="A209" s="368" t="s">
        <v>581</v>
      </c>
      <c r="B209" s="477" t="s">
        <v>1158</v>
      </c>
      <c r="C209" s="427"/>
      <c r="D209" s="431">
        <f>IF(E209="","",VLOOKUP(E209,BASE!$F$20:$H$25,2,FALSE))</f>
        <v>3</v>
      </c>
      <c r="E209" s="399" t="s">
        <v>540</v>
      </c>
      <c r="F209" s="436" t="s">
        <v>863</v>
      </c>
      <c r="G209" s="437">
        <f>IF(F209="","",VLOOKUP(F209,BASE!$B$15:$C$18,2,FALSE))</f>
        <v>4</v>
      </c>
      <c r="H209" s="355">
        <v>20</v>
      </c>
      <c r="I209" s="423">
        <v>0</v>
      </c>
      <c r="J209" s="399"/>
      <c r="K209" s="354"/>
      <c r="L209" s="354"/>
      <c r="M209" s="354"/>
      <c r="N209" s="354"/>
      <c r="O209" s="355">
        <f t="shared" si="38"/>
        <v>0</v>
      </c>
      <c r="P209" s="354"/>
      <c r="Q209" s="354"/>
      <c r="R209" s="355">
        <f t="shared" si="39"/>
        <v>0</v>
      </c>
      <c r="S209" s="354"/>
      <c r="T209" s="354"/>
      <c r="U209" s="354"/>
      <c r="V209" s="355">
        <f t="shared" si="40"/>
        <v>0</v>
      </c>
      <c r="W209" s="354"/>
      <c r="X209" s="477">
        <f t="shared" si="41"/>
        <v>0</v>
      </c>
      <c r="Y209" s="19" t="str">
        <f t="shared" si="42"/>
        <v xml:space="preserve">OK </v>
      </c>
      <c r="Z209" s="404" t="str">
        <f t="shared" si="43"/>
        <v>JUSTIFICAR</v>
      </c>
      <c r="AA209" s="478">
        <f>ROUND((IF(D209=1,(BASE!$G$51*I209),IF(D209=2,(BASE!$G$52*I209),IF(D209=3,(BASE!$G$53*I209),IF(D209=4,(BASE!$G$54*I209),IF(D209=5,(BASE!$G$55*I209),IF(D209=6,(BASE!$G$56*I209),0)))))))/1000,0)*1000</f>
        <v>0</v>
      </c>
      <c r="AB209" s="408">
        <v>0</v>
      </c>
      <c r="AC209" s="478">
        <f t="shared" si="44"/>
        <v>0</v>
      </c>
      <c r="AD209" s="478">
        <f>IF(G209=3,AC209*BASE!$I$62,IF(G209=1,AC209*(BASE!$I$61),IF(G209=2,AC209*(BASE!$I$63),AC209*BASE!$I$64)))</f>
        <v>0</v>
      </c>
      <c r="AE209" s="411">
        <f>IF(I209&lt;10,0,IF(AC209&lt;=BASE!$C$3*2,BASE!$C$2,0)*(AD209/AC209))</f>
        <v>0</v>
      </c>
      <c r="AF209" s="13">
        <v>0</v>
      </c>
      <c r="AG209" s="14">
        <f t="shared" si="35"/>
        <v>0</v>
      </c>
      <c r="AH209" s="14">
        <f t="shared" si="45"/>
        <v>0</v>
      </c>
      <c r="AI209" s="14">
        <f t="shared" si="46"/>
        <v>0</v>
      </c>
      <c r="AJ209" s="14">
        <f t="shared" si="36"/>
        <v>0</v>
      </c>
      <c r="AK209" s="14">
        <f>IF(I209=0,0,IF(G209=5,0,(AC209+AF209/12)*12*BASE!$C$5))</f>
        <v>0</v>
      </c>
      <c r="AL209" s="14">
        <f>IF(I209=0,0,IF(G209=5,0,(AC209+AF209/12)*12*BASE!$C$7))</f>
        <v>0</v>
      </c>
      <c r="AM209" s="14">
        <f>IF(I209=0,0,IF(G209=5,0,(AC209+AF209/12)*12*BASE!$C$9))</f>
        <v>0</v>
      </c>
      <c r="AN209" s="412">
        <f>IF(I209=0,0,IF(G209=5,0,(AD209+AF209+AG209)*BASE!$C$10))</f>
        <v>0</v>
      </c>
      <c r="AO209" s="837">
        <f t="shared" si="49"/>
        <v>0</v>
      </c>
      <c r="AP209" s="677" t="str">
        <f t="shared" si="47"/>
        <v>Sin datos</v>
      </c>
      <c r="AQ209" s="1150" t="s">
        <v>1315</v>
      </c>
      <c r="AR209" s="1149"/>
      <c r="CG209" s="179"/>
      <c r="CH209" s="181"/>
      <c r="CI209" s="182"/>
    </row>
    <row r="210" spans="1:87" ht="13.5" customHeight="1" outlineLevel="1" x14ac:dyDescent="0.2">
      <c r="A210" s="368" t="s">
        <v>581</v>
      </c>
      <c r="B210" s="477" t="s">
        <v>1159</v>
      </c>
      <c r="C210" s="427"/>
      <c r="D210" s="431">
        <f>IF(E210="","",VLOOKUP(E210,BASE!$F$20:$H$25,2,FALSE))</f>
        <v>3</v>
      </c>
      <c r="E210" s="399" t="s">
        <v>540</v>
      </c>
      <c r="F210" s="1056" t="s">
        <v>546</v>
      </c>
      <c r="G210" s="437">
        <f>IF(F210="","",VLOOKUP(F210,BASE!$B$15:$C$18,2,FALSE))</f>
        <v>3</v>
      </c>
      <c r="H210" s="355">
        <v>20</v>
      </c>
      <c r="I210" s="423">
        <v>30</v>
      </c>
      <c r="J210" s="399">
        <v>5</v>
      </c>
      <c r="K210" s="399">
        <v>1</v>
      </c>
      <c r="L210" s="399">
        <v>1</v>
      </c>
      <c r="M210" s="354"/>
      <c r="N210" s="354"/>
      <c r="O210" s="355">
        <f t="shared" si="38"/>
        <v>7</v>
      </c>
      <c r="P210" s="354">
        <v>10</v>
      </c>
      <c r="Q210" s="354">
        <v>7</v>
      </c>
      <c r="R210" s="355">
        <f t="shared" si="39"/>
        <v>17</v>
      </c>
      <c r="S210" s="399">
        <v>6</v>
      </c>
      <c r="T210" s="354"/>
      <c r="U210" s="354"/>
      <c r="V210" s="355">
        <f t="shared" si="40"/>
        <v>6</v>
      </c>
      <c r="W210" s="354"/>
      <c r="X210" s="477">
        <f t="shared" si="41"/>
        <v>30</v>
      </c>
      <c r="Y210" s="19" t="str">
        <f t="shared" si="42"/>
        <v xml:space="preserve">OK </v>
      </c>
      <c r="Z210" s="404" t="str">
        <f t="shared" si="43"/>
        <v>AJUSTE</v>
      </c>
      <c r="AA210" s="478">
        <f>ROUND((IF(D210=1,(BASE!$G$51*I210),IF(D210=2,(BASE!$G$52*I210),IF(D210=3,(BASE!$G$53*I210),IF(D210=4,(BASE!$G$54*I210),IF(D210=5,(BASE!$G$55*I210),IF(D210=6,(BASE!$G$56*I210),0)))))))/1000,0)*1000</f>
        <v>4104000</v>
      </c>
      <c r="AB210" s="408">
        <v>0</v>
      </c>
      <c r="AC210" s="478">
        <f t="shared" si="44"/>
        <v>4104000</v>
      </c>
      <c r="AD210" s="478">
        <f>IF(G210=3,AC210*BASE!$I$62,IF(G210=1,AC210*(BASE!$I$61),IF(G210=2,AC210*(BASE!$I$63),AC210*BASE!$I$64)))</f>
        <v>43912800</v>
      </c>
      <c r="AE210" s="411">
        <f>IF(I210&lt;10,0,IF(AC210&lt;=BASE!$C$3*2,BASE!$C$2,0)*(AD210/AC210))</f>
        <v>0</v>
      </c>
      <c r="AF210" s="13">
        <v>0</v>
      </c>
      <c r="AG210" s="14">
        <f t="shared" si="35"/>
        <v>2439600</v>
      </c>
      <c r="AH210" s="14">
        <f t="shared" si="45"/>
        <v>3862700</v>
      </c>
      <c r="AI210" s="14">
        <f t="shared" si="46"/>
        <v>3862700</v>
      </c>
      <c r="AJ210" s="14">
        <f t="shared" si="36"/>
        <v>424897</v>
      </c>
      <c r="AK210" s="14">
        <f>IF(I210=0,0,IF(G210=5,0,(AC210+AF210/12)*12*BASE!$C$5))</f>
        <v>4186080.0000000005</v>
      </c>
      <c r="AL210" s="14">
        <f>IF(I210=0,0,IF(G210=5,0,(AC210+AF210/12)*12*BASE!$C$7))</f>
        <v>5909760</v>
      </c>
      <c r="AM210" s="14">
        <f>IF(I210=0,0,IF(G210=5,0,(AC210+AF210/12)*12*BASE!$C$9))</f>
        <v>257074.56</v>
      </c>
      <c r="AN210" s="412">
        <f>IF(I210=0,0,IF(G210=5,0,(AD210+AF210+AG210)*BASE!$C$10))</f>
        <v>4171716</v>
      </c>
      <c r="AO210" s="837">
        <f t="shared" si="49"/>
        <v>69027327.560000002</v>
      </c>
      <c r="AP210" s="677">
        <f t="shared" si="47"/>
        <v>1.5719181550709589</v>
      </c>
      <c r="AQ210" s="1150" t="s">
        <v>1426</v>
      </c>
      <c r="AR210" s="1149"/>
      <c r="CG210" s="179"/>
      <c r="CH210" s="181"/>
      <c r="CI210" s="182"/>
    </row>
    <row r="211" spans="1:87" ht="13.5" customHeight="1" outlineLevel="1" x14ac:dyDescent="0.2">
      <c r="A211" s="368" t="s">
        <v>581</v>
      </c>
      <c r="B211" s="477" t="s">
        <v>1160</v>
      </c>
      <c r="C211" s="427"/>
      <c r="D211" s="431">
        <f>IF(E211="","",VLOOKUP(E211,BASE!$F$20:$H$25,2,FALSE))</f>
        <v>3</v>
      </c>
      <c r="E211" s="399" t="s">
        <v>540</v>
      </c>
      <c r="F211" s="436" t="s">
        <v>258</v>
      </c>
      <c r="G211" s="437">
        <f>IF(F211="","",VLOOKUP(F211,BASE!$B$15:$C$18,2,FALSE))</f>
        <v>2</v>
      </c>
      <c r="H211" s="355">
        <v>28</v>
      </c>
      <c r="I211" s="423">
        <f t="shared" si="37"/>
        <v>28</v>
      </c>
      <c r="J211" s="399">
        <v>14</v>
      </c>
      <c r="K211" s="399">
        <v>6</v>
      </c>
      <c r="L211" s="399">
        <v>4</v>
      </c>
      <c r="M211" s="399">
        <v>2</v>
      </c>
      <c r="N211" s="399">
        <v>2</v>
      </c>
      <c r="O211" s="355">
        <f t="shared" si="38"/>
        <v>28</v>
      </c>
      <c r="P211" s="354"/>
      <c r="Q211" s="354"/>
      <c r="R211" s="355">
        <f t="shared" si="39"/>
        <v>0</v>
      </c>
      <c r="S211" s="354"/>
      <c r="T211" s="354"/>
      <c r="U211" s="354"/>
      <c r="V211" s="355">
        <f t="shared" si="40"/>
        <v>0</v>
      </c>
      <c r="W211" s="354"/>
      <c r="X211" s="477">
        <f t="shared" si="41"/>
        <v>28</v>
      </c>
      <c r="Y211" s="19" t="str">
        <f t="shared" si="42"/>
        <v xml:space="preserve">OK </v>
      </c>
      <c r="Z211" s="404" t="str">
        <f t="shared" si="43"/>
        <v xml:space="preserve"> </v>
      </c>
      <c r="AA211" s="478">
        <f>ROUND((IF(D211=1,(BASE!$G$51*I211),IF(D211=2,(BASE!$G$52*I211),IF(D211=3,(BASE!$G$53*I211),IF(D211=4,(BASE!$G$54*I211),IF(D211=5,(BASE!$G$55*I211),IF(D211=6,(BASE!$G$56*I211),0)))))))/1000,0)*1000</f>
        <v>3830000</v>
      </c>
      <c r="AB211" s="408">
        <v>0</v>
      </c>
      <c r="AC211" s="478">
        <f t="shared" si="44"/>
        <v>3830000</v>
      </c>
      <c r="AD211" s="478">
        <f>IF(G211=3,AC211*BASE!$I$62,IF(G211=1,AC211*(BASE!$I$61),IF(G211=2,AC211*(BASE!$I$63),AC211*BASE!$I$64)))</f>
        <v>43534333.333333336</v>
      </c>
      <c r="AE211" s="411">
        <f>IF(I211&lt;10,0,IF(AC211&lt;=BASE!$C$3*2,BASE!$C$2,0)*(AD211/AC211))</f>
        <v>0</v>
      </c>
      <c r="AF211" s="13">
        <v>0</v>
      </c>
      <c r="AG211" s="14">
        <f t="shared" si="35"/>
        <v>2418574.0740740742</v>
      </c>
      <c r="AH211" s="14">
        <f t="shared" si="45"/>
        <v>3829409</v>
      </c>
      <c r="AI211" s="14">
        <f t="shared" si="46"/>
        <v>3829408.9506172845</v>
      </c>
      <c r="AJ211" s="14">
        <f t="shared" si="36"/>
        <v>459529.0740740741</v>
      </c>
      <c r="AK211" s="14">
        <f>IF(I211=0,0,IF(G211=5,0,(AC211+AF211/12)*12*BASE!$C$5))</f>
        <v>3906600.0000000005</v>
      </c>
      <c r="AL211" s="14">
        <f>IF(I211=0,0,IF(G211=5,0,(AC211+AF211/12)*12*BASE!$C$7))</f>
        <v>5515200</v>
      </c>
      <c r="AM211" s="14">
        <f>IF(I211=0,0,IF(G211=5,0,(AC211+AF211/12)*12*BASE!$C$9))</f>
        <v>239911.19999999998</v>
      </c>
      <c r="AN211" s="412">
        <f>IF(I211=0,0,IF(G211=5,0,(AD211+AF211+AG211)*BASE!$C$10))</f>
        <v>4135761.666666667</v>
      </c>
      <c r="AO211" s="837">
        <f t="shared" si="49"/>
        <v>67868727.298765436</v>
      </c>
      <c r="AP211" s="677">
        <f t="shared" si="47"/>
        <v>1.5589701760012886</v>
      </c>
      <c r="AQ211" s="1148"/>
      <c r="AR211" s="1149"/>
      <c r="CG211" s="179"/>
      <c r="CH211" s="181"/>
      <c r="CI211" s="182"/>
    </row>
    <row r="212" spans="1:87" ht="13.5" customHeight="1" outlineLevel="1" x14ac:dyDescent="0.2">
      <c r="A212" s="368" t="s">
        <v>581</v>
      </c>
      <c r="B212" s="477" t="s">
        <v>1161</v>
      </c>
      <c r="C212" s="427"/>
      <c r="D212" s="431">
        <f>IF(E212="","",VLOOKUP(E212,BASE!$F$20:$H$25,2,FALSE))</f>
        <v>4</v>
      </c>
      <c r="E212" s="399" t="s">
        <v>539</v>
      </c>
      <c r="F212" s="436" t="s">
        <v>546</v>
      </c>
      <c r="G212" s="437">
        <f>IF(F212="","",VLOOKUP(F212,BASE!$B$15:$C$18,2,FALSE))</f>
        <v>3</v>
      </c>
      <c r="H212" s="355">
        <v>10</v>
      </c>
      <c r="I212" s="423">
        <f t="shared" si="37"/>
        <v>10</v>
      </c>
      <c r="J212" s="399">
        <v>2</v>
      </c>
      <c r="K212" s="399">
        <v>1</v>
      </c>
      <c r="L212" s="399">
        <v>1</v>
      </c>
      <c r="M212" s="354"/>
      <c r="N212" s="354"/>
      <c r="O212" s="355">
        <f t="shared" si="38"/>
        <v>4</v>
      </c>
      <c r="P212" s="354"/>
      <c r="Q212" s="354"/>
      <c r="R212" s="355">
        <f t="shared" si="39"/>
        <v>0</v>
      </c>
      <c r="S212" s="354">
        <v>6</v>
      </c>
      <c r="T212" s="354"/>
      <c r="U212" s="354"/>
      <c r="V212" s="355">
        <f t="shared" si="40"/>
        <v>6</v>
      </c>
      <c r="W212" s="354"/>
      <c r="X212" s="477">
        <f t="shared" si="41"/>
        <v>10</v>
      </c>
      <c r="Y212" s="19" t="str">
        <f t="shared" si="42"/>
        <v xml:space="preserve">OK </v>
      </c>
      <c r="Z212" s="404" t="str">
        <f t="shared" si="43"/>
        <v xml:space="preserve"> </v>
      </c>
      <c r="AA212" s="478">
        <f>ROUND((IF(D212=1,(BASE!$G$51*I212),IF(D212=2,(BASE!$G$52*I212),IF(D212=3,(BASE!$G$53*I212),IF(D212=4,(BASE!$G$54*I212),IF(D212=5,(BASE!$G$55*I212),IF(D212=6,(BASE!$G$56*I212),0)))))))/1000,0)*1000</f>
        <v>1114000</v>
      </c>
      <c r="AB212" s="408">
        <v>0</v>
      </c>
      <c r="AC212" s="478">
        <f t="shared" si="44"/>
        <v>1114000</v>
      </c>
      <c r="AD212" s="478">
        <f>IF(G212=3,AC212*BASE!$I$62,IF(G212=1,AC212*(BASE!$I$61),IF(G212=2,AC212*(BASE!$I$63),AC212*BASE!$I$64)))</f>
        <v>11919800</v>
      </c>
      <c r="AE212" s="411">
        <f>IF(I212&lt;10,0,IF(AC212&lt;=BASE!$C$3*2,BASE!$C$2,0)*(AD212/AC212))</f>
        <v>943857.7</v>
      </c>
      <c r="AF212" s="13">
        <v>0</v>
      </c>
      <c r="AG212" s="14">
        <f t="shared" si="35"/>
        <v>662211.11111111112</v>
      </c>
      <c r="AH212" s="14">
        <f t="shared" si="45"/>
        <v>1127156</v>
      </c>
      <c r="AI212" s="14">
        <f t="shared" si="46"/>
        <v>1127155.7342592592</v>
      </c>
      <c r="AJ212" s="14">
        <f t="shared" si="36"/>
        <v>123987.13076851852</v>
      </c>
      <c r="AK212" s="14">
        <f>IF(I212=0,0,IF(G212=5,0,(AC212+AF212/12)*12*BASE!$C$5))</f>
        <v>1136280</v>
      </c>
      <c r="AL212" s="14">
        <f>IF(I212=0,0,IF(G212=5,0,(AC212+AF212/12)*12*BASE!$C$7))</f>
        <v>1604160</v>
      </c>
      <c r="AM212" s="14">
        <f>IF(I212=0,0,IF(G212=5,0,(AC212+AF212/12)*12*BASE!$C$9))</f>
        <v>69780.959999999992</v>
      </c>
      <c r="AN212" s="412">
        <f>IF(I212=0,0,IF(G212=5,0,(AD212+AF212+AG212)*BASE!$C$10))</f>
        <v>1132381</v>
      </c>
      <c r="AO212" s="837">
        <f t="shared" si="49"/>
        <v>19846769.63613889</v>
      </c>
      <c r="AP212" s="677">
        <f t="shared" si="47"/>
        <v>1.6650253893638223</v>
      </c>
      <c r="AQ212" s="1148"/>
      <c r="AR212" s="1149"/>
      <c r="CG212" s="179"/>
      <c r="CH212" s="181"/>
      <c r="CI212" s="182"/>
    </row>
    <row r="213" spans="1:87" ht="13.5" customHeight="1" outlineLevel="1" x14ac:dyDescent="0.2">
      <c r="A213" s="368" t="s">
        <v>581</v>
      </c>
      <c r="B213" s="477" t="s">
        <v>1162</v>
      </c>
      <c r="C213" s="427"/>
      <c r="D213" s="431">
        <f>IF(E213="","",VLOOKUP(E213,BASE!$F$20:$H$25,2,FALSE))</f>
        <v>4</v>
      </c>
      <c r="E213" s="399" t="s">
        <v>539</v>
      </c>
      <c r="F213" s="436" t="s">
        <v>546</v>
      </c>
      <c r="G213" s="437">
        <f>IF(F213="","",VLOOKUP(F213,BASE!$B$15:$C$18,2,FALSE))</f>
        <v>3</v>
      </c>
      <c r="H213" s="355">
        <v>20</v>
      </c>
      <c r="I213" s="423">
        <v>0</v>
      </c>
      <c r="J213" s="354"/>
      <c r="K213" s="354"/>
      <c r="L213" s="399"/>
      <c r="M213" s="399"/>
      <c r="N213" s="399"/>
      <c r="O213" s="355">
        <v>0</v>
      </c>
      <c r="P213" s="399"/>
      <c r="Q213" s="354"/>
      <c r="R213" s="355">
        <f t="shared" si="39"/>
        <v>0</v>
      </c>
      <c r="S213" s="354"/>
      <c r="T213" s="354"/>
      <c r="U213" s="354"/>
      <c r="V213" s="355">
        <f t="shared" si="40"/>
        <v>0</v>
      </c>
      <c r="W213" s="354"/>
      <c r="X213" s="477">
        <f t="shared" si="41"/>
        <v>0</v>
      </c>
      <c r="Y213" s="19" t="str">
        <f t="shared" si="42"/>
        <v xml:space="preserve">OK </v>
      </c>
      <c r="Z213" s="404" t="str">
        <f t="shared" si="43"/>
        <v>JUSTIFICAR</v>
      </c>
      <c r="AA213" s="478">
        <f>ROUND((IF(D213=1,(BASE!$G$51*I213),IF(D213=2,(BASE!$G$52*I213),IF(D213=3,(BASE!$G$53*I213),IF(D213=4,(BASE!$G$54*I213),IF(D213=5,(BASE!$G$55*I213),IF(D213=6,(BASE!$G$56*I213),0)))))))/1000,0)*1000</f>
        <v>0</v>
      </c>
      <c r="AB213" s="408">
        <v>0</v>
      </c>
      <c r="AC213" s="478">
        <f t="shared" si="44"/>
        <v>0</v>
      </c>
      <c r="AD213" s="478">
        <f>IF(G213=3,AC213*BASE!$I$62,IF(G213=1,AC213*(BASE!$I$61),IF(G213=2,AC213*(BASE!$I$63),AC213*BASE!$I$64)))</f>
        <v>0</v>
      </c>
      <c r="AE213" s="411">
        <f>IF(I213&lt;10,0,IF(AC213&lt;=BASE!$C$3*2,BASE!$C$2,0)*(AD213/AC213))</f>
        <v>0</v>
      </c>
      <c r="AF213" s="13">
        <v>0</v>
      </c>
      <c r="AG213" s="14">
        <f t="shared" si="35"/>
        <v>0</v>
      </c>
      <c r="AH213" s="14">
        <f t="shared" si="45"/>
        <v>0</v>
      </c>
      <c r="AI213" s="14">
        <f t="shared" si="46"/>
        <v>0</v>
      </c>
      <c r="AJ213" s="14">
        <f t="shared" si="36"/>
        <v>0</v>
      </c>
      <c r="AK213" s="14">
        <f>IF(I213=0,0,IF(G213=5,0,(AC213+AF213/12)*12*BASE!$C$5))</f>
        <v>0</v>
      </c>
      <c r="AL213" s="14">
        <f>IF(I213=0,0,IF(G213=5,0,(AC213+AF213/12)*12*BASE!$C$7))</f>
        <v>0</v>
      </c>
      <c r="AM213" s="14">
        <f>IF(I213=0,0,IF(G213=5,0,(AC213+AF213/12)*12*BASE!$C$9))</f>
        <v>0</v>
      </c>
      <c r="AN213" s="412">
        <f>IF(I213=0,0,IF(G213=5,0,(AD213+AF213+AG213)*BASE!$C$10))</f>
        <v>0</v>
      </c>
      <c r="AO213" s="837">
        <f t="shared" ref="AO213:AO240" si="51">+AD213+AE213+AF213+AG213+AH213+AI213+AJ213+AK213+AL213+AM213+AN213</f>
        <v>0</v>
      </c>
      <c r="AP213" s="677" t="str">
        <f t="shared" si="47"/>
        <v>Sin datos</v>
      </c>
      <c r="AQ213" s="1150" t="s">
        <v>1312</v>
      </c>
      <c r="AR213" s="1149"/>
      <c r="CG213" s="179"/>
      <c r="CH213" s="181"/>
      <c r="CI213" s="182"/>
    </row>
    <row r="214" spans="1:87" ht="13.5" customHeight="1" outlineLevel="1" x14ac:dyDescent="0.2">
      <c r="A214" s="368" t="s">
        <v>581</v>
      </c>
      <c r="B214" s="477" t="s">
        <v>1163</v>
      </c>
      <c r="C214" s="427"/>
      <c r="D214" s="431">
        <f>IF(E214="","",VLOOKUP(E214,BASE!$F$20:$H$25,2,FALSE))</f>
        <v>5</v>
      </c>
      <c r="E214" s="399" t="s">
        <v>538</v>
      </c>
      <c r="F214" s="436" t="s">
        <v>546</v>
      </c>
      <c r="G214" s="437">
        <f>IF(F214="","",VLOOKUP(F214,BASE!$B$15:$C$18,2,FALSE))</f>
        <v>3</v>
      </c>
      <c r="H214" s="355">
        <v>5</v>
      </c>
      <c r="I214" s="423">
        <f t="shared" si="37"/>
        <v>5</v>
      </c>
      <c r="J214" s="399">
        <v>4</v>
      </c>
      <c r="K214" s="354"/>
      <c r="L214" s="354"/>
      <c r="M214" s="354"/>
      <c r="N214" s="354"/>
      <c r="O214" s="355">
        <f t="shared" si="38"/>
        <v>4</v>
      </c>
      <c r="P214" s="354"/>
      <c r="Q214" s="354"/>
      <c r="R214" s="355">
        <f t="shared" si="39"/>
        <v>0</v>
      </c>
      <c r="S214" s="354">
        <v>1</v>
      </c>
      <c r="T214" s="354"/>
      <c r="U214" s="354"/>
      <c r="V214" s="355">
        <f t="shared" si="40"/>
        <v>1</v>
      </c>
      <c r="W214" s="354"/>
      <c r="X214" s="477">
        <f t="shared" si="41"/>
        <v>5</v>
      </c>
      <c r="Y214" s="19" t="str">
        <f t="shared" si="42"/>
        <v xml:space="preserve">OK </v>
      </c>
      <c r="Z214" s="404" t="str">
        <f t="shared" si="43"/>
        <v xml:space="preserve"> </v>
      </c>
      <c r="AA214" s="478">
        <f>ROUND((IF(D214=1,(BASE!$G$51*I214),IF(D214=2,(BASE!$G$52*I214),IF(D214=3,(BASE!$G$53*I214),IF(D214=4,(BASE!$G$54*I214),IF(D214=5,(BASE!$G$55*I214),IF(D214=6,(BASE!$G$56*I214),0)))))))/1000,0)*1000</f>
        <v>445000</v>
      </c>
      <c r="AB214" s="408">
        <v>0</v>
      </c>
      <c r="AC214" s="478">
        <f t="shared" si="44"/>
        <v>445000</v>
      </c>
      <c r="AD214" s="478">
        <f>IF(G214=3,AC214*BASE!$I$62,IF(G214=1,AC214*(BASE!$I$61),IF(G214=2,AC214*(BASE!$I$63),AC214*BASE!$I$64)))</f>
        <v>4761500</v>
      </c>
      <c r="AE214" s="411">
        <f>IF(I214&lt;10,0,IF(AC214&lt;=BASE!$C$3*2,BASE!$C$2,0)*(AD214/AC214))</f>
        <v>0</v>
      </c>
      <c r="AF214" s="13">
        <v>0</v>
      </c>
      <c r="AG214" s="14">
        <f t="shared" ref="AG214:AG240" si="52">IF(I214=0,0,IF(G214=5,0,((AD214/12)+(AF214/12))/3*2))</f>
        <v>264527.77777777781</v>
      </c>
      <c r="AH214" s="14">
        <f t="shared" si="45"/>
        <v>418836</v>
      </c>
      <c r="AI214" s="14">
        <f t="shared" si="46"/>
        <v>418835.64814814815</v>
      </c>
      <c r="AJ214" s="14">
        <f t="shared" ref="AJ214:AJ240" si="53">IF(G214=3,(AI214*11%),IF(G214=4,(AI214*12%),IF(G214=2,(AI214*12%),IF(G214=1,(AI214*10%),0))))</f>
        <v>46071.921296296299</v>
      </c>
      <c r="AK214" s="14">
        <f>IF(I214=0,0,IF(G214=5,0,(AC214+AF214/12)*12*BASE!$C$5))</f>
        <v>453900.00000000006</v>
      </c>
      <c r="AL214" s="14">
        <f>IF(I214=0,0,IF(G214=5,0,(AC214+AF214/12)*12*BASE!$C$7))</f>
        <v>640800</v>
      </c>
      <c r="AM214" s="14">
        <f>IF(I214=0,0,IF(G214=5,0,(AC214+AF214/12)*12*BASE!$C$9))</f>
        <v>27874.799999999999</v>
      </c>
      <c r="AN214" s="412">
        <f>IF(I214=0,0,IF(G214=5,0,(AD214+AF214+AG214)*BASE!$C$10))</f>
        <v>452342.5</v>
      </c>
      <c r="AO214" s="837">
        <f t="shared" si="51"/>
        <v>7484688.6472222228</v>
      </c>
      <c r="AP214" s="677">
        <f t="shared" si="47"/>
        <v>1.5719182289661289</v>
      </c>
      <c r="AQ214" s="1148"/>
      <c r="AR214" s="1149"/>
      <c r="CG214" s="179"/>
      <c r="CH214" s="181"/>
      <c r="CI214" s="182"/>
    </row>
    <row r="215" spans="1:87" ht="13.5" customHeight="1" outlineLevel="1" x14ac:dyDescent="0.2">
      <c r="A215" s="368" t="s">
        <v>581</v>
      </c>
      <c r="B215" s="477" t="s">
        <v>1164</v>
      </c>
      <c r="C215" s="427"/>
      <c r="D215" s="431">
        <f>IF(E215="","",VLOOKUP(E215,BASE!$F$20:$H$25,2,FALSE))</f>
        <v>2</v>
      </c>
      <c r="E215" s="399" t="s">
        <v>541</v>
      </c>
      <c r="F215" s="436" t="s">
        <v>258</v>
      </c>
      <c r="G215" s="437">
        <f>IF(F215="","",VLOOKUP(F215,BASE!$B$15:$C$18,2,FALSE))</f>
        <v>2</v>
      </c>
      <c r="H215" s="355">
        <v>15</v>
      </c>
      <c r="I215" s="423">
        <f t="shared" ref="I215:I277" si="54">+H215</f>
        <v>15</v>
      </c>
      <c r="J215" s="399">
        <v>8</v>
      </c>
      <c r="K215" s="399">
        <v>4</v>
      </c>
      <c r="L215" s="399">
        <v>2</v>
      </c>
      <c r="M215" s="399">
        <v>1</v>
      </c>
      <c r="N215" s="354"/>
      <c r="O215" s="355">
        <f t="shared" ref="O215:O277" si="55">+J215+K215+L215+M215+N215</f>
        <v>15</v>
      </c>
      <c r="P215" s="354"/>
      <c r="Q215" s="354"/>
      <c r="R215" s="355">
        <f t="shared" ref="R215:R277" si="56">+P215+Q215</f>
        <v>0</v>
      </c>
      <c r="S215" s="354"/>
      <c r="T215" s="354"/>
      <c r="U215" s="354"/>
      <c r="V215" s="355">
        <f t="shared" ref="V215:V277" si="57">+S215+T215+U215</f>
        <v>0</v>
      </c>
      <c r="W215" s="354"/>
      <c r="X215" s="477">
        <f t="shared" ref="X215:X277" si="58">+O215+R215+V215+W215</f>
        <v>15</v>
      </c>
      <c r="Y215" s="19" t="str">
        <f t="shared" ref="Y215:Y277" si="59">IF(I215-X215=0,"OK ",IF(I215-X215&gt;0,"AJUSTE",IF(I215-X215&lt;0,"AJUSTE")))</f>
        <v xml:space="preserve">OK </v>
      </c>
      <c r="Z215" s="404" t="str">
        <f t="shared" ref="Z215:Z277" si="60">IF(H215-I215=0," ",IF(H215-I215&gt;0,"JUSTIFICAR","AJUSTE"))</f>
        <v xml:space="preserve"> </v>
      </c>
      <c r="AA215" s="478">
        <f>ROUND((IF(D215=1,(BASE!$G$51*I215),IF(D215=2,(BASE!$G$52*I215),IF(D215=3,(BASE!$G$53*I215),IF(D215=4,(BASE!$G$54*I215),IF(D215=5,(BASE!$G$55*I215),IF(D215=6,(BASE!$G$56*I215),0)))))))/1000,0)*1000</f>
        <v>3006000</v>
      </c>
      <c r="AB215" s="408">
        <v>0</v>
      </c>
      <c r="AC215" s="478">
        <f t="shared" ref="AC215:AC277" si="61">AA215+AB215</f>
        <v>3006000</v>
      </c>
      <c r="AD215" s="478">
        <f>IF(G215=3,AC215*BASE!$I$62,IF(G215=1,AC215*(BASE!$I$61),IF(G215=2,AC215*(BASE!$I$63),AC215*BASE!$I$64)))</f>
        <v>34168200</v>
      </c>
      <c r="AE215" s="411">
        <f>IF(I215&lt;10,0,IF(AC215&lt;=BASE!$C$3*2,BASE!$C$2,0)*(AD215/AC215))</f>
        <v>0</v>
      </c>
      <c r="AF215" s="13">
        <v>0</v>
      </c>
      <c r="AG215" s="14">
        <f t="shared" si="52"/>
        <v>1898233.3333333333</v>
      </c>
      <c r="AH215" s="14">
        <f t="shared" ref="AH215:AH240" si="62">ROUND((AD215/12)+(AE215/12)+(AF215/12)+(AG215/12),0)</f>
        <v>3005536</v>
      </c>
      <c r="AI215" s="14">
        <f t="shared" ref="AI215:AI240" si="63">((AD215/12)+(AE215/12)+(AF215/12)+(AG215/12))</f>
        <v>3005536.111111111</v>
      </c>
      <c r="AJ215" s="14">
        <f t="shared" si="53"/>
        <v>360664.33333333331</v>
      </c>
      <c r="AK215" s="14">
        <f>IF(I215=0,0,IF(G215=5,0,(AC215+AF215/12)*12*BASE!$C$5))</f>
        <v>3066120</v>
      </c>
      <c r="AL215" s="14">
        <f>IF(I215=0,0,IF(G215=5,0,(AC215+AF215/12)*12*BASE!$C$7))</f>
        <v>4328640</v>
      </c>
      <c r="AM215" s="14">
        <f>IF(I215=0,0,IF(G215=5,0,(AC215+AF215/12)*12*BASE!$C$9))</f>
        <v>188295.84</v>
      </c>
      <c r="AN215" s="412">
        <f>IF(I215=0,0,IF(G215=5,0,(AD215+AF215+AG215)*BASE!$C$10))</f>
        <v>3245979</v>
      </c>
      <c r="AO215" s="837">
        <f t="shared" si="51"/>
        <v>53267204.617777787</v>
      </c>
      <c r="AP215" s="677">
        <f t="shared" ref="AP215:AP305" si="64">IFERROR(AO215/AD215,"Sin datos")</f>
        <v>1.5589701716150628</v>
      </c>
      <c r="AQ215" s="1148"/>
      <c r="AR215" s="1149"/>
      <c r="CG215" s="179"/>
      <c r="CH215" s="181"/>
      <c r="CI215" s="182"/>
    </row>
    <row r="216" spans="1:87" ht="13.5" customHeight="1" outlineLevel="1" x14ac:dyDescent="0.2">
      <c r="A216" s="368" t="s">
        <v>581</v>
      </c>
      <c r="B216" s="477" t="s">
        <v>1165</v>
      </c>
      <c r="C216" s="427"/>
      <c r="D216" s="431">
        <f>IF(E216="","",VLOOKUP(E216,BASE!$F$20:$H$25,2,FALSE))</f>
        <v>3</v>
      </c>
      <c r="E216" s="399" t="s">
        <v>540</v>
      </c>
      <c r="F216" s="436" t="s">
        <v>546</v>
      </c>
      <c r="G216" s="437">
        <f>IF(F216="","",VLOOKUP(F216,BASE!$B$15:$C$18,2,FALSE))</f>
        <v>3</v>
      </c>
      <c r="H216" s="355">
        <v>20</v>
      </c>
      <c r="I216" s="423">
        <v>0</v>
      </c>
      <c r="J216" s="399"/>
      <c r="K216" s="399"/>
      <c r="L216" s="399"/>
      <c r="M216" s="399"/>
      <c r="N216" s="399"/>
      <c r="O216" s="355">
        <f t="shared" si="55"/>
        <v>0</v>
      </c>
      <c r="P216" s="354"/>
      <c r="Q216" s="354"/>
      <c r="R216" s="355">
        <f t="shared" si="56"/>
        <v>0</v>
      </c>
      <c r="S216" s="354"/>
      <c r="T216" s="354"/>
      <c r="U216" s="354"/>
      <c r="V216" s="355">
        <f t="shared" si="57"/>
        <v>0</v>
      </c>
      <c r="W216" s="354"/>
      <c r="X216" s="477">
        <f t="shared" si="58"/>
        <v>0</v>
      </c>
      <c r="Y216" s="19" t="str">
        <f t="shared" si="59"/>
        <v xml:space="preserve">OK </v>
      </c>
      <c r="Z216" s="404" t="str">
        <f t="shared" si="60"/>
        <v>JUSTIFICAR</v>
      </c>
      <c r="AA216" s="478">
        <f>ROUND((IF(D216=1,(BASE!$G$51*I216),IF(D216=2,(BASE!$G$52*I216),IF(D216=3,(BASE!$G$53*I216),IF(D216=4,(BASE!$G$54*I216),IF(D216=5,(BASE!$G$55*I216),IF(D216=6,(BASE!$G$56*I216),0)))))))/1000,0)*1000</f>
        <v>0</v>
      </c>
      <c r="AB216" s="408">
        <v>0</v>
      </c>
      <c r="AC216" s="478">
        <f t="shared" si="61"/>
        <v>0</v>
      </c>
      <c r="AD216" s="478">
        <f>IF(G216=3,AC216*BASE!$I$62,IF(G216=1,AC216*(BASE!$I$61),IF(G216=2,AC216*(BASE!$I$63),AC216*BASE!$I$64)))</f>
        <v>0</v>
      </c>
      <c r="AE216" s="411">
        <f>IF(I216&lt;10,0,IF(AC216&lt;=BASE!$C$3*2,BASE!$C$2,0)*(AD216/AC216))</f>
        <v>0</v>
      </c>
      <c r="AF216" s="13">
        <v>0</v>
      </c>
      <c r="AG216" s="14">
        <f t="shared" si="52"/>
        <v>0</v>
      </c>
      <c r="AH216" s="14">
        <f t="shared" si="62"/>
        <v>0</v>
      </c>
      <c r="AI216" s="14">
        <f t="shared" si="63"/>
        <v>0</v>
      </c>
      <c r="AJ216" s="14">
        <f t="shared" si="53"/>
        <v>0</v>
      </c>
      <c r="AK216" s="14">
        <f>IF(I216=0,0,IF(G216=5,0,(AC216+AF216/12)*12*BASE!$C$5))</f>
        <v>0</v>
      </c>
      <c r="AL216" s="14">
        <f>IF(I216=0,0,IF(G216=5,0,(AC216+AF216/12)*12*BASE!$C$7))</f>
        <v>0</v>
      </c>
      <c r="AM216" s="14">
        <f>IF(I216=0,0,IF(G216=5,0,(AC216+AF216/12)*12*BASE!$C$9))</f>
        <v>0</v>
      </c>
      <c r="AN216" s="412">
        <f>IF(I216=0,0,IF(G216=5,0,(AD216+AF216+AG216)*BASE!$C$10))</f>
        <v>0</v>
      </c>
      <c r="AO216" s="837">
        <f t="shared" si="51"/>
        <v>0</v>
      </c>
      <c r="AP216" s="677" t="str">
        <f t="shared" si="64"/>
        <v>Sin datos</v>
      </c>
      <c r="AQ216" s="1148"/>
      <c r="AR216" s="1149"/>
      <c r="CG216" s="179"/>
      <c r="CH216" s="181"/>
      <c r="CI216" s="182"/>
    </row>
    <row r="217" spans="1:87" ht="13.5" customHeight="1" outlineLevel="1" x14ac:dyDescent="0.2">
      <c r="A217" s="368" t="s">
        <v>581</v>
      </c>
      <c r="B217" s="477" t="s">
        <v>1166</v>
      </c>
      <c r="C217" s="427"/>
      <c r="D217" s="431">
        <f>IF(E217="","",VLOOKUP(E217,BASE!$F$20:$H$25,2,FALSE))</f>
        <v>2</v>
      </c>
      <c r="E217" s="399" t="s">
        <v>541</v>
      </c>
      <c r="F217" s="436" t="s">
        <v>258</v>
      </c>
      <c r="G217" s="437">
        <f>IF(F217="","",VLOOKUP(F217,BASE!$B$15:$C$18,2,FALSE))</f>
        <v>2</v>
      </c>
      <c r="H217" s="355">
        <v>40</v>
      </c>
      <c r="I217" s="423">
        <f t="shared" si="54"/>
        <v>40</v>
      </c>
      <c r="J217" s="354"/>
      <c r="K217" s="354"/>
      <c r="L217" s="354"/>
      <c r="M217" s="354"/>
      <c r="N217" s="354"/>
      <c r="O217" s="355">
        <f t="shared" si="55"/>
        <v>0</v>
      </c>
      <c r="P217" s="354"/>
      <c r="Q217" s="354"/>
      <c r="R217" s="355">
        <f t="shared" si="56"/>
        <v>0</v>
      </c>
      <c r="S217" s="354"/>
      <c r="T217" s="354"/>
      <c r="U217" s="354"/>
      <c r="V217" s="355">
        <f t="shared" si="57"/>
        <v>0</v>
      </c>
      <c r="W217" s="354">
        <v>40</v>
      </c>
      <c r="X217" s="477">
        <f t="shared" si="58"/>
        <v>40</v>
      </c>
      <c r="Y217" s="19" t="str">
        <f t="shared" si="59"/>
        <v xml:space="preserve">OK </v>
      </c>
      <c r="Z217" s="404" t="str">
        <f t="shared" si="60"/>
        <v xml:space="preserve"> </v>
      </c>
      <c r="AA217" s="478">
        <v>12365000</v>
      </c>
      <c r="AB217" s="408">
        <v>0</v>
      </c>
      <c r="AC217" s="478">
        <f t="shared" si="61"/>
        <v>12365000</v>
      </c>
      <c r="AD217" s="478">
        <f>IF(G217=3,AC217*BASE!$I$62,IF(G217=1,AC217*(BASE!$I$61),IF(G217=2,AC217*(BASE!$I$63),AC217*BASE!$I$64)))</f>
        <v>140548833.33333334</v>
      </c>
      <c r="AE217" s="411">
        <f>IF(I217&lt;10,0,IF(AC217&lt;=BASE!$C$3*2,BASE!$C$2,0)*(AD217/AC217))</f>
        <v>0</v>
      </c>
      <c r="AF217" s="13">
        <v>0</v>
      </c>
      <c r="AG217" s="14">
        <f t="shared" si="52"/>
        <v>7808268.5185185187</v>
      </c>
      <c r="AH217" s="14">
        <f t="shared" si="62"/>
        <v>12363092</v>
      </c>
      <c r="AI217" s="14">
        <f t="shared" si="63"/>
        <v>12363091.820987655</v>
      </c>
      <c r="AJ217" s="14">
        <f t="shared" si="53"/>
        <v>1483571.0185185184</v>
      </c>
      <c r="AK217" s="14">
        <f>IF(I217=0,0,IF(G217=5,0,(AC217+AF217/12)*12*BASE!$C$5))</f>
        <v>12612300</v>
      </c>
      <c r="AL217" s="14">
        <v>0</v>
      </c>
      <c r="AM217" s="14">
        <f>IF(I217=0,0,IF(G217=5,0,(AC217+AF217/12)*12*BASE!$C$9))</f>
        <v>774543.6</v>
      </c>
      <c r="AN217" s="412">
        <f>IF(I217=0,0,IF(G217=5,0,(AD217+AF217+AG217)*BASE!$C$10))</f>
        <v>13352139.166666666</v>
      </c>
      <c r="AO217" s="837">
        <f t="shared" si="51"/>
        <v>201305839.45802465</v>
      </c>
      <c r="AP217" s="677">
        <f t="shared" si="64"/>
        <v>1.4322839591318175</v>
      </c>
      <c r="AQ217" s="1148"/>
      <c r="AR217" s="1149"/>
      <c r="CG217" s="179"/>
      <c r="CH217" s="181"/>
      <c r="CI217" s="182"/>
    </row>
    <row r="218" spans="1:87" ht="13.5" customHeight="1" outlineLevel="1" x14ac:dyDescent="0.2">
      <c r="A218" s="368" t="s">
        <v>581</v>
      </c>
      <c r="B218" s="477" t="s">
        <v>1167</v>
      </c>
      <c r="C218" s="427"/>
      <c r="D218" s="431">
        <f>IF(E218="","",VLOOKUP(E218,BASE!$F$20:$H$25,2,FALSE))</f>
        <v>2</v>
      </c>
      <c r="E218" s="399" t="s">
        <v>541</v>
      </c>
      <c r="F218" s="436" t="s">
        <v>258</v>
      </c>
      <c r="G218" s="437">
        <f>IF(F218="","",VLOOKUP(F218,BASE!$B$15:$C$18,2,FALSE))</f>
        <v>2</v>
      </c>
      <c r="H218" s="355">
        <v>40</v>
      </c>
      <c r="I218" s="423">
        <f t="shared" si="54"/>
        <v>40</v>
      </c>
      <c r="J218" s="399">
        <v>12</v>
      </c>
      <c r="K218" s="354">
        <v>4</v>
      </c>
      <c r="L218" s="399">
        <v>2</v>
      </c>
      <c r="M218" s="399">
        <v>2</v>
      </c>
      <c r="N218" s="354"/>
      <c r="O218" s="355">
        <f t="shared" si="55"/>
        <v>20</v>
      </c>
      <c r="P218" s="354"/>
      <c r="Q218" s="354">
        <v>10</v>
      </c>
      <c r="R218" s="355">
        <f t="shared" si="56"/>
        <v>10</v>
      </c>
      <c r="S218" s="354"/>
      <c r="T218" s="354">
        <v>8</v>
      </c>
      <c r="U218" s="354"/>
      <c r="V218" s="355">
        <f t="shared" si="57"/>
        <v>8</v>
      </c>
      <c r="W218" s="354">
        <v>2</v>
      </c>
      <c r="X218" s="477">
        <f t="shared" si="58"/>
        <v>40</v>
      </c>
      <c r="Y218" s="19" t="str">
        <f t="shared" si="59"/>
        <v xml:space="preserve">OK </v>
      </c>
      <c r="Z218" s="404" t="str">
        <f t="shared" si="60"/>
        <v xml:space="preserve"> </v>
      </c>
      <c r="AA218" s="478">
        <f>ROUND((IF(D218=1,(BASE!$G$51*I218),IF(D218=2,(BASE!$G$52*I218),IF(D218=3,(BASE!$G$53*I218),IF(D218=4,(BASE!$G$54*I218),IF(D218=5,(BASE!$G$55*I218),IF(D218=6,(BASE!$G$56*I218),0)))))))/1000,0)*1000</f>
        <v>8016000</v>
      </c>
      <c r="AB218" s="408">
        <v>388000</v>
      </c>
      <c r="AC218" s="478">
        <f t="shared" si="61"/>
        <v>8404000</v>
      </c>
      <c r="AD218" s="478">
        <f>IF(G218=3,AC218*BASE!$I$62,IF(G218=1,AC218*(BASE!$I$61),IF(G218=2,AC218*(BASE!$I$63),AC218*BASE!$I$64)))</f>
        <v>95525466.666666672</v>
      </c>
      <c r="AE218" s="411">
        <f>IF(I218&lt;10,0,IF(AC218&lt;=BASE!$C$3*2,BASE!$C$2,0)*(AD218/AC218))</f>
        <v>0</v>
      </c>
      <c r="AF218" s="13">
        <v>0</v>
      </c>
      <c r="AG218" s="14">
        <f t="shared" si="52"/>
        <v>5306970.3703703703</v>
      </c>
      <c r="AH218" s="14">
        <f t="shared" si="62"/>
        <v>8402703</v>
      </c>
      <c r="AI218" s="14">
        <f t="shared" si="63"/>
        <v>8402703.0864197537</v>
      </c>
      <c r="AJ218" s="14">
        <f t="shared" si="53"/>
        <v>1008324.3703703705</v>
      </c>
      <c r="AK218" s="14">
        <f>IF(I218=0,0,IF(G218=5,0,(AC218+AF218/12)*12*BASE!$C$5))</f>
        <v>8572080</v>
      </c>
      <c r="AL218" s="14">
        <f>IF(I218=0,0,IF(G218=5,0,(AC218+AF218/12)*12*BASE!$C$7))</f>
        <v>12101760</v>
      </c>
      <c r="AM218" s="14">
        <f>IF(I218=0,0,IF(G218=5,0,(AC218+AF218/12)*12*BASE!$C$9))</f>
        <v>526426.55999999994</v>
      </c>
      <c r="AN218" s="412">
        <f>IF(I218=0,0,IF(G218=5,0,(AD218+AF218+AG218)*BASE!$C$10))</f>
        <v>9074919.333333334</v>
      </c>
      <c r="AO218" s="837">
        <f t="shared" si="51"/>
        <v>148921353.38716051</v>
      </c>
      <c r="AP218" s="677">
        <f t="shared" si="64"/>
        <v>1.5589701739622714</v>
      </c>
      <c r="AQ218" s="1148"/>
      <c r="AR218" s="1149"/>
      <c r="CG218" s="179"/>
      <c r="CH218" s="181"/>
      <c r="CI218" s="182"/>
    </row>
    <row r="219" spans="1:87" ht="13.5" customHeight="1" outlineLevel="1" x14ac:dyDescent="0.2">
      <c r="A219" s="368" t="s">
        <v>581</v>
      </c>
      <c r="B219" s="477" t="s">
        <v>1168</v>
      </c>
      <c r="C219" s="427"/>
      <c r="D219" s="431">
        <f>IF(E219="","",VLOOKUP(E219,BASE!$F$20:$H$25,2,FALSE))</f>
        <v>5</v>
      </c>
      <c r="E219" s="399" t="s">
        <v>538</v>
      </c>
      <c r="F219" s="436" t="s">
        <v>546</v>
      </c>
      <c r="G219" s="437">
        <f>IF(F219="","",VLOOKUP(F219,BASE!$B$15:$C$18,2,FALSE))</f>
        <v>3</v>
      </c>
      <c r="H219" s="355">
        <v>4</v>
      </c>
      <c r="I219" s="423">
        <f t="shared" si="54"/>
        <v>4</v>
      </c>
      <c r="J219" s="354">
        <v>1</v>
      </c>
      <c r="K219" s="354">
        <v>1</v>
      </c>
      <c r="L219" s="399">
        <v>1</v>
      </c>
      <c r="M219" s="354"/>
      <c r="N219" s="354"/>
      <c r="O219" s="355">
        <f t="shared" si="55"/>
        <v>3</v>
      </c>
      <c r="P219" s="354"/>
      <c r="Q219" s="354"/>
      <c r="R219" s="355">
        <f t="shared" si="56"/>
        <v>0</v>
      </c>
      <c r="S219" s="354"/>
      <c r="T219" s="354"/>
      <c r="U219" s="354"/>
      <c r="V219" s="355">
        <f t="shared" si="57"/>
        <v>0</v>
      </c>
      <c r="W219" s="354">
        <v>1</v>
      </c>
      <c r="X219" s="477">
        <f t="shared" si="58"/>
        <v>4</v>
      </c>
      <c r="Y219" s="19" t="str">
        <f t="shared" si="59"/>
        <v xml:space="preserve">OK </v>
      </c>
      <c r="Z219" s="404" t="str">
        <f t="shared" si="60"/>
        <v xml:space="preserve"> </v>
      </c>
      <c r="AA219" s="478">
        <f>ROUND((IF(D219=1,(BASE!$G$51*I219),IF(D219=2,(BASE!$G$52*I219),IF(D219=3,(BASE!$G$53*I219),IF(D219=4,(BASE!$G$54*I219),IF(D219=5,(BASE!$G$55*I219),IF(D219=6,(BASE!$G$56*I219),0)))))))/1000,0)*1000</f>
        <v>356000</v>
      </c>
      <c r="AB219" s="408">
        <v>0</v>
      </c>
      <c r="AC219" s="478">
        <f t="shared" si="61"/>
        <v>356000</v>
      </c>
      <c r="AD219" s="478">
        <f>IF(G219=3,AC219*BASE!$I$62,IF(G219=1,AC219*(BASE!$I$61),IF(G219=2,AC219*(BASE!$I$63),AC219*BASE!$I$64)))</f>
        <v>3809199.9999999995</v>
      </c>
      <c r="AE219" s="411">
        <f>IF(I219&lt;10,0,IF(AC219&lt;=BASE!$C$3*2,BASE!$C$2,0)*(AD219/AC219))</f>
        <v>0</v>
      </c>
      <c r="AF219" s="13">
        <v>0</v>
      </c>
      <c r="AG219" s="14">
        <f t="shared" si="52"/>
        <v>211622.22222222222</v>
      </c>
      <c r="AH219" s="14">
        <f t="shared" si="62"/>
        <v>335069</v>
      </c>
      <c r="AI219" s="14">
        <f t="shared" si="63"/>
        <v>335068.51851851848</v>
      </c>
      <c r="AJ219" s="14">
        <f t="shared" si="53"/>
        <v>36857.537037037036</v>
      </c>
      <c r="AK219" s="14">
        <f>IF(I219=0,0,IF(G219=5,0,(AC219+AF219/12)*12*BASE!$C$5))</f>
        <v>363120</v>
      </c>
      <c r="AL219" s="14">
        <f>IF(I219=0,0,IF(G219=5,0,(AC219+AF219/12)*12*BASE!$C$7))</f>
        <v>512640</v>
      </c>
      <c r="AM219" s="14">
        <f>IF(I219=0,0,IF(G219=5,0,(AC219+AF219/12)*12*BASE!$C$9))</f>
        <v>22299.84</v>
      </c>
      <c r="AN219" s="412">
        <f>IF(I219=0,0,IF(G219=5,0,(AD219+AF219+AG219)*BASE!$C$10))</f>
        <v>361873.99999999994</v>
      </c>
      <c r="AO219" s="837">
        <f t="shared" si="51"/>
        <v>5987751.1177777778</v>
      </c>
      <c r="AP219" s="677">
        <f t="shared" si="64"/>
        <v>1.5719182814705919</v>
      </c>
      <c r="AQ219" s="1150" t="s">
        <v>1311</v>
      </c>
      <c r="AR219" s="1149"/>
      <c r="CG219" s="179"/>
      <c r="CH219" s="181"/>
      <c r="CI219" s="182"/>
    </row>
    <row r="220" spans="1:87" ht="13.5" customHeight="1" outlineLevel="1" x14ac:dyDescent="0.2">
      <c r="A220" s="368" t="s">
        <v>581</v>
      </c>
      <c r="B220" s="477" t="s">
        <v>1169</v>
      </c>
      <c r="C220" s="427"/>
      <c r="D220" s="431">
        <f>IF(E220="","",VLOOKUP(E220,BASE!$F$20:$H$25,2,FALSE))</f>
        <v>5</v>
      </c>
      <c r="E220" s="399" t="s">
        <v>538</v>
      </c>
      <c r="F220" s="436" t="s">
        <v>261</v>
      </c>
      <c r="G220" s="437">
        <f>IF(F220="","",VLOOKUP(F220,BASE!$B$15:$C$18,2,FALSE))</f>
        <v>1</v>
      </c>
      <c r="H220" s="355">
        <v>5</v>
      </c>
      <c r="I220" s="423">
        <f t="shared" si="54"/>
        <v>5</v>
      </c>
      <c r="J220" s="399">
        <v>4</v>
      </c>
      <c r="K220" s="354"/>
      <c r="L220" s="354"/>
      <c r="M220" s="354"/>
      <c r="N220" s="354"/>
      <c r="O220" s="355">
        <f t="shared" si="55"/>
        <v>4</v>
      </c>
      <c r="P220" s="354"/>
      <c r="Q220" s="354"/>
      <c r="R220" s="355">
        <f t="shared" si="56"/>
        <v>0</v>
      </c>
      <c r="S220" s="354">
        <v>1</v>
      </c>
      <c r="T220" s="354"/>
      <c r="U220" s="354"/>
      <c r="V220" s="355">
        <f t="shared" si="57"/>
        <v>1</v>
      </c>
      <c r="W220" s="354"/>
      <c r="X220" s="477">
        <f t="shared" si="58"/>
        <v>5</v>
      </c>
      <c r="Y220" s="19" t="str">
        <f t="shared" si="59"/>
        <v xml:space="preserve">OK </v>
      </c>
      <c r="Z220" s="404" t="str">
        <f t="shared" si="60"/>
        <v xml:space="preserve"> </v>
      </c>
      <c r="AA220" s="478">
        <f>ROUND((IF(D220=1,(BASE!$G$51*I220),IF(D220=2,(BASE!$G$52*I220),IF(D220=3,(BASE!$G$53*I220),IF(D220=4,(BASE!$G$54*I220),IF(D220=5,(BASE!$G$55*I220),IF(D220=6,(BASE!$G$56*I220),0)))))))/1000,0)*1000</f>
        <v>445000</v>
      </c>
      <c r="AB220" s="408">
        <v>0</v>
      </c>
      <c r="AC220" s="478">
        <f t="shared" si="61"/>
        <v>445000</v>
      </c>
      <c r="AD220" s="478">
        <f>IF(G220=3,AC220*BASE!$I$62,IF(G220=1,AC220*(BASE!$I$61),IF(G220=2,AC220*(BASE!$I$63),AC220*BASE!$I$64)))</f>
        <v>4390666.666666667</v>
      </c>
      <c r="AE220" s="411">
        <f>IF(I220&lt;10,0,IF(AC220&lt;=BASE!$C$3*2,BASE!$C$2,0)*(AD220/AC220))</f>
        <v>0</v>
      </c>
      <c r="AF220" s="13">
        <v>0</v>
      </c>
      <c r="AG220" s="14">
        <f t="shared" si="52"/>
        <v>243925.92592592596</v>
      </c>
      <c r="AH220" s="14">
        <f t="shared" si="62"/>
        <v>386216</v>
      </c>
      <c r="AI220" s="14">
        <f t="shared" si="63"/>
        <v>386216.04938271607</v>
      </c>
      <c r="AJ220" s="14">
        <f t="shared" si="53"/>
        <v>38621.604938271608</v>
      </c>
      <c r="AK220" s="14">
        <f>IF(I220=0,0,IF(G220=5,0,(AC220+AF220/12)*12*BASE!$C$5))</f>
        <v>453900.00000000006</v>
      </c>
      <c r="AL220" s="14">
        <f>IF(I220=0,0,IF(G220=5,0,(AC220+AF220/12)*12*BASE!$C$7))</f>
        <v>640800</v>
      </c>
      <c r="AM220" s="14">
        <f>IF(I220=0,0,IF(G220=5,0,(AC220+AF220/12)*12*BASE!$C$9))</f>
        <v>27874.799999999999</v>
      </c>
      <c r="AN220" s="412">
        <f>IF(I220=0,0,IF(G220=5,0,(AD220+AF220+AG220)*BASE!$C$10))</f>
        <v>417113.33333333337</v>
      </c>
      <c r="AO220" s="837">
        <f t="shared" si="51"/>
        <v>6985334.380246914</v>
      </c>
      <c r="AP220" s="677">
        <f t="shared" si="64"/>
        <v>1.5909507395035485</v>
      </c>
      <c r="AQ220" s="1148"/>
      <c r="AR220" s="1149"/>
      <c r="CG220" s="179"/>
      <c r="CH220" s="181"/>
      <c r="CI220" s="182"/>
    </row>
    <row r="221" spans="1:87" ht="13.5" customHeight="1" outlineLevel="1" x14ac:dyDescent="0.2">
      <c r="A221" s="368" t="s">
        <v>581</v>
      </c>
      <c r="B221" s="477" t="s">
        <v>1170</v>
      </c>
      <c r="C221" s="427"/>
      <c r="D221" s="431">
        <f>IF(E221="","",VLOOKUP(E221,BASE!$F$20:$H$25,2,FALSE))</f>
        <v>4</v>
      </c>
      <c r="E221" s="399" t="s">
        <v>539</v>
      </c>
      <c r="F221" s="436" t="s">
        <v>546</v>
      </c>
      <c r="G221" s="437">
        <f>IF(F221="","",VLOOKUP(F221,BASE!$B$15:$C$18,2,FALSE))</f>
        <v>3</v>
      </c>
      <c r="H221" s="355">
        <v>15</v>
      </c>
      <c r="I221" s="423">
        <f t="shared" si="54"/>
        <v>15</v>
      </c>
      <c r="J221" s="399">
        <v>5</v>
      </c>
      <c r="K221" s="354"/>
      <c r="L221" s="354"/>
      <c r="M221" s="354"/>
      <c r="N221" s="354"/>
      <c r="O221" s="355">
        <f t="shared" si="55"/>
        <v>5</v>
      </c>
      <c r="P221" s="354"/>
      <c r="Q221" s="354"/>
      <c r="R221" s="355">
        <f t="shared" si="56"/>
        <v>0</v>
      </c>
      <c r="S221" s="354">
        <v>10</v>
      </c>
      <c r="T221" s="354"/>
      <c r="U221" s="354"/>
      <c r="V221" s="355">
        <f t="shared" si="57"/>
        <v>10</v>
      </c>
      <c r="W221" s="354"/>
      <c r="X221" s="477">
        <f t="shared" si="58"/>
        <v>15</v>
      </c>
      <c r="Y221" s="19" t="str">
        <f t="shared" si="59"/>
        <v xml:space="preserve">OK </v>
      </c>
      <c r="Z221" s="404" t="str">
        <f t="shared" si="60"/>
        <v xml:space="preserve"> </v>
      </c>
      <c r="AA221" s="478">
        <f>ROUND((IF(D221=1,(BASE!$G$51*I221),IF(D221=2,(BASE!$G$52*I221),IF(D221=3,(BASE!$G$53*I221),IF(D221=4,(BASE!$G$54*I221),IF(D221=5,(BASE!$G$55*I221),IF(D221=6,(BASE!$G$56*I221),0)))))))/1000,0)*1000</f>
        <v>1671000</v>
      </c>
      <c r="AB221" s="408">
        <v>0</v>
      </c>
      <c r="AC221" s="478">
        <f t="shared" si="61"/>
        <v>1671000</v>
      </c>
      <c r="AD221" s="478">
        <f>IF(G221=3,AC221*BASE!$I$62,IF(G221=1,AC221*(BASE!$I$61),IF(G221=2,AC221*(BASE!$I$63),AC221*BASE!$I$64)))</f>
        <v>17879700</v>
      </c>
      <c r="AE221" s="411">
        <f>IF(I221&lt;10,0,IF(AC221&lt;=BASE!$C$3*2,BASE!$C$2,0)*(AD221/AC221))</f>
        <v>0</v>
      </c>
      <c r="AF221" s="13">
        <v>0</v>
      </c>
      <c r="AG221" s="14">
        <f t="shared" si="52"/>
        <v>993316.66666666663</v>
      </c>
      <c r="AH221" s="14">
        <f t="shared" si="62"/>
        <v>1572751</v>
      </c>
      <c r="AI221" s="14">
        <f t="shared" si="63"/>
        <v>1572751.388888889</v>
      </c>
      <c r="AJ221" s="14">
        <f t="shared" si="53"/>
        <v>173002.65277777778</v>
      </c>
      <c r="AK221" s="14">
        <f>IF(I221=0,0,IF(G221=5,0,(AC221+AF221/12)*12*BASE!$C$5))</f>
        <v>1704420.0000000002</v>
      </c>
      <c r="AL221" s="14">
        <f>IF(I221=0,0,IF(G221=5,0,(AC221+AF221/12)*12*BASE!$C$7))</f>
        <v>2406240</v>
      </c>
      <c r="AM221" s="14">
        <f>IF(I221=0,0,IF(G221=5,0,(AC221+AF221/12)*12*BASE!$C$9))</f>
        <v>104671.44</v>
      </c>
      <c r="AN221" s="412">
        <f>IF(I221=0,0,IF(G221=5,0,(AD221+AF221+AG221)*BASE!$C$10))</f>
        <v>1698571.5</v>
      </c>
      <c r="AO221" s="837">
        <f t="shared" si="51"/>
        <v>28105424.648333333</v>
      </c>
      <c r="AP221" s="677">
        <f t="shared" si="64"/>
        <v>1.571918133320656</v>
      </c>
      <c r="AQ221" s="1148"/>
      <c r="AR221" s="1149"/>
      <c r="CG221" s="179"/>
      <c r="CH221" s="181"/>
      <c r="CI221" s="182"/>
    </row>
    <row r="222" spans="1:87" ht="13.5" customHeight="1" outlineLevel="1" x14ac:dyDescent="0.2">
      <c r="A222" s="368" t="s">
        <v>581</v>
      </c>
      <c r="B222" s="477" t="s">
        <v>1171</v>
      </c>
      <c r="C222" s="427"/>
      <c r="D222" s="431">
        <f>IF(E222="","",VLOOKUP(E222,BASE!$F$20:$H$25,2,FALSE))</f>
        <v>2</v>
      </c>
      <c r="E222" s="399" t="s">
        <v>541</v>
      </c>
      <c r="F222" s="436" t="s">
        <v>546</v>
      </c>
      <c r="G222" s="437">
        <f>IF(F222="","",VLOOKUP(F222,BASE!$B$15:$C$18,2,FALSE))</f>
        <v>3</v>
      </c>
      <c r="H222" s="355">
        <v>35</v>
      </c>
      <c r="I222" s="423">
        <f t="shared" si="54"/>
        <v>35</v>
      </c>
      <c r="J222" s="399">
        <v>12</v>
      </c>
      <c r="K222" s="354">
        <v>5</v>
      </c>
      <c r="L222" s="399">
        <v>1</v>
      </c>
      <c r="M222" s="399">
        <v>2</v>
      </c>
      <c r="N222" s="399">
        <v>2</v>
      </c>
      <c r="O222" s="355">
        <f t="shared" si="55"/>
        <v>22</v>
      </c>
      <c r="P222" s="354"/>
      <c r="Q222" s="399">
        <v>13</v>
      </c>
      <c r="R222" s="355">
        <f t="shared" si="56"/>
        <v>13</v>
      </c>
      <c r="S222" s="354"/>
      <c r="T222" s="354"/>
      <c r="U222" s="354"/>
      <c r="V222" s="355">
        <f t="shared" si="57"/>
        <v>0</v>
      </c>
      <c r="W222" s="354"/>
      <c r="X222" s="477">
        <f t="shared" si="58"/>
        <v>35</v>
      </c>
      <c r="Y222" s="19" t="str">
        <f t="shared" si="59"/>
        <v xml:space="preserve">OK </v>
      </c>
      <c r="Z222" s="404" t="str">
        <f t="shared" si="60"/>
        <v xml:space="preserve"> </v>
      </c>
      <c r="AA222" s="478">
        <f>ROUND((IF(D222=1,(BASE!$G$51*I222),IF(D222=2,(BASE!$G$52*I222),IF(D222=3,(BASE!$G$53*I222),IF(D222=4,(BASE!$G$54*I222),IF(D222=5,(BASE!$G$55*I222),IF(D222=6,(BASE!$G$56*I222),0)))))))/1000,0)*1000</f>
        <v>7014000</v>
      </c>
      <c r="AB222" s="408">
        <v>0</v>
      </c>
      <c r="AC222" s="478">
        <f t="shared" si="61"/>
        <v>7014000</v>
      </c>
      <c r="AD222" s="478">
        <f>IF(G222=3,AC222*BASE!$I$62,IF(G222=1,AC222*(BASE!$I$61),IF(G222=2,AC222*(BASE!$I$63),AC222*BASE!$I$64)))</f>
        <v>75049800</v>
      </c>
      <c r="AE222" s="411">
        <f>IF(I222&lt;10,0,IF(AC222&lt;=BASE!$C$3*2,BASE!$C$2,0)*(AD222/AC222))</f>
        <v>0</v>
      </c>
      <c r="AF222" s="13">
        <v>0</v>
      </c>
      <c r="AG222" s="14">
        <f t="shared" si="52"/>
        <v>4169433.3333333335</v>
      </c>
      <c r="AH222" s="14">
        <f t="shared" si="62"/>
        <v>6601603</v>
      </c>
      <c r="AI222" s="14">
        <f t="shared" si="63"/>
        <v>6601602.777777778</v>
      </c>
      <c r="AJ222" s="14">
        <f t="shared" si="53"/>
        <v>726176.30555555562</v>
      </c>
      <c r="AK222" s="14">
        <f>IF(I222=0,0,IF(G222=5,0,(AC222+AF222/12)*12*BASE!$C$5))</f>
        <v>7154280.0000000009</v>
      </c>
      <c r="AL222" s="14">
        <v>0</v>
      </c>
      <c r="AM222" s="14">
        <f>IF(I222=0,0,IF(G222=5,0,(AC222+AF222/12)*12*BASE!$C$9))</f>
        <v>439356.95999999996</v>
      </c>
      <c r="AN222" s="412">
        <f>IF(I222=0,0,IF(G222=5,0,(AD222+AF222+AG222)*BASE!$C$10))</f>
        <v>7129730.9999999991</v>
      </c>
      <c r="AO222" s="837">
        <f t="shared" si="51"/>
        <v>107871983.37666665</v>
      </c>
      <c r="AP222" s="677">
        <f t="shared" si="64"/>
        <v>1.4373387187796189</v>
      </c>
      <c r="AQ222" s="1148"/>
      <c r="AR222" s="1149"/>
      <c r="CG222" s="179"/>
      <c r="CH222" s="181"/>
      <c r="CI222" s="182"/>
    </row>
    <row r="223" spans="1:87" ht="13.5" customHeight="1" outlineLevel="1" x14ac:dyDescent="0.2">
      <c r="A223" s="368" t="s">
        <v>581</v>
      </c>
      <c r="B223" s="477" t="s">
        <v>1172</v>
      </c>
      <c r="C223" s="427"/>
      <c r="D223" s="431">
        <f>IF(E223="","",VLOOKUP(E223,BASE!$F$20:$H$25,2,FALSE))</f>
        <v>5</v>
      </c>
      <c r="E223" s="399" t="s">
        <v>538</v>
      </c>
      <c r="F223" s="436" t="s">
        <v>546</v>
      </c>
      <c r="G223" s="437">
        <f>IF(F223="","",VLOOKUP(F223,BASE!$B$15:$C$18,2,FALSE))</f>
        <v>3</v>
      </c>
      <c r="H223" s="355">
        <v>4</v>
      </c>
      <c r="I223" s="423">
        <f t="shared" si="54"/>
        <v>4</v>
      </c>
      <c r="J223" s="354">
        <v>2</v>
      </c>
      <c r="K223" s="354">
        <v>1</v>
      </c>
      <c r="L223" s="399">
        <v>1</v>
      </c>
      <c r="M223" s="354"/>
      <c r="N223" s="354"/>
      <c r="O223" s="355">
        <f t="shared" si="55"/>
        <v>4</v>
      </c>
      <c r="P223" s="354"/>
      <c r="Q223" s="354"/>
      <c r="R223" s="355">
        <f t="shared" si="56"/>
        <v>0</v>
      </c>
      <c r="S223" s="354"/>
      <c r="T223" s="354"/>
      <c r="U223" s="354"/>
      <c r="V223" s="355">
        <f t="shared" si="57"/>
        <v>0</v>
      </c>
      <c r="W223" s="354"/>
      <c r="X223" s="477">
        <f t="shared" si="58"/>
        <v>4</v>
      </c>
      <c r="Y223" s="19" t="str">
        <f t="shared" si="59"/>
        <v xml:space="preserve">OK </v>
      </c>
      <c r="Z223" s="404" t="str">
        <f t="shared" si="60"/>
        <v xml:space="preserve"> </v>
      </c>
      <c r="AA223" s="478">
        <f>ROUND((IF(D223=1,(BASE!$G$51*I223),IF(D223=2,(BASE!$G$52*I223),IF(D223=3,(BASE!$G$53*I223),IF(D223=4,(BASE!$G$54*I223),IF(D223=5,(BASE!$G$55*I223),IF(D223=6,(BASE!$G$56*I223),0)))))))/1000,0)*1000</f>
        <v>356000</v>
      </c>
      <c r="AB223" s="408">
        <v>0</v>
      </c>
      <c r="AC223" s="478">
        <f t="shared" si="61"/>
        <v>356000</v>
      </c>
      <c r="AD223" s="478">
        <f>IF(G223=3,AC223*BASE!$I$62,IF(G223=1,AC223*(BASE!$I$61),IF(G223=2,AC223*(BASE!$I$63),AC223*BASE!$I$64)))</f>
        <v>3809199.9999999995</v>
      </c>
      <c r="AE223" s="411">
        <f>IF(I223&lt;10,0,IF(AC223&lt;=BASE!$C$3*2,BASE!$C$2,0)*(AD223/AC223))</f>
        <v>0</v>
      </c>
      <c r="AF223" s="13">
        <v>0</v>
      </c>
      <c r="AG223" s="14">
        <f t="shared" si="52"/>
        <v>211622.22222222222</v>
      </c>
      <c r="AH223" s="14">
        <f t="shared" si="62"/>
        <v>335069</v>
      </c>
      <c r="AI223" s="14">
        <f t="shared" si="63"/>
        <v>335068.51851851848</v>
      </c>
      <c r="AJ223" s="14">
        <f t="shared" si="53"/>
        <v>36857.537037037036</v>
      </c>
      <c r="AK223" s="14">
        <f>IF(I223=0,0,IF(G223=5,0,(AC223+AF223/12)*12*BASE!$C$5))</f>
        <v>363120</v>
      </c>
      <c r="AL223" s="14">
        <f>IF(I223=0,0,IF(G223=5,0,(AC223+AF223/12)*12*BASE!$C$7))</f>
        <v>512640</v>
      </c>
      <c r="AM223" s="14">
        <f>IF(I223=0,0,IF(G223=5,0,(AC223+AF223/12)*12*BASE!$C$9))</f>
        <v>22299.84</v>
      </c>
      <c r="AN223" s="412">
        <f>IF(I223=0,0,IF(G223=5,0,(AD223+AF223+AG223)*BASE!$C$10))</f>
        <v>361873.99999999994</v>
      </c>
      <c r="AO223" s="837">
        <f t="shared" si="51"/>
        <v>5987751.1177777778</v>
      </c>
      <c r="AP223" s="677">
        <f t="shared" si="64"/>
        <v>1.5719182814705919</v>
      </c>
      <c r="AQ223" s="1148"/>
      <c r="AR223" s="1149"/>
      <c r="CG223" s="179"/>
      <c r="CH223" s="181"/>
      <c r="CI223" s="182"/>
    </row>
    <row r="224" spans="1:87" ht="13.5" customHeight="1" outlineLevel="1" x14ac:dyDescent="0.2">
      <c r="A224" s="368" t="s">
        <v>581</v>
      </c>
      <c r="B224" s="477" t="s">
        <v>1173</v>
      </c>
      <c r="C224" s="427"/>
      <c r="D224" s="431">
        <f>IF(E224="","",VLOOKUP(E224,BASE!$F$20:$H$25,2,FALSE))</f>
        <v>4</v>
      </c>
      <c r="E224" s="399" t="s">
        <v>539</v>
      </c>
      <c r="F224" s="436" t="s">
        <v>863</v>
      </c>
      <c r="G224" s="437">
        <f>IF(F224="","",VLOOKUP(F224,BASE!$B$15:$C$18,2,FALSE))</f>
        <v>4</v>
      </c>
      <c r="H224" s="355">
        <v>30</v>
      </c>
      <c r="I224" s="423">
        <f t="shared" si="54"/>
        <v>30</v>
      </c>
      <c r="J224" s="354">
        <v>12</v>
      </c>
      <c r="K224" s="354">
        <v>6</v>
      </c>
      <c r="L224" s="399">
        <v>4</v>
      </c>
      <c r="M224" s="354"/>
      <c r="N224" s="399">
        <v>5</v>
      </c>
      <c r="O224" s="355">
        <f t="shared" si="55"/>
        <v>27</v>
      </c>
      <c r="P224" s="354"/>
      <c r="Q224" s="354">
        <v>3</v>
      </c>
      <c r="R224" s="355">
        <f t="shared" si="56"/>
        <v>3</v>
      </c>
      <c r="S224" s="354"/>
      <c r="T224" s="354"/>
      <c r="U224" s="354"/>
      <c r="V224" s="355">
        <f t="shared" si="57"/>
        <v>0</v>
      </c>
      <c r="W224" s="354"/>
      <c r="X224" s="477">
        <f t="shared" si="58"/>
        <v>30</v>
      </c>
      <c r="Y224" s="19" t="str">
        <f t="shared" si="59"/>
        <v xml:space="preserve">OK </v>
      </c>
      <c r="Z224" s="404" t="str">
        <f t="shared" si="60"/>
        <v xml:space="preserve"> </v>
      </c>
      <c r="AA224" s="478">
        <f>ROUND((IF(D224=1,(BASE!$G$51*I224),IF(D224=2,(BASE!$G$52*I224),IF(D224=3,(BASE!$G$53*I224),IF(D224=4,(BASE!$G$54*I224),IF(D224=5,(BASE!$G$55*I224),IF(D224=6,(BASE!$G$56*I224),0)))))))/1000,0)*1000</f>
        <v>3342000</v>
      </c>
      <c r="AB224" s="408">
        <v>0</v>
      </c>
      <c r="AC224" s="478">
        <f t="shared" si="61"/>
        <v>3342000</v>
      </c>
      <c r="AD224" s="478">
        <f>IF(G224=3,AC224*BASE!$I$62,IF(G224=1,AC224*(BASE!$I$61),IF(G224=2,AC224*(BASE!$I$63),AC224*BASE!$I$64)))</f>
        <v>37987400</v>
      </c>
      <c r="AE224" s="411">
        <f>IF(I224&lt;10,0,IF(AC224&lt;=BASE!$C$3*2,BASE!$C$2,0)*(AD224/AC224))</f>
        <v>0</v>
      </c>
      <c r="AF224" s="13">
        <v>0</v>
      </c>
      <c r="AG224" s="14">
        <f t="shared" si="52"/>
        <v>2110411.111111111</v>
      </c>
      <c r="AH224" s="14">
        <f t="shared" si="62"/>
        <v>3341484</v>
      </c>
      <c r="AI224" s="14">
        <f t="shared" si="63"/>
        <v>3341484.2592592593</v>
      </c>
      <c r="AJ224" s="14">
        <f t="shared" si="53"/>
        <v>400978.11111111112</v>
      </c>
      <c r="AK224" s="14">
        <f>IF(I224=0,0,IF(G224=5,0,(AC224+AF224/12)*12*BASE!$C$5))</f>
        <v>3408840.0000000005</v>
      </c>
      <c r="AL224" s="14">
        <f>IF(I224=0,0,IF(G224=5,0,(AC224+AF224/12)*12*BASE!$C$7))</f>
        <v>4812480</v>
      </c>
      <c r="AM224" s="14">
        <f>IF(I224=0,0,IF(G224=5,0,(AC224+AF224/12)*12*BASE!$C$9))</f>
        <v>209342.88</v>
      </c>
      <c r="AN224" s="412">
        <f>IF(I224=0,0,IF(G224=5,0,(AD224+AF224+AG224)*BASE!$C$10))</f>
        <v>3608803</v>
      </c>
      <c r="AO224" s="837">
        <f t="shared" si="51"/>
        <v>59221223.361481488</v>
      </c>
      <c r="AP224" s="677">
        <f t="shared" si="64"/>
        <v>1.5589701680420742</v>
      </c>
      <c r="AQ224" s="1148"/>
      <c r="AR224" s="1149"/>
      <c r="CG224" s="179"/>
      <c r="CH224" s="181"/>
      <c r="CI224" s="182"/>
    </row>
    <row r="225" spans="1:87" ht="13.5" customHeight="1" outlineLevel="1" x14ac:dyDescent="0.2">
      <c r="A225" s="368" t="s">
        <v>581</v>
      </c>
      <c r="B225" s="477" t="s">
        <v>1174</v>
      </c>
      <c r="C225" s="427"/>
      <c r="D225" s="431">
        <f>IF(E225="","",VLOOKUP(E225,BASE!$F$20:$H$25,2,FALSE))</f>
        <v>3</v>
      </c>
      <c r="E225" s="399" t="s">
        <v>540</v>
      </c>
      <c r="F225" s="436" t="s">
        <v>863</v>
      </c>
      <c r="G225" s="437">
        <f>IF(F225="","",VLOOKUP(F225,BASE!$B$15:$C$18,2,FALSE))</f>
        <v>4</v>
      </c>
      <c r="H225" s="355">
        <v>34</v>
      </c>
      <c r="I225" s="423">
        <f t="shared" si="54"/>
        <v>34</v>
      </c>
      <c r="J225" s="399">
        <v>20</v>
      </c>
      <c r="K225" s="399">
        <v>6</v>
      </c>
      <c r="L225" s="399">
        <v>4</v>
      </c>
      <c r="M225" s="399">
        <v>1</v>
      </c>
      <c r="N225" s="399">
        <v>1</v>
      </c>
      <c r="O225" s="355">
        <f t="shared" si="55"/>
        <v>32</v>
      </c>
      <c r="P225" s="354"/>
      <c r="Q225" s="354"/>
      <c r="R225" s="355">
        <f t="shared" si="56"/>
        <v>0</v>
      </c>
      <c r="S225" s="354"/>
      <c r="T225" s="354"/>
      <c r="U225" s="354"/>
      <c r="V225" s="355">
        <f t="shared" si="57"/>
        <v>0</v>
      </c>
      <c r="W225" s="354">
        <v>2</v>
      </c>
      <c r="X225" s="477">
        <f t="shared" si="58"/>
        <v>34</v>
      </c>
      <c r="Y225" s="19" t="str">
        <f t="shared" si="59"/>
        <v xml:space="preserve">OK </v>
      </c>
      <c r="Z225" s="404" t="str">
        <f t="shared" si="60"/>
        <v xml:space="preserve"> </v>
      </c>
      <c r="AA225" s="478">
        <f>ROUND((IF(D225=1,(BASE!$G$51*I225),IF(D225=2,(BASE!$G$52*I225),IF(D225=3,(BASE!$G$53*I225),IF(D225=4,(BASE!$G$54*I225),IF(D225=5,(BASE!$G$55*I225),IF(D225=6,(BASE!$G$56*I225),0)))))))/1000,0)*1000</f>
        <v>4651000</v>
      </c>
      <c r="AB225" s="408">
        <v>4295000</v>
      </c>
      <c r="AC225" s="478">
        <f t="shared" si="61"/>
        <v>8946000</v>
      </c>
      <c r="AD225" s="478">
        <f>IF(G225=3,AC225*BASE!$I$62,IF(G225=1,AC225*(BASE!$I$61),IF(G225=2,AC225*(BASE!$I$63),AC225*BASE!$I$64)))</f>
        <v>101686200</v>
      </c>
      <c r="AE225" s="411">
        <f>IF(I225&lt;10,0,IF(AC225&lt;=BASE!$C$3*2,BASE!$C$2,0)*(AD225/AC225))</f>
        <v>0</v>
      </c>
      <c r="AF225" s="13">
        <v>0</v>
      </c>
      <c r="AG225" s="14">
        <f t="shared" si="52"/>
        <v>5649233.333333333</v>
      </c>
      <c r="AH225" s="14">
        <f t="shared" si="62"/>
        <v>8944619</v>
      </c>
      <c r="AI225" s="14">
        <f t="shared" si="63"/>
        <v>8944619.444444444</v>
      </c>
      <c r="AJ225" s="14">
        <f t="shared" si="53"/>
        <v>1073354.3333333333</v>
      </c>
      <c r="AK225" s="14">
        <f>IF(I225=0,0,IF(G225=5,0,(AC225+AF225/12)*12*BASE!$C$5))</f>
        <v>9124920</v>
      </c>
      <c r="AL225" s="14">
        <f>IF(I225=0,0,IF(G225=5,0,(AC225+AF225/12)*12*BASE!$C$7))</f>
        <v>12882240</v>
      </c>
      <c r="AM225" s="14">
        <f>IF(I225=0,0,IF(G225=5,0,(AC225+AF225/12)*12*BASE!$C$9))</f>
        <v>560377.43999999994</v>
      </c>
      <c r="AN225" s="412">
        <f>IF(I225=0,0,IF(G225=5,0,(AD225+AF225+AG225)*BASE!$C$10))</f>
        <v>9660189</v>
      </c>
      <c r="AO225" s="837">
        <f t="shared" si="51"/>
        <v>158525752.5511111</v>
      </c>
      <c r="AP225" s="677">
        <f t="shared" si="64"/>
        <v>1.558970170496204</v>
      </c>
      <c r="AQ225" s="1148"/>
      <c r="AR225" s="1149"/>
      <c r="CG225" s="179"/>
      <c r="CH225" s="181"/>
      <c r="CI225" s="182"/>
    </row>
    <row r="226" spans="1:87" ht="13.5" customHeight="1" outlineLevel="1" x14ac:dyDescent="0.2">
      <c r="A226" s="368" t="s">
        <v>581</v>
      </c>
      <c r="B226" s="477" t="s">
        <v>1175</v>
      </c>
      <c r="C226" s="427"/>
      <c r="D226" s="431">
        <f>IF(E226="","",VLOOKUP(E226,BASE!$F$20:$H$25,2,FALSE))</f>
        <v>5</v>
      </c>
      <c r="E226" s="399" t="s">
        <v>538</v>
      </c>
      <c r="F226" s="436" t="s">
        <v>546</v>
      </c>
      <c r="G226" s="437">
        <f>IF(F226="","",VLOOKUP(F226,BASE!$B$15:$C$18,2,FALSE))</f>
        <v>3</v>
      </c>
      <c r="H226" s="355">
        <v>8</v>
      </c>
      <c r="I226" s="423">
        <f t="shared" si="54"/>
        <v>8</v>
      </c>
      <c r="J226" s="399">
        <v>2</v>
      </c>
      <c r="K226" s="399">
        <v>1</v>
      </c>
      <c r="L226" s="399">
        <v>1</v>
      </c>
      <c r="M226" s="399"/>
      <c r="N226" s="354"/>
      <c r="O226" s="355">
        <f t="shared" si="55"/>
        <v>4</v>
      </c>
      <c r="P226" s="354"/>
      <c r="Q226" s="354"/>
      <c r="R226" s="355">
        <f t="shared" si="56"/>
        <v>0</v>
      </c>
      <c r="S226" s="354">
        <v>4</v>
      </c>
      <c r="T226" s="354"/>
      <c r="U226" s="354"/>
      <c r="V226" s="355">
        <f t="shared" si="57"/>
        <v>4</v>
      </c>
      <c r="W226" s="354"/>
      <c r="X226" s="477">
        <f t="shared" si="58"/>
        <v>8</v>
      </c>
      <c r="Y226" s="19" t="str">
        <f t="shared" si="59"/>
        <v xml:space="preserve">OK </v>
      </c>
      <c r="Z226" s="404" t="str">
        <f t="shared" si="60"/>
        <v xml:space="preserve"> </v>
      </c>
      <c r="AA226" s="478">
        <f>ROUND((IF(D226=1,(BASE!$G$51*I226),IF(D226=2,(BASE!$G$52*I226),IF(D226=3,(BASE!$G$53*I226),IF(D226=4,(BASE!$G$54*I226),IF(D226=5,(BASE!$G$55*I226),IF(D226=6,(BASE!$G$56*I226),0)))))))/1000,0)*1000</f>
        <v>712000</v>
      </c>
      <c r="AB226" s="408">
        <v>0</v>
      </c>
      <c r="AC226" s="478">
        <f t="shared" si="61"/>
        <v>712000</v>
      </c>
      <c r="AD226" s="478">
        <f>IF(G226=3,AC226*BASE!$I$62,IF(G226=1,AC226*(BASE!$I$61),IF(G226=2,AC226*(BASE!$I$63),AC226*BASE!$I$64)))</f>
        <v>7618399.9999999991</v>
      </c>
      <c r="AE226" s="411">
        <f>IF(I226&lt;10,0,IF(AC226&lt;=BASE!$C$3*2,BASE!$C$2,0)*(AD226/AC226))</f>
        <v>0</v>
      </c>
      <c r="AF226" s="13">
        <v>0</v>
      </c>
      <c r="AG226" s="14">
        <f t="shared" si="52"/>
        <v>423244.44444444444</v>
      </c>
      <c r="AH226" s="14">
        <f t="shared" si="62"/>
        <v>670137</v>
      </c>
      <c r="AI226" s="14">
        <f t="shared" si="63"/>
        <v>670137.03703703696</v>
      </c>
      <c r="AJ226" s="14">
        <f t="shared" si="53"/>
        <v>73715.074074074073</v>
      </c>
      <c r="AK226" s="14">
        <f>IF(I226=0,0,IF(G226=5,0,(AC226+AF226/12)*12*BASE!$C$5))</f>
        <v>726240</v>
      </c>
      <c r="AL226" s="14">
        <f>IF(I226=0,0,IF(G226=5,0,(AC226+AF226/12)*12*BASE!$C$7))</f>
        <v>1025280</v>
      </c>
      <c r="AM226" s="14">
        <f>IF(I226=0,0,IF(G226=5,0,(AC226+AF226/12)*12*BASE!$C$9))</f>
        <v>44599.68</v>
      </c>
      <c r="AN226" s="412">
        <f>IF(I226=0,0,IF(G226=5,0,(AD226+AF226+AG226)*BASE!$C$10))</f>
        <v>723747.99999999988</v>
      </c>
      <c r="AO226" s="837">
        <f t="shared" si="51"/>
        <v>11975501.235555556</v>
      </c>
      <c r="AP226" s="677">
        <f t="shared" si="64"/>
        <v>1.5719181502094346</v>
      </c>
      <c r="AQ226" s="1148"/>
      <c r="AR226" s="1149"/>
      <c r="CG226" s="179"/>
      <c r="CH226" s="181"/>
      <c r="CI226" s="182"/>
    </row>
    <row r="227" spans="1:87" ht="13.5" customHeight="1" outlineLevel="1" x14ac:dyDescent="0.2">
      <c r="A227" s="368" t="s">
        <v>581</v>
      </c>
      <c r="B227" s="477" t="s">
        <v>1176</v>
      </c>
      <c r="C227" s="427"/>
      <c r="D227" s="431">
        <f>IF(E227="","",VLOOKUP(E227,BASE!$F$20:$H$25,2,FALSE))</f>
        <v>6</v>
      </c>
      <c r="E227" s="399" t="s">
        <v>537</v>
      </c>
      <c r="F227" s="436" t="s">
        <v>863</v>
      </c>
      <c r="G227" s="437">
        <f>IF(F227="","",VLOOKUP(F227,BASE!$B$15:$C$18,2,FALSE))</f>
        <v>4</v>
      </c>
      <c r="H227" s="355">
        <v>40</v>
      </c>
      <c r="I227" s="423">
        <v>40</v>
      </c>
      <c r="J227" s="399">
        <v>15</v>
      </c>
      <c r="K227" s="399">
        <v>2</v>
      </c>
      <c r="L227" s="399">
        <v>2</v>
      </c>
      <c r="M227" s="399">
        <v>3</v>
      </c>
      <c r="N227" s="399"/>
      <c r="O227" s="355">
        <f t="shared" si="55"/>
        <v>22</v>
      </c>
      <c r="P227" s="354"/>
      <c r="Q227" s="399">
        <v>5</v>
      </c>
      <c r="R227" s="355">
        <f t="shared" si="56"/>
        <v>5</v>
      </c>
      <c r="S227" s="354"/>
      <c r="T227" s="354"/>
      <c r="U227" s="354"/>
      <c r="V227" s="355">
        <f t="shared" si="57"/>
        <v>0</v>
      </c>
      <c r="W227" s="354"/>
      <c r="X227" s="477">
        <f t="shared" si="58"/>
        <v>27</v>
      </c>
      <c r="Y227" s="19" t="str">
        <f t="shared" si="59"/>
        <v>AJUSTE</v>
      </c>
      <c r="Z227" s="404" t="str">
        <f t="shared" si="60"/>
        <v xml:space="preserve"> </v>
      </c>
      <c r="AA227" s="478">
        <f>ROUND((IF(D227=1,(BASE!$G$51*I227),IF(D227=2,(BASE!$G$52*I227),IF(D227=3,(BASE!$G$53*I227),IF(D227=4,(BASE!$G$54*I227),IF(D227=5,(BASE!$G$55*I227),IF(D227=6,(BASE!$G$56*I227),0)))))))/1000,0)*1000</f>
        <v>2800000</v>
      </c>
      <c r="AB227" s="1057">
        <v>407000</v>
      </c>
      <c r="AC227" s="478">
        <f t="shared" si="61"/>
        <v>3207000</v>
      </c>
      <c r="AD227" s="478">
        <f>IF(G227=3,AC227*BASE!$I$62,IF(G227=1,AC227*(BASE!$I$61),IF(G227=2,AC227*(BASE!$I$63),AC227*BASE!$I$64)))</f>
        <v>36452900</v>
      </c>
      <c r="AE227" s="411">
        <f>IF(I227&lt;10,0,IF(AC227&lt;=BASE!$C$3*2,BASE!$C$2,0)*(AD227/AC227))</f>
        <v>0</v>
      </c>
      <c r="AF227" s="13">
        <v>0</v>
      </c>
      <c r="AG227" s="14">
        <f t="shared" si="52"/>
        <v>2025161.111111111</v>
      </c>
      <c r="AH227" s="14">
        <f t="shared" si="62"/>
        <v>3206505</v>
      </c>
      <c r="AI227" s="14">
        <f t="shared" si="63"/>
        <v>3206505.0925925924</v>
      </c>
      <c r="AJ227" s="14">
        <f t="shared" si="53"/>
        <v>384780.61111111107</v>
      </c>
      <c r="AK227" s="14">
        <f>IF(I227=0,0,IF(G227=5,0,(AC227+AF227/12)*12*BASE!$C$5))</f>
        <v>3271140.0000000005</v>
      </c>
      <c r="AL227" s="14">
        <f>IF(I227=0,0,IF(G227=5,0,(AC227+AF227/12)*12*BASE!$C$7))</f>
        <v>4618080</v>
      </c>
      <c r="AM227" s="14">
        <f>IF(I227=0,0,IF(G227=5,0,(AC227+AF227/12)*12*BASE!$C$9))</f>
        <v>200886.47999999998</v>
      </c>
      <c r="AN227" s="412">
        <f>IF(I227=0,0,IF(G227=5,0,(AD227+AF227+AG227)*BASE!$C$10))</f>
        <v>3463025.5</v>
      </c>
      <c r="AO227" s="837">
        <f t="shared" si="51"/>
        <v>56828983.79481481</v>
      </c>
      <c r="AP227" s="677">
        <f t="shared" si="64"/>
        <v>1.5589701723268878</v>
      </c>
      <c r="AQ227" s="1150" t="s">
        <v>1316</v>
      </c>
      <c r="AR227" s="1149"/>
      <c r="CG227" s="179"/>
      <c r="CH227" s="181"/>
      <c r="CI227" s="182"/>
    </row>
    <row r="228" spans="1:87" ht="13.5" customHeight="1" outlineLevel="1" x14ac:dyDescent="0.2">
      <c r="A228" s="368" t="s">
        <v>581</v>
      </c>
      <c r="B228" s="477" t="s">
        <v>1177</v>
      </c>
      <c r="C228" s="427"/>
      <c r="D228" s="431">
        <f>IF(E228="","",VLOOKUP(E228,BASE!$F$20:$H$25,2,FALSE))</f>
        <v>5</v>
      </c>
      <c r="E228" s="399" t="s">
        <v>538</v>
      </c>
      <c r="F228" s="436" t="s">
        <v>546</v>
      </c>
      <c r="G228" s="437">
        <f>IF(F228="","",VLOOKUP(F228,BASE!$B$15:$C$18,2,FALSE))</f>
        <v>3</v>
      </c>
      <c r="H228" s="355">
        <v>5</v>
      </c>
      <c r="I228" s="423">
        <v>0</v>
      </c>
      <c r="J228" s="399"/>
      <c r="K228" s="354"/>
      <c r="L228" s="354"/>
      <c r="M228" s="354"/>
      <c r="N228" s="354"/>
      <c r="O228" s="355">
        <f t="shared" si="55"/>
        <v>0</v>
      </c>
      <c r="P228" s="354"/>
      <c r="Q228" s="354"/>
      <c r="R228" s="355">
        <f t="shared" si="56"/>
        <v>0</v>
      </c>
      <c r="S228" s="354"/>
      <c r="T228" s="354"/>
      <c r="U228" s="354"/>
      <c r="V228" s="355">
        <f t="shared" si="57"/>
        <v>0</v>
      </c>
      <c r="W228" s="354"/>
      <c r="X228" s="477">
        <f t="shared" si="58"/>
        <v>0</v>
      </c>
      <c r="Y228" s="19" t="str">
        <f t="shared" si="59"/>
        <v xml:space="preserve">OK </v>
      </c>
      <c r="Z228" s="404" t="str">
        <f t="shared" si="60"/>
        <v>JUSTIFICAR</v>
      </c>
      <c r="AA228" s="478">
        <f>ROUND((IF(D228=1,(BASE!$G$51*I228),IF(D228=2,(BASE!$G$52*I228),IF(D228=3,(BASE!$G$53*I228),IF(D228=4,(BASE!$G$54*I228),IF(D228=5,(BASE!$G$55*I228),IF(D228=6,(BASE!$G$56*I228),0)))))))/1000,0)*1000</f>
        <v>0</v>
      </c>
      <c r="AB228" s="408">
        <v>0</v>
      </c>
      <c r="AC228" s="478">
        <f t="shared" si="61"/>
        <v>0</v>
      </c>
      <c r="AD228" s="478">
        <f>IF(G228=3,AC228*BASE!$I$62,IF(G228=1,AC228*(BASE!$I$61),IF(G228=2,AC228*(BASE!$I$63),AC228*BASE!$I$64)))</f>
        <v>0</v>
      </c>
      <c r="AE228" s="411">
        <f>IF(I228&lt;10,0,IF(AC228&lt;=BASE!$C$3*2,BASE!$C$2,0)*(AD228/AC228))</f>
        <v>0</v>
      </c>
      <c r="AF228" s="13">
        <v>0</v>
      </c>
      <c r="AG228" s="14">
        <f t="shared" si="52"/>
        <v>0</v>
      </c>
      <c r="AH228" s="14">
        <f t="shared" si="62"/>
        <v>0</v>
      </c>
      <c r="AI228" s="14">
        <f t="shared" si="63"/>
        <v>0</v>
      </c>
      <c r="AJ228" s="14">
        <f t="shared" si="53"/>
        <v>0</v>
      </c>
      <c r="AK228" s="14">
        <f>IF(I228=0,0,IF(G228=5,0,(AC228+AF228/12)*12*BASE!$C$5))</f>
        <v>0</v>
      </c>
      <c r="AL228" s="14">
        <f>IF(I228=0,0,IF(G228=5,0,(AC228+AF228/12)*12*BASE!$C$7))</f>
        <v>0</v>
      </c>
      <c r="AM228" s="14">
        <f>IF(I228=0,0,IF(G228=5,0,(AC228+AF228/12)*12*BASE!$C$9))</f>
        <v>0</v>
      </c>
      <c r="AN228" s="412">
        <f>IF(I228=0,0,IF(G228=5,0,(AD228+AF228+AG228)*BASE!$C$10))</f>
        <v>0</v>
      </c>
      <c r="AO228" s="837">
        <f t="shared" si="51"/>
        <v>0</v>
      </c>
      <c r="AP228" s="677" t="str">
        <f t="shared" si="64"/>
        <v>Sin datos</v>
      </c>
      <c r="AQ228" s="1150" t="s">
        <v>1418</v>
      </c>
      <c r="AR228" s="1149"/>
      <c r="CG228" s="179"/>
      <c r="CH228" s="181"/>
      <c r="CI228" s="182"/>
    </row>
    <row r="229" spans="1:87" ht="13.5" customHeight="1" outlineLevel="1" x14ac:dyDescent="0.2">
      <c r="A229" s="368" t="s">
        <v>581</v>
      </c>
      <c r="B229" s="477" t="s">
        <v>1178</v>
      </c>
      <c r="C229" s="427"/>
      <c r="D229" s="431">
        <f>IF(E229="","",VLOOKUP(E229,BASE!$F$20:$H$25,2,FALSE))</f>
        <v>4</v>
      </c>
      <c r="E229" s="399" t="s">
        <v>539</v>
      </c>
      <c r="F229" s="436" t="s">
        <v>258</v>
      </c>
      <c r="G229" s="437">
        <f>IF(F229="","",VLOOKUP(F229,BASE!$B$15:$C$18,2,FALSE))</f>
        <v>2</v>
      </c>
      <c r="H229" s="355">
        <v>40</v>
      </c>
      <c r="I229" s="423">
        <f t="shared" si="54"/>
        <v>40</v>
      </c>
      <c r="J229" s="354"/>
      <c r="K229" s="354"/>
      <c r="L229" s="354"/>
      <c r="M229" s="354"/>
      <c r="N229" s="354"/>
      <c r="O229" s="355">
        <f t="shared" si="55"/>
        <v>0</v>
      </c>
      <c r="P229" s="354"/>
      <c r="Q229" s="354"/>
      <c r="R229" s="355">
        <f t="shared" si="56"/>
        <v>0</v>
      </c>
      <c r="S229" s="354"/>
      <c r="T229" s="354"/>
      <c r="U229" s="354"/>
      <c r="V229" s="355">
        <f t="shared" si="57"/>
        <v>0</v>
      </c>
      <c r="W229" s="354">
        <v>40</v>
      </c>
      <c r="X229" s="477">
        <f t="shared" si="58"/>
        <v>40</v>
      </c>
      <c r="Y229" s="19" t="str">
        <f t="shared" si="59"/>
        <v xml:space="preserve">OK </v>
      </c>
      <c r="Z229" s="404" t="str">
        <f t="shared" si="60"/>
        <v xml:space="preserve"> </v>
      </c>
      <c r="AA229" s="478">
        <v>12365000</v>
      </c>
      <c r="AB229" s="408">
        <v>0</v>
      </c>
      <c r="AC229" s="478">
        <f t="shared" si="61"/>
        <v>12365000</v>
      </c>
      <c r="AD229" s="478">
        <f>IF(G229=3,AC229*BASE!$I$62,IF(G229=1,AC229*(BASE!$I$61),IF(G229=2,AC229*(BASE!$I$63),AC229*BASE!$I$64)))</f>
        <v>140548833.33333334</v>
      </c>
      <c r="AE229" s="411">
        <f>IF(I229&lt;10,0,IF(AC229&lt;=BASE!$C$3*2,BASE!$C$2,0)*(AD229/AC229))</f>
        <v>0</v>
      </c>
      <c r="AF229" s="13">
        <v>0</v>
      </c>
      <c r="AG229" s="14">
        <f t="shared" si="52"/>
        <v>7808268.5185185187</v>
      </c>
      <c r="AH229" s="14">
        <f t="shared" si="62"/>
        <v>12363092</v>
      </c>
      <c r="AI229" s="14">
        <f t="shared" si="63"/>
        <v>12363091.820987655</v>
      </c>
      <c r="AJ229" s="14">
        <f t="shared" si="53"/>
        <v>1483571.0185185184</v>
      </c>
      <c r="AK229" s="14">
        <f>IF(I229=0,0,IF(G229=5,0,(AC229+AF229/12)*12*BASE!$C$5))</f>
        <v>12612300</v>
      </c>
      <c r="AL229" s="14">
        <v>0</v>
      </c>
      <c r="AM229" s="14">
        <f>IF(I229=0,0,IF(G229=5,0,(AC229+AF229/12)*12*BASE!$C$9))</f>
        <v>774543.6</v>
      </c>
      <c r="AN229" s="412">
        <f>IF(I229=0,0,IF(G229=5,0,(AD229+AF229+AG229)*BASE!$C$10))</f>
        <v>13352139.166666666</v>
      </c>
      <c r="AO229" s="837">
        <f t="shared" si="51"/>
        <v>201305839.45802465</v>
      </c>
      <c r="AP229" s="677">
        <f t="shared" si="64"/>
        <v>1.4322839591318175</v>
      </c>
      <c r="AQ229" s="1148"/>
      <c r="AR229" s="1149"/>
      <c r="CG229" s="179"/>
      <c r="CH229" s="181"/>
      <c r="CI229" s="182"/>
    </row>
    <row r="230" spans="1:87" ht="13.5" customHeight="1" outlineLevel="1" x14ac:dyDescent="0.2">
      <c r="A230" s="368" t="s">
        <v>581</v>
      </c>
      <c r="B230" s="477" t="s">
        <v>1179</v>
      </c>
      <c r="C230" s="427"/>
      <c r="D230" s="431">
        <f>IF(E230="","",VLOOKUP(E230,BASE!$F$20:$H$25,2,FALSE))</f>
        <v>3</v>
      </c>
      <c r="E230" s="399" t="s">
        <v>540</v>
      </c>
      <c r="F230" s="436" t="s">
        <v>546</v>
      </c>
      <c r="G230" s="437">
        <f>IF(F230="","",VLOOKUP(F230,BASE!$B$15:$C$18,2,FALSE))</f>
        <v>3</v>
      </c>
      <c r="H230" s="355">
        <v>10</v>
      </c>
      <c r="I230" s="423">
        <v>30</v>
      </c>
      <c r="J230" s="354">
        <v>6</v>
      </c>
      <c r="K230" s="354">
        <v>2</v>
      </c>
      <c r="L230" s="399">
        <v>2</v>
      </c>
      <c r="M230" s="399">
        <v>5</v>
      </c>
      <c r="N230" s="399"/>
      <c r="O230" s="355">
        <f t="shared" si="55"/>
        <v>15</v>
      </c>
      <c r="P230" s="399">
        <v>9</v>
      </c>
      <c r="Q230" s="354">
        <v>6</v>
      </c>
      <c r="R230" s="355">
        <f t="shared" si="56"/>
        <v>15</v>
      </c>
      <c r="S230" s="354"/>
      <c r="T230" s="354"/>
      <c r="U230" s="354"/>
      <c r="V230" s="355">
        <f t="shared" si="57"/>
        <v>0</v>
      </c>
      <c r="W230" s="354"/>
      <c r="X230" s="477">
        <f t="shared" si="58"/>
        <v>30</v>
      </c>
      <c r="Y230" s="19" t="str">
        <f t="shared" si="59"/>
        <v xml:space="preserve">OK </v>
      </c>
      <c r="Z230" s="404" t="str">
        <f t="shared" si="60"/>
        <v>AJUSTE</v>
      </c>
      <c r="AA230" s="478">
        <f>ROUND((IF(D230=1,(BASE!$G$51*I230),IF(D230=2,(BASE!$G$52*I230),IF(D230=3,(BASE!$G$53*I230),IF(D230=4,(BASE!$G$54*I230),IF(D230=5,(BASE!$G$55*I230),IF(D230=6,(BASE!$G$56*I230),0)))))))/1000,0)*1000</f>
        <v>4104000</v>
      </c>
      <c r="AB230" s="408">
        <v>0</v>
      </c>
      <c r="AC230" s="478">
        <f t="shared" si="61"/>
        <v>4104000</v>
      </c>
      <c r="AD230" s="478">
        <f>IF(G230=3,AC230*BASE!$I$62,IF(G230=1,AC230*(BASE!$I$61),IF(G230=2,AC230*(BASE!$I$63),AC230*BASE!$I$64)))</f>
        <v>43912800</v>
      </c>
      <c r="AE230" s="411">
        <f>IF(I230&lt;10,0,IF(AC230&lt;=BASE!$C$3*2,BASE!$C$2,0)*(AD230/AC230))</f>
        <v>0</v>
      </c>
      <c r="AF230" s="13">
        <v>0</v>
      </c>
      <c r="AG230" s="14">
        <f t="shared" si="52"/>
        <v>2439600</v>
      </c>
      <c r="AH230" s="14">
        <f t="shared" si="62"/>
        <v>3862700</v>
      </c>
      <c r="AI230" s="14">
        <f t="shared" si="63"/>
        <v>3862700</v>
      </c>
      <c r="AJ230" s="14">
        <f t="shared" si="53"/>
        <v>424897</v>
      </c>
      <c r="AK230" s="14">
        <f>IF(I230=0,0,IF(G230=5,0,(AC230+AF230/12)*12*BASE!$C$5))</f>
        <v>4186080.0000000005</v>
      </c>
      <c r="AL230" s="14">
        <f>IF(I230=0,0,IF(G230=5,0,(AC230+AF230/12)*12*BASE!$C$7))</f>
        <v>5909760</v>
      </c>
      <c r="AM230" s="14">
        <f>IF(I230=0,0,IF(G230=5,0,(AC230+AF230/12)*12*BASE!$C$9))</f>
        <v>257074.56</v>
      </c>
      <c r="AN230" s="412">
        <f>IF(I230=0,0,IF(G230=5,0,(AD230+AF230+AG230)*BASE!$C$10))</f>
        <v>4171716</v>
      </c>
      <c r="AO230" s="837">
        <f t="shared" si="51"/>
        <v>69027327.560000002</v>
      </c>
      <c r="AP230" s="677">
        <f t="shared" si="64"/>
        <v>1.5719181550709589</v>
      </c>
      <c r="AQ230" s="1150" t="s">
        <v>1427</v>
      </c>
      <c r="AR230" s="1149"/>
      <c r="CG230" s="179"/>
      <c r="CH230" s="181"/>
      <c r="CI230" s="182"/>
    </row>
    <row r="231" spans="1:87" ht="13.5" customHeight="1" outlineLevel="1" x14ac:dyDescent="0.2">
      <c r="A231" s="368" t="s">
        <v>581</v>
      </c>
      <c r="B231" s="477" t="s">
        <v>1180</v>
      </c>
      <c r="C231" s="427"/>
      <c r="D231" s="431">
        <f>IF(E231="","",VLOOKUP(E231,BASE!$F$20:$H$25,2,FALSE))</f>
        <v>4</v>
      </c>
      <c r="E231" s="399" t="s">
        <v>539</v>
      </c>
      <c r="F231" s="436" t="s">
        <v>863</v>
      </c>
      <c r="G231" s="437">
        <f>IF(F231="","",VLOOKUP(F231,BASE!$B$15:$C$18,2,FALSE))</f>
        <v>4</v>
      </c>
      <c r="H231" s="355">
        <v>15</v>
      </c>
      <c r="I231" s="423">
        <v>20</v>
      </c>
      <c r="J231" s="399">
        <v>6</v>
      </c>
      <c r="K231" s="399">
        <v>2</v>
      </c>
      <c r="L231" s="399">
        <v>2</v>
      </c>
      <c r="M231" s="399"/>
      <c r="N231" s="399"/>
      <c r="O231" s="355">
        <f t="shared" si="55"/>
        <v>10</v>
      </c>
      <c r="P231" s="354"/>
      <c r="Q231" s="399">
        <v>10</v>
      </c>
      <c r="R231" s="355">
        <f t="shared" si="56"/>
        <v>10</v>
      </c>
      <c r="S231" s="354"/>
      <c r="T231" s="354"/>
      <c r="U231" s="354"/>
      <c r="V231" s="355">
        <f t="shared" si="57"/>
        <v>0</v>
      </c>
      <c r="W231" s="354"/>
      <c r="X231" s="477">
        <f t="shared" si="58"/>
        <v>20</v>
      </c>
      <c r="Y231" s="19" t="str">
        <f t="shared" si="59"/>
        <v xml:space="preserve">OK </v>
      </c>
      <c r="Z231" s="404" t="str">
        <f t="shared" si="60"/>
        <v>AJUSTE</v>
      </c>
      <c r="AA231" s="478">
        <f>ROUND((IF(D231=1,(BASE!$G$51*I231),IF(D231=2,(BASE!$G$52*I231),IF(D231=3,(BASE!$G$53*I231),IF(D231=4,(BASE!$G$54*I231),IF(D231=5,(BASE!$G$55*I231),IF(D231=6,(BASE!$G$56*I231),0)))))))/1000,0)*1000</f>
        <v>2228000</v>
      </c>
      <c r="AB231" s="408">
        <v>0</v>
      </c>
      <c r="AC231" s="478">
        <f t="shared" si="61"/>
        <v>2228000</v>
      </c>
      <c r="AD231" s="478">
        <f>IF(G231=3,AC231*BASE!$I$62,IF(G231=1,AC231*(BASE!$I$61),IF(G231=2,AC231*(BASE!$I$63),AC231*BASE!$I$64)))</f>
        <v>25324933.333333336</v>
      </c>
      <c r="AE231" s="411">
        <f>IF(I231&lt;10,0,IF(AC231&lt;=BASE!$C$3*2,BASE!$C$2,0)*(AD231/AC231))</f>
        <v>0</v>
      </c>
      <c r="AF231" s="13">
        <v>0</v>
      </c>
      <c r="AG231" s="14">
        <f t="shared" si="52"/>
        <v>1406940.7407407409</v>
      </c>
      <c r="AH231" s="14">
        <f t="shared" si="62"/>
        <v>2227656</v>
      </c>
      <c r="AI231" s="14">
        <f t="shared" si="63"/>
        <v>2227656.1728395065</v>
      </c>
      <c r="AJ231" s="14">
        <f t="shared" si="53"/>
        <v>267318.74074074079</v>
      </c>
      <c r="AK231" s="14">
        <f>IF(I231=0,0,IF(G231=5,0,(AC231+AF231/12)*12*BASE!$C$5))</f>
        <v>2272560</v>
      </c>
      <c r="AL231" s="14">
        <f>IF(I231=0,0,IF(G231=5,0,(AC231+AF231/12)*12*BASE!$C$7))</f>
        <v>3208320</v>
      </c>
      <c r="AM231" s="14">
        <f>IF(I231=0,0,IF(G231=5,0,(AC231+AF231/12)*12*BASE!$C$9))</f>
        <v>139561.91999999998</v>
      </c>
      <c r="AN231" s="412">
        <f>IF(I231=0,0,IF(G231=5,0,(AD231+AF231+AG231)*BASE!$C$10))</f>
        <v>2405868.666666667</v>
      </c>
      <c r="AO231" s="837">
        <f t="shared" si="51"/>
        <v>39480815.574320994</v>
      </c>
      <c r="AP231" s="677">
        <f t="shared" si="64"/>
        <v>1.558970168042074</v>
      </c>
      <c r="AQ231" s="1150" t="s">
        <v>1428</v>
      </c>
      <c r="AR231" s="1149"/>
      <c r="CG231" s="179"/>
      <c r="CH231" s="181"/>
      <c r="CI231" s="182"/>
    </row>
    <row r="232" spans="1:87" ht="13.5" customHeight="1" outlineLevel="1" x14ac:dyDescent="0.2">
      <c r="A232" s="368" t="s">
        <v>581</v>
      </c>
      <c r="B232" s="477" t="s">
        <v>1181</v>
      </c>
      <c r="C232" s="427"/>
      <c r="D232" s="431">
        <f>IF(E232="","",VLOOKUP(E232,BASE!$F$20:$H$25,2,FALSE))</f>
        <v>6</v>
      </c>
      <c r="E232" s="399" t="s">
        <v>537</v>
      </c>
      <c r="F232" s="436" t="s">
        <v>546</v>
      </c>
      <c r="G232" s="437">
        <f>IF(F232="","",VLOOKUP(F232,BASE!$B$15:$C$18,2,FALSE))</f>
        <v>3</v>
      </c>
      <c r="H232" s="355">
        <v>40</v>
      </c>
      <c r="I232" s="423">
        <f t="shared" si="54"/>
        <v>40</v>
      </c>
      <c r="J232" s="354">
        <v>25</v>
      </c>
      <c r="K232" s="354">
        <v>6</v>
      </c>
      <c r="L232" s="399">
        <v>3</v>
      </c>
      <c r="M232" s="399">
        <v>3</v>
      </c>
      <c r="N232" s="399">
        <v>3</v>
      </c>
      <c r="O232" s="355">
        <f t="shared" si="55"/>
        <v>40</v>
      </c>
      <c r="P232" s="354"/>
      <c r="Q232" s="354"/>
      <c r="R232" s="355">
        <f t="shared" si="56"/>
        <v>0</v>
      </c>
      <c r="S232" s="354"/>
      <c r="T232" s="354"/>
      <c r="U232" s="354"/>
      <c r="V232" s="355">
        <f t="shared" si="57"/>
        <v>0</v>
      </c>
      <c r="W232" s="354"/>
      <c r="X232" s="477">
        <f t="shared" si="58"/>
        <v>40</v>
      </c>
      <c r="Y232" s="19" t="str">
        <f t="shared" si="59"/>
        <v xml:space="preserve">OK </v>
      </c>
      <c r="Z232" s="404" t="str">
        <f t="shared" si="60"/>
        <v xml:space="preserve"> </v>
      </c>
      <c r="AA232" s="478">
        <f>ROUND((IF(D232=1,(BASE!$G$51*I232),IF(D232=2,(BASE!$G$52*I232),IF(D232=3,(BASE!$G$53*I232),IF(D232=4,(BASE!$G$54*I232),IF(D232=5,(BASE!$G$55*I232),IF(D232=6,(BASE!$G$56*I232),0)))))))/1000,0)*1000</f>
        <v>2800000</v>
      </c>
      <c r="AB232" s="408">
        <v>0</v>
      </c>
      <c r="AC232" s="478">
        <f t="shared" si="61"/>
        <v>2800000</v>
      </c>
      <c r="AD232" s="478">
        <f>IF(G232=3,AC232*BASE!$I$62,IF(G232=1,AC232*(BASE!$I$61),IF(G232=2,AC232*(BASE!$I$63),AC232*BASE!$I$64)))</f>
        <v>29959999.999999996</v>
      </c>
      <c r="AE232" s="411">
        <f>IF(I232&lt;10,0,IF(AC232&lt;=BASE!$C$3*2,BASE!$C$2,0)*(AD232/AC232))</f>
        <v>0</v>
      </c>
      <c r="AF232" s="13">
        <v>0</v>
      </c>
      <c r="AG232" s="14">
        <f t="shared" si="52"/>
        <v>1664444.4444444443</v>
      </c>
      <c r="AH232" s="14">
        <f t="shared" si="62"/>
        <v>2635370</v>
      </c>
      <c r="AI232" s="14">
        <f t="shared" si="63"/>
        <v>2635370.3703703703</v>
      </c>
      <c r="AJ232" s="14">
        <f t="shared" si="53"/>
        <v>289890.74074074073</v>
      </c>
      <c r="AK232" s="14">
        <f>IF(I232=0,0,IF(G232=5,0,(AC232+AF232/12)*12*BASE!$C$5))</f>
        <v>2856000</v>
      </c>
      <c r="AL232" s="14">
        <f>IF(I232=0,0,IF(G232=5,0,(AC232+AF232/12)*12*BASE!$C$7))</f>
        <v>4032000</v>
      </c>
      <c r="AM232" s="14">
        <f>IF(I232=0,0,IF(G232=5,0,(AC232+AF232/12)*12*BASE!$C$9))</f>
        <v>175392</v>
      </c>
      <c r="AN232" s="412">
        <f>IF(I232=0,0,IF(G232=5,0,(AD232+AF232+AG232)*BASE!$C$10))</f>
        <v>2846199.9999999995</v>
      </c>
      <c r="AO232" s="837">
        <f t="shared" si="51"/>
        <v>47094667.555555552</v>
      </c>
      <c r="AP232" s="677">
        <f t="shared" si="64"/>
        <v>1.5719181427087969</v>
      </c>
      <c r="AQ232" s="1150" t="s">
        <v>1248</v>
      </c>
      <c r="AR232" s="1149"/>
      <c r="CG232" s="179"/>
      <c r="CH232" s="181"/>
      <c r="CI232" s="182"/>
    </row>
    <row r="233" spans="1:87" ht="13.5" customHeight="1" outlineLevel="1" x14ac:dyDescent="0.2">
      <c r="A233" s="368" t="s">
        <v>581</v>
      </c>
      <c r="B233" s="477" t="s">
        <v>1182</v>
      </c>
      <c r="C233" s="427"/>
      <c r="D233" s="431">
        <f>IF(E233="","",VLOOKUP(E233,BASE!$F$20:$H$25,2,FALSE))</f>
        <v>3</v>
      </c>
      <c r="E233" s="399" t="s">
        <v>540</v>
      </c>
      <c r="F233" s="436" t="s">
        <v>863</v>
      </c>
      <c r="G233" s="437">
        <f>IF(F233="","",VLOOKUP(F233,BASE!$B$15:$C$18,2,FALSE))</f>
        <v>4</v>
      </c>
      <c r="H233" s="355">
        <v>40</v>
      </c>
      <c r="I233" s="423">
        <f t="shared" si="54"/>
        <v>40</v>
      </c>
      <c r="J233" s="399">
        <v>18</v>
      </c>
      <c r="K233" s="354">
        <v>8</v>
      </c>
      <c r="L233" s="399">
        <v>6</v>
      </c>
      <c r="M233" s="399">
        <v>5</v>
      </c>
      <c r="N233" s="399">
        <v>3</v>
      </c>
      <c r="O233" s="355">
        <f t="shared" si="55"/>
        <v>40</v>
      </c>
      <c r="P233" s="354"/>
      <c r="Q233" s="354"/>
      <c r="R233" s="355">
        <f t="shared" si="56"/>
        <v>0</v>
      </c>
      <c r="S233" s="354"/>
      <c r="T233" s="354"/>
      <c r="U233" s="354"/>
      <c r="V233" s="355">
        <f t="shared" si="57"/>
        <v>0</v>
      </c>
      <c r="W233" s="354"/>
      <c r="X233" s="477">
        <f t="shared" si="58"/>
        <v>40</v>
      </c>
      <c r="Y233" s="19" t="str">
        <f t="shared" si="59"/>
        <v xml:space="preserve">OK </v>
      </c>
      <c r="Z233" s="404" t="str">
        <f t="shared" si="60"/>
        <v xml:space="preserve"> </v>
      </c>
      <c r="AA233" s="478">
        <f>ROUND((IF(D233=1,(BASE!$G$51*I233),IF(D233=2,(BASE!$G$52*I233),IF(D233=3,(BASE!$G$53*I233),IF(D233=4,(BASE!$G$54*I233),IF(D233=5,(BASE!$G$55*I233),IF(D233=6,(BASE!$G$56*I233),0)))))))/1000,0)*1000</f>
        <v>5472000</v>
      </c>
      <c r="AB233" s="408">
        <v>0</v>
      </c>
      <c r="AC233" s="478">
        <f t="shared" si="61"/>
        <v>5472000</v>
      </c>
      <c r="AD233" s="478">
        <f>IF(G233=3,AC233*BASE!$I$62,IF(G233=1,AC233*(BASE!$I$61),IF(G233=2,AC233*(BASE!$I$63),AC233*BASE!$I$64)))</f>
        <v>62198400</v>
      </c>
      <c r="AE233" s="411">
        <f>IF(I233&lt;10,0,IF(AC233&lt;=BASE!$C$3*2,BASE!$C$2,0)*(AD233/AC233))</f>
        <v>0</v>
      </c>
      <c r="AF233" s="13">
        <v>0</v>
      </c>
      <c r="AG233" s="14">
        <f t="shared" si="52"/>
        <v>3455466.6666666665</v>
      </c>
      <c r="AH233" s="14">
        <f t="shared" si="62"/>
        <v>5471156</v>
      </c>
      <c r="AI233" s="14">
        <f t="shared" si="63"/>
        <v>5471155.555555556</v>
      </c>
      <c r="AJ233" s="14">
        <f t="shared" si="53"/>
        <v>656538.66666666674</v>
      </c>
      <c r="AK233" s="14">
        <f>IF(I233=0,0,IF(G233=5,0,(AC233+AF233/12)*12*BASE!$C$5))</f>
        <v>5581440</v>
      </c>
      <c r="AL233" s="14">
        <f>IF(I233=0,0,IF(G233=5,0,(AC233+AF233/12)*12*BASE!$C$7))</f>
        <v>7879680</v>
      </c>
      <c r="AM233" s="14">
        <f>IF(I233=0,0,IF(G233=5,0,(AC233+AF233/12)*12*BASE!$C$9))</f>
        <v>342766.08000000002</v>
      </c>
      <c r="AN233" s="412">
        <f>IF(I233=0,0,IF(G233=5,0,(AD233+AF233+AG233)*BASE!$C$10))</f>
        <v>5908848</v>
      </c>
      <c r="AO233" s="837">
        <f t="shared" si="51"/>
        <v>96965450.968888879</v>
      </c>
      <c r="AP233" s="677">
        <f t="shared" si="64"/>
        <v>1.5589701820125417</v>
      </c>
      <c r="AQ233" s="1148"/>
      <c r="AR233" s="1149"/>
      <c r="CG233" s="179"/>
      <c r="CH233" s="181"/>
      <c r="CI233" s="182"/>
    </row>
    <row r="234" spans="1:87" ht="13.5" customHeight="1" outlineLevel="1" x14ac:dyDescent="0.2">
      <c r="A234" s="368" t="s">
        <v>581</v>
      </c>
      <c r="B234" s="477" t="s">
        <v>1183</v>
      </c>
      <c r="C234" s="427"/>
      <c r="D234" s="431">
        <f>IF(E234="","",VLOOKUP(E234,BASE!$F$20:$H$25,2,FALSE))</f>
        <v>2</v>
      </c>
      <c r="E234" s="399" t="s">
        <v>541</v>
      </c>
      <c r="F234" s="436" t="s">
        <v>863</v>
      </c>
      <c r="G234" s="437">
        <f>IF(F234="","",VLOOKUP(F234,BASE!$B$15:$C$18,2,FALSE))</f>
        <v>4</v>
      </c>
      <c r="H234" s="355">
        <v>35</v>
      </c>
      <c r="I234" s="423">
        <f t="shared" si="54"/>
        <v>35</v>
      </c>
      <c r="J234" s="354">
        <v>10</v>
      </c>
      <c r="K234" s="354">
        <v>6</v>
      </c>
      <c r="L234" s="399">
        <v>5</v>
      </c>
      <c r="M234" s="399">
        <v>8</v>
      </c>
      <c r="N234" s="354"/>
      <c r="O234" s="355">
        <f t="shared" si="55"/>
        <v>29</v>
      </c>
      <c r="P234" s="354"/>
      <c r="Q234" s="354"/>
      <c r="R234" s="355">
        <f t="shared" si="56"/>
        <v>0</v>
      </c>
      <c r="S234" s="354"/>
      <c r="T234" s="354"/>
      <c r="U234" s="354"/>
      <c r="V234" s="355">
        <f t="shared" si="57"/>
        <v>0</v>
      </c>
      <c r="W234" s="354">
        <v>6</v>
      </c>
      <c r="X234" s="477">
        <f t="shared" si="58"/>
        <v>35</v>
      </c>
      <c r="Y234" s="19" t="str">
        <f t="shared" si="59"/>
        <v xml:space="preserve">OK </v>
      </c>
      <c r="Z234" s="404" t="str">
        <f t="shared" si="60"/>
        <v xml:space="preserve"> </v>
      </c>
      <c r="AA234" s="478">
        <f>ROUND((IF(D234=1,(BASE!$G$51*I234),IF(D234=2,(BASE!$G$52*I234),IF(D234=3,(BASE!$G$53*I234),IF(D234=4,(BASE!$G$54*I234),IF(D234=5,(BASE!$G$55*I234),IF(D234=6,(BASE!$G$56*I234),0)))))))/1000,0)*1000</f>
        <v>7014000</v>
      </c>
      <c r="AB234" s="408">
        <v>0</v>
      </c>
      <c r="AC234" s="478">
        <f t="shared" si="61"/>
        <v>7014000</v>
      </c>
      <c r="AD234" s="478">
        <f>IF(G234=3,AC234*BASE!$I$62,IF(G234=1,AC234*(BASE!$I$61),IF(G234=2,AC234*(BASE!$I$63),AC234*BASE!$I$64)))</f>
        <v>79725800</v>
      </c>
      <c r="AE234" s="411">
        <f>IF(I234&lt;10,0,IF(AC234&lt;=BASE!$C$3*2,BASE!$C$2,0)*(AD234/AC234))</f>
        <v>0</v>
      </c>
      <c r="AF234" s="13">
        <v>0</v>
      </c>
      <c r="AG234" s="14">
        <f t="shared" si="52"/>
        <v>4429211.111111111</v>
      </c>
      <c r="AH234" s="14">
        <f t="shared" si="62"/>
        <v>7012918</v>
      </c>
      <c r="AI234" s="14">
        <f t="shared" si="63"/>
        <v>7012917.5925925933</v>
      </c>
      <c r="AJ234" s="14">
        <f t="shared" si="53"/>
        <v>841550.11111111112</v>
      </c>
      <c r="AK234" s="14">
        <f>IF(I234=0,0,IF(G234=5,0,(AC234+AF234/12)*12*BASE!$C$5))</f>
        <v>7154280.0000000009</v>
      </c>
      <c r="AL234" s="14">
        <v>0</v>
      </c>
      <c r="AM234" s="14">
        <f>IF(I234=0,0,IF(G234=5,0,(AC234+AF234/12)*12*BASE!$C$9))</f>
        <v>439356.95999999996</v>
      </c>
      <c r="AN234" s="412">
        <f>IF(I234=0,0,IF(G234=5,0,(AD234+AF234+AG234)*BASE!$C$10))</f>
        <v>7573950.9999999991</v>
      </c>
      <c r="AO234" s="837">
        <f t="shared" si="51"/>
        <v>114189984.7748148</v>
      </c>
      <c r="AP234" s="677">
        <f t="shared" si="64"/>
        <v>1.4322839629682587</v>
      </c>
      <c r="AQ234" s="1148"/>
      <c r="AR234" s="1149"/>
      <c r="CG234" s="179"/>
      <c r="CH234" s="181"/>
      <c r="CI234" s="182"/>
    </row>
    <row r="235" spans="1:87" ht="13.5" customHeight="1" outlineLevel="1" x14ac:dyDescent="0.2">
      <c r="A235" s="368" t="s">
        <v>581</v>
      </c>
      <c r="B235" s="477" t="s">
        <v>1184</v>
      </c>
      <c r="C235" s="427"/>
      <c r="D235" s="431">
        <f>IF(E235="","",VLOOKUP(E235,BASE!$F$20:$H$25,2,FALSE))</f>
        <v>2</v>
      </c>
      <c r="E235" s="399" t="s">
        <v>541</v>
      </c>
      <c r="F235" s="436" t="s">
        <v>863</v>
      </c>
      <c r="G235" s="437">
        <f>IF(F235="","",VLOOKUP(F235,BASE!$B$15:$C$18,2,FALSE))</f>
        <v>4</v>
      </c>
      <c r="H235" s="355">
        <v>40</v>
      </c>
      <c r="I235" s="423">
        <f t="shared" si="54"/>
        <v>40</v>
      </c>
      <c r="J235" s="354">
        <v>11</v>
      </c>
      <c r="K235" s="354">
        <v>5</v>
      </c>
      <c r="L235" s="399">
        <v>5</v>
      </c>
      <c r="M235" s="399">
        <v>3</v>
      </c>
      <c r="N235" s="399">
        <v>4</v>
      </c>
      <c r="O235" s="355">
        <f t="shared" si="55"/>
        <v>28</v>
      </c>
      <c r="P235" s="354"/>
      <c r="Q235" s="399">
        <v>8</v>
      </c>
      <c r="R235" s="355">
        <f t="shared" si="56"/>
        <v>8</v>
      </c>
      <c r="S235" s="354"/>
      <c r="T235" s="354"/>
      <c r="U235" s="354"/>
      <c r="V235" s="355">
        <f t="shared" si="57"/>
        <v>0</v>
      </c>
      <c r="W235" s="354">
        <v>4</v>
      </c>
      <c r="X235" s="477">
        <f t="shared" si="58"/>
        <v>40</v>
      </c>
      <c r="Y235" s="19" t="str">
        <f t="shared" si="59"/>
        <v xml:space="preserve">OK </v>
      </c>
      <c r="Z235" s="404" t="str">
        <f t="shared" si="60"/>
        <v xml:space="preserve"> </v>
      </c>
      <c r="AA235" s="478">
        <f>ROUND((IF(D235=1,(BASE!$G$51*I235),IF(D235=2,(BASE!$G$52*I235),IF(D235=3,(BASE!$G$53*I235),IF(D235=4,(BASE!$G$54*I235),IF(D235=5,(BASE!$G$55*I235),IF(D235=6,(BASE!$G$56*I235),0)))))))/1000,0)*1000</f>
        <v>8016000</v>
      </c>
      <c r="AB235" s="408">
        <v>388000</v>
      </c>
      <c r="AC235" s="478">
        <f t="shared" si="61"/>
        <v>8404000</v>
      </c>
      <c r="AD235" s="478">
        <f>IF(G235=3,AC235*BASE!$I$62,IF(G235=1,AC235*(BASE!$I$61),IF(G235=2,AC235*(BASE!$I$63),AC235*BASE!$I$64)))</f>
        <v>95525466.666666672</v>
      </c>
      <c r="AE235" s="411">
        <f>IF(I235&lt;10,0,IF(AC235&lt;=BASE!$C$3*2,BASE!$C$2,0)*(AD235/AC235))</f>
        <v>0</v>
      </c>
      <c r="AF235" s="13">
        <v>0</v>
      </c>
      <c r="AG235" s="14">
        <f t="shared" si="52"/>
        <v>5306970.3703703703</v>
      </c>
      <c r="AH235" s="14">
        <f t="shared" si="62"/>
        <v>8402703</v>
      </c>
      <c r="AI235" s="14">
        <f t="shared" si="63"/>
        <v>8402703.0864197537</v>
      </c>
      <c r="AJ235" s="14">
        <f t="shared" si="53"/>
        <v>1008324.3703703705</v>
      </c>
      <c r="AK235" s="14">
        <f>IF(I235=0,0,IF(G235=5,0,(AC235+AF235/12)*12*BASE!$C$5))</f>
        <v>8572080</v>
      </c>
      <c r="AL235" s="14">
        <v>0</v>
      </c>
      <c r="AM235" s="14">
        <f>IF(I235=0,0,IF(G235=5,0,(AC235+AF235/12)*12*BASE!$C$9))</f>
        <v>526426.55999999994</v>
      </c>
      <c r="AN235" s="412">
        <f>IF(I235=0,0,IF(G235=5,0,(AD235+AF235+AG235)*BASE!$C$10))</f>
        <v>9074919.333333334</v>
      </c>
      <c r="AO235" s="837">
        <f t="shared" si="51"/>
        <v>136819593.38716051</v>
      </c>
      <c r="AP235" s="677">
        <f t="shared" si="64"/>
        <v>1.4322839569534738</v>
      </c>
      <c r="AQ235" s="1148"/>
      <c r="AR235" s="1149"/>
      <c r="CG235" s="179"/>
      <c r="CH235" s="181"/>
      <c r="CI235" s="182"/>
    </row>
    <row r="236" spans="1:87" ht="13.5" customHeight="1" outlineLevel="1" x14ac:dyDescent="0.2">
      <c r="A236" s="368" t="s">
        <v>581</v>
      </c>
      <c r="B236" s="477" t="s">
        <v>1185</v>
      </c>
      <c r="C236" s="427"/>
      <c r="D236" s="431">
        <f>IF(E236="","",VLOOKUP(E236,BASE!$F$20:$H$25,2,FALSE))</f>
        <v>4</v>
      </c>
      <c r="E236" s="399" t="s">
        <v>539</v>
      </c>
      <c r="F236" s="436" t="s">
        <v>546</v>
      </c>
      <c r="G236" s="437">
        <f>IF(F236="","",VLOOKUP(F236,BASE!$B$15:$C$18,2,FALSE))</f>
        <v>3</v>
      </c>
      <c r="H236" s="355">
        <v>10</v>
      </c>
      <c r="I236" s="423">
        <v>10</v>
      </c>
      <c r="J236" s="354">
        <v>6</v>
      </c>
      <c r="K236" s="354">
        <v>2</v>
      </c>
      <c r="L236" s="399">
        <v>2</v>
      </c>
      <c r="M236" s="354"/>
      <c r="N236" s="399"/>
      <c r="O236" s="355">
        <f t="shared" si="55"/>
        <v>10</v>
      </c>
      <c r="P236" s="354"/>
      <c r="Q236" s="354"/>
      <c r="R236" s="355">
        <f t="shared" si="56"/>
        <v>0</v>
      </c>
      <c r="S236" s="354"/>
      <c r="T236" s="354"/>
      <c r="U236" s="354"/>
      <c r="V236" s="355">
        <f t="shared" si="57"/>
        <v>0</v>
      </c>
      <c r="W236" s="354"/>
      <c r="X236" s="477">
        <f t="shared" si="58"/>
        <v>10</v>
      </c>
      <c r="Y236" s="19" t="str">
        <f t="shared" si="59"/>
        <v xml:space="preserve">OK </v>
      </c>
      <c r="Z236" s="404" t="str">
        <f t="shared" si="60"/>
        <v xml:space="preserve"> </v>
      </c>
      <c r="AA236" s="478">
        <f>ROUND((IF(D236=1,(BASE!$G$51*I236),IF(D236=2,(BASE!$G$52*I236),IF(D236=3,(BASE!$G$53*I236),IF(D236=4,(BASE!$G$54*I236),IF(D236=5,(BASE!$G$55*I236),IF(D236=6,(BASE!$G$56*I236),0)))))))/1000,0)*1000</f>
        <v>1114000</v>
      </c>
      <c r="AB236" s="408">
        <v>0</v>
      </c>
      <c r="AC236" s="478">
        <f t="shared" si="61"/>
        <v>1114000</v>
      </c>
      <c r="AD236" s="478">
        <f>IF(G236=3,AC236*BASE!$I$62,IF(G236=1,AC236*(BASE!$I$61),IF(G236=2,AC236*(BASE!$I$63),AC236*BASE!$I$64)))</f>
        <v>11919800</v>
      </c>
      <c r="AE236" s="411">
        <f>IF(I236&lt;10,0,IF(AC236&lt;=BASE!$C$3*2,BASE!$C$2,0)*(AD236/AC236))</f>
        <v>943857.7</v>
      </c>
      <c r="AF236" s="13">
        <v>0</v>
      </c>
      <c r="AG236" s="14">
        <f t="shared" si="52"/>
        <v>662211.11111111112</v>
      </c>
      <c r="AH236" s="14">
        <f t="shared" si="62"/>
        <v>1127156</v>
      </c>
      <c r="AI236" s="14">
        <f t="shared" si="63"/>
        <v>1127155.7342592592</v>
      </c>
      <c r="AJ236" s="14">
        <f t="shared" si="53"/>
        <v>123987.13076851852</v>
      </c>
      <c r="AK236" s="14">
        <f>IF(I236=0,0,IF(G236=5,0,(AC236+AF236/12)*12*BASE!$C$5))</f>
        <v>1136280</v>
      </c>
      <c r="AL236" s="14">
        <f>IF(I236=0,0,IF(G236=5,0,(AC236+AF236/12)*12*BASE!$C$7))</f>
        <v>1604160</v>
      </c>
      <c r="AM236" s="14">
        <f>IF(I236=0,0,IF(G236=5,0,(AC236+AF236/12)*12*BASE!$C$9))</f>
        <v>69780.959999999992</v>
      </c>
      <c r="AN236" s="412">
        <f>IF(I236=0,0,IF(G236=5,0,(AD236+AF236+AG236)*BASE!$C$10))</f>
        <v>1132381</v>
      </c>
      <c r="AO236" s="837">
        <f t="shared" si="51"/>
        <v>19846769.63613889</v>
      </c>
      <c r="AP236" s="677">
        <f t="shared" si="64"/>
        <v>1.6650253893638223</v>
      </c>
      <c r="AQ236" s="1150" t="s">
        <v>1313</v>
      </c>
      <c r="AR236" s="1149"/>
      <c r="CG236" s="179"/>
      <c r="CH236" s="181"/>
      <c r="CI236" s="182"/>
    </row>
    <row r="237" spans="1:87" ht="13.5" customHeight="1" outlineLevel="1" x14ac:dyDescent="0.2">
      <c r="A237" s="368" t="s">
        <v>581</v>
      </c>
      <c r="B237" s="477" t="s">
        <v>1186</v>
      </c>
      <c r="C237" s="427"/>
      <c r="D237" s="431">
        <f>IF(E237="","",VLOOKUP(E237,BASE!$F$20:$H$25,2,FALSE))</f>
        <v>2</v>
      </c>
      <c r="E237" s="399" t="s">
        <v>541</v>
      </c>
      <c r="F237" s="436" t="s">
        <v>258</v>
      </c>
      <c r="G237" s="437">
        <f>IF(F237="","",VLOOKUP(F237,BASE!$B$15:$C$18,2,FALSE))</f>
        <v>2</v>
      </c>
      <c r="H237" s="355">
        <v>20</v>
      </c>
      <c r="I237" s="423">
        <f t="shared" si="54"/>
        <v>20</v>
      </c>
      <c r="J237" s="354"/>
      <c r="K237" s="354"/>
      <c r="L237" s="354"/>
      <c r="M237" s="354"/>
      <c r="N237" s="354"/>
      <c r="O237" s="355">
        <f t="shared" si="55"/>
        <v>0</v>
      </c>
      <c r="P237" s="354"/>
      <c r="Q237" s="354"/>
      <c r="R237" s="355">
        <f t="shared" si="56"/>
        <v>0</v>
      </c>
      <c r="S237" s="354"/>
      <c r="T237" s="354"/>
      <c r="U237" s="354"/>
      <c r="V237" s="355">
        <f t="shared" si="57"/>
        <v>0</v>
      </c>
      <c r="W237" s="354">
        <v>20</v>
      </c>
      <c r="X237" s="477">
        <f t="shared" si="58"/>
        <v>20</v>
      </c>
      <c r="Y237" s="19" t="str">
        <f t="shared" si="59"/>
        <v xml:space="preserve">OK </v>
      </c>
      <c r="Z237" s="404" t="str">
        <f t="shared" si="60"/>
        <v xml:space="preserve"> </v>
      </c>
      <c r="AA237" s="478">
        <f>ROUND((IF(D237=1,(BASE!$G$51*I237),IF(D237=2,(BASE!$G$52*I237),IF(D237=3,(BASE!$G$53*I237),IF(D237=4,(BASE!$G$54*I237),IF(D237=5,(BASE!$G$55*I237),IF(D237=6,(BASE!$G$56*I237),0)))))))/1000,0)*1000</f>
        <v>4008000</v>
      </c>
      <c r="AB237" s="408">
        <v>0</v>
      </c>
      <c r="AC237" s="478">
        <f t="shared" si="61"/>
        <v>4008000</v>
      </c>
      <c r="AD237" s="478">
        <f>IF(G237=3,AC237*BASE!$I$62,IF(G237=1,AC237*(BASE!$I$61),IF(G237=2,AC237*(BASE!$I$63),AC237*BASE!$I$64)))</f>
        <v>45557600</v>
      </c>
      <c r="AE237" s="411">
        <f>IF(I237&lt;10,0,IF(AC237&lt;=BASE!$C$3*2,BASE!$C$2,0)*(AD237/AC237))</f>
        <v>0</v>
      </c>
      <c r="AF237" s="13">
        <v>0</v>
      </c>
      <c r="AG237" s="14">
        <f t="shared" si="52"/>
        <v>2530977.7777777775</v>
      </c>
      <c r="AH237" s="14">
        <f t="shared" si="62"/>
        <v>4007381</v>
      </c>
      <c r="AI237" s="14">
        <f t="shared" si="63"/>
        <v>4007381.4814814813</v>
      </c>
      <c r="AJ237" s="14">
        <f t="shared" si="53"/>
        <v>480885.77777777775</v>
      </c>
      <c r="AK237" s="14">
        <f>IF(I237=0,0,IF(G237=5,0,(AC237+AF237/12)*12*BASE!$C$5))</f>
        <v>4088160.0000000005</v>
      </c>
      <c r="AL237" s="14">
        <f>IF(I237=0,0,IF(G237=5,0,(AC237+AF237/12)*12*BASE!$C$7))</f>
        <v>5771520</v>
      </c>
      <c r="AM237" s="14">
        <f>IF(I237=0,0,IF(G237=5,0,(AC237+AF237/12)*12*BASE!$C$9))</f>
        <v>251061.12</v>
      </c>
      <c r="AN237" s="412">
        <f>IF(I237=0,0,IF(G237=5,0,(AD237+AF237+AG237)*BASE!$C$10))</f>
        <v>4327972</v>
      </c>
      <c r="AO237" s="837">
        <f t="shared" si="51"/>
        <v>71022939.15703702</v>
      </c>
      <c r="AP237" s="677">
        <f t="shared" si="64"/>
        <v>1.5589701642983174</v>
      </c>
      <c r="AQ237" s="1148"/>
      <c r="AR237" s="1149"/>
      <c r="CG237" s="179"/>
      <c r="CH237" s="181"/>
      <c r="CI237" s="182"/>
    </row>
    <row r="238" spans="1:87" ht="13.5" customHeight="1" outlineLevel="1" x14ac:dyDescent="0.2">
      <c r="A238" s="368" t="s">
        <v>581</v>
      </c>
      <c r="B238" s="477" t="s">
        <v>1187</v>
      </c>
      <c r="C238" s="427"/>
      <c r="D238" s="431">
        <f>IF(E238="","",VLOOKUP(E238,BASE!$F$20:$H$25,2,FALSE))</f>
        <v>5</v>
      </c>
      <c r="E238" s="399" t="s">
        <v>538</v>
      </c>
      <c r="F238" s="436" t="s">
        <v>546</v>
      </c>
      <c r="G238" s="437">
        <f>IF(F238="","",VLOOKUP(F238,BASE!$B$15:$C$18,2,FALSE))</f>
        <v>3</v>
      </c>
      <c r="H238" s="355">
        <v>13</v>
      </c>
      <c r="I238" s="423">
        <v>15</v>
      </c>
      <c r="J238" s="399">
        <v>6</v>
      </c>
      <c r="K238" s="399">
        <v>4</v>
      </c>
      <c r="L238" s="399">
        <v>2</v>
      </c>
      <c r="M238" s="354"/>
      <c r="N238" s="399">
        <v>3</v>
      </c>
      <c r="O238" s="355">
        <f t="shared" si="55"/>
        <v>15</v>
      </c>
      <c r="P238" s="354"/>
      <c r="Q238" s="354"/>
      <c r="R238" s="355">
        <f t="shared" si="56"/>
        <v>0</v>
      </c>
      <c r="S238" s="354"/>
      <c r="T238" s="354"/>
      <c r="U238" s="354"/>
      <c r="V238" s="355">
        <f t="shared" si="57"/>
        <v>0</v>
      </c>
      <c r="W238" s="354"/>
      <c r="X238" s="477">
        <f t="shared" si="58"/>
        <v>15</v>
      </c>
      <c r="Y238" s="19" t="str">
        <f t="shared" si="59"/>
        <v xml:space="preserve">OK </v>
      </c>
      <c r="Z238" s="404" t="str">
        <f t="shared" si="60"/>
        <v>AJUSTE</v>
      </c>
      <c r="AA238" s="478">
        <f>ROUND((IF(D238=1,(BASE!$G$51*I238),IF(D238=2,(BASE!$G$52*I238),IF(D238=3,(BASE!$G$53*I238),IF(D238=4,(BASE!$G$54*I238),IF(D238=5,(BASE!$G$55*I238),IF(D238=6,(BASE!$G$56*I238),0)))))))/1000,0)*1000</f>
        <v>1335000</v>
      </c>
      <c r="AB238" s="408">
        <v>0</v>
      </c>
      <c r="AC238" s="478">
        <f t="shared" si="61"/>
        <v>1335000</v>
      </c>
      <c r="AD238" s="478">
        <f>IF(G238=3,AC238*BASE!$I$62,IF(G238=1,AC238*(BASE!$I$61),IF(G238=2,AC238*(BASE!$I$63),AC238*BASE!$I$64)))</f>
        <v>14284499.999999998</v>
      </c>
      <c r="AE238" s="411">
        <f>IF(I238&lt;10,0,IF(AC238&lt;=BASE!$C$3*2,BASE!$C$2,0)*(AD238/AC238))</f>
        <v>943857.7</v>
      </c>
      <c r="AF238" s="13">
        <v>0</v>
      </c>
      <c r="AG238" s="14">
        <f t="shared" si="52"/>
        <v>793583.33333333314</v>
      </c>
      <c r="AH238" s="14">
        <f t="shared" si="62"/>
        <v>1335162</v>
      </c>
      <c r="AI238" s="14">
        <f t="shared" si="63"/>
        <v>1335161.7527777776</v>
      </c>
      <c r="AJ238" s="14">
        <f t="shared" si="53"/>
        <v>146867.79280555554</v>
      </c>
      <c r="AK238" s="14">
        <f>IF(I238=0,0,IF(G238=5,0,(AC238+AF238/12)*12*BASE!$C$5))</f>
        <v>1361700</v>
      </c>
      <c r="AL238" s="14">
        <f>IF(I238=0,0,IF(G238=5,0,(AC238+AF238/12)*12*BASE!$C$7))</f>
        <v>1922400</v>
      </c>
      <c r="AM238" s="14">
        <f>IF(I238=0,0,IF(G238=5,0,(AC238+AF238/12)*12*BASE!$C$9))</f>
        <v>83624.399999999994</v>
      </c>
      <c r="AN238" s="412">
        <f>IF(I238=0,0,IF(G238=5,0,(AD238+AF238+AG238)*BASE!$C$10))</f>
        <v>1357027.4999999998</v>
      </c>
      <c r="AO238" s="837">
        <f t="shared" si="51"/>
        <v>23563884.478916664</v>
      </c>
      <c r="AP238" s="677">
        <f t="shared" si="64"/>
        <v>1.6496121305552638</v>
      </c>
      <c r="AQ238" s="1150" t="s">
        <v>1447</v>
      </c>
      <c r="AR238" s="1149"/>
      <c r="CG238" s="179"/>
      <c r="CH238" s="181"/>
      <c r="CI238" s="182"/>
    </row>
    <row r="239" spans="1:87" ht="13.5" customHeight="1" outlineLevel="1" x14ac:dyDescent="0.2">
      <c r="A239" s="368" t="s">
        <v>581</v>
      </c>
      <c r="B239" s="477" t="s">
        <v>1188</v>
      </c>
      <c r="C239" s="427"/>
      <c r="D239" s="431">
        <f>IF(E239="","",VLOOKUP(E239,BASE!$F$20:$H$25,2,FALSE))</f>
        <v>5</v>
      </c>
      <c r="E239" s="399" t="s">
        <v>538</v>
      </c>
      <c r="F239" s="436" t="s">
        <v>546</v>
      </c>
      <c r="G239" s="437">
        <f>IF(F239="","",VLOOKUP(F239,BASE!$B$15:$C$18,2,FALSE))</f>
        <v>3</v>
      </c>
      <c r="H239" s="355">
        <v>8</v>
      </c>
      <c r="I239" s="423">
        <f t="shared" si="54"/>
        <v>8</v>
      </c>
      <c r="J239" s="399">
        <v>2</v>
      </c>
      <c r="K239" s="399">
        <v>1</v>
      </c>
      <c r="L239" s="399">
        <v>1</v>
      </c>
      <c r="M239" s="354"/>
      <c r="N239" s="354"/>
      <c r="O239" s="355">
        <f t="shared" si="55"/>
        <v>4</v>
      </c>
      <c r="P239" s="354"/>
      <c r="Q239" s="354"/>
      <c r="R239" s="355">
        <f t="shared" si="56"/>
        <v>0</v>
      </c>
      <c r="S239" s="354">
        <v>4</v>
      </c>
      <c r="T239" s="354"/>
      <c r="U239" s="354"/>
      <c r="V239" s="355">
        <f t="shared" si="57"/>
        <v>4</v>
      </c>
      <c r="W239" s="354"/>
      <c r="X239" s="477">
        <f t="shared" si="58"/>
        <v>8</v>
      </c>
      <c r="Y239" s="19" t="str">
        <f t="shared" si="59"/>
        <v xml:space="preserve">OK </v>
      </c>
      <c r="Z239" s="404" t="str">
        <f t="shared" si="60"/>
        <v xml:space="preserve"> </v>
      </c>
      <c r="AA239" s="478">
        <f>ROUND((IF(D239=1,(BASE!$G$51*I239),IF(D239=2,(BASE!$G$52*I239),IF(D239=3,(BASE!$G$53*I239),IF(D239=4,(BASE!$G$54*I239),IF(D239=5,(BASE!$G$55*I239),IF(D239=6,(BASE!$G$56*I239),0)))))))/1000,0)*1000</f>
        <v>712000</v>
      </c>
      <c r="AB239" s="408">
        <v>0</v>
      </c>
      <c r="AC239" s="478">
        <f t="shared" si="61"/>
        <v>712000</v>
      </c>
      <c r="AD239" s="478">
        <f>IF(G239=3,AC239*BASE!$I$62,IF(G239=1,AC239*(BASE!$I$61),IF(G239=2,AC239*(BASE!$I$63),AC239*BASE!$I$64)))</f>
        <v>7618399.9999999991</v>
      </c>
      <c r="AE239" s="411">
        <f>IF(I239&lt;10,0,IF(AC239&lt;=BASE!$C$3*2,BASE!$C$2,0)*(AD239/AC239))</f>
        <v>0</v>
      </c>
      <c r="AF239" s="13">
        <v>0</v>
      </c>
      <c r="AG239" s="14">
        <f t="shared" si="52"/>
        <v>423244.44444444444</v>
      </c>
      <c r="AH239" s="14">
        <f t="shared" si="62"/>
        <v>670137</v>
      </c>
      <c r="AI239" s="14">
        <f t="shared" si="63"/>
        <v>670137.03703703696</v>
      </c>
      <c r="AJ239" s="14">
        <f t="shared" si="53"/>
        <v>73715.074074074073</v>
      </c>
      <c r="AK239" s="14">
        <f>IF(I239=0,0,IF(G239=5,0,(AC239+AF239/12)*12*BASE!$C$5))</f>
        <v>726240</v>
      </c>
      <c r="AL239" s="14">
        <f>IF(I239=0,0,IF(G239=5,0,(AC239+AF239/12)*12*BASE!$C$7))</f>
        <v>1025280</v>
      </c>
      <c r="AM239" s="14">
        <f>IF(I239=0,0,IF(G239=5,0,(AC239+AF239/12)*12*BASE!$C$9))</f>
        <v>44599.68</v>
      </c>
      <c r="AN239" s="412">
        <f>IF(I239=0,0,IF(G239=5,0,(AD239+AF239+AG239)*BASE!$C$10))</f>
        <v>723747.99999999988</v>
      </c>
      <c r="AO239" s="837">
        <f t="shared" si="51"/>
        <v>11975501.235555556</v>
      </c>
      <c r="AP239" s="677">
        <f t="shared" si="64"/>
        <v>1.5719181502094346</v>
      </c>
      <c r="AQ239" s="1148"/>
      <c r="AR239" s="1149"/>
      <c r="CG239" s="179"/>
      <c r="CH239" s="181"/>
      <c r="CI239" s="182"/>
    </row>
    <row r="240" spans="1:87" ht="13.5" customHeight="1" outlineLevel="1" x14ac:dyDescent="0.2">
      <c r="A240" s="368" t="s">
        <v>581</v>
      </c>
      <c r="B240" s="477" t="s">
        <v>1189</v>
      </c>
      <c r="C240" s="427"/>
      <c r="D240" s="431">
        <f>IF(E240="","",VLOOKUP(E240,BASE!$F$20:$H$25,2,FALSE))</f>
        <v>4</v>
      </c>
      <c r="E240" s="399" t="s">
        <v>539</v>
      </c>
      <c r="F240" s="436" t="s">
        <v>546</v>
      </c>
      <c r="G240" s="437">
        <f>IF(F240="","",VLOOKUP(F240,BASE!$B$15:$C$18,2,FALSE))</f>
        <v>3</v>
      </c>
      <c r="H240" s="355">
        <v>20</v>
      </c>
      <c r="I240" s="423">
        <f t="shared" si="54"/>
        <v>20</v>
      </c>
      <c r="J240" s="354">
        <v>2</v>
      </c>
      <c r="K240" s="354">
        <v>2</v>
      </c>
      <c r="L240" s="399">
        <v>2</v>
      </c>
      <c r="M240" s="354"/>
      <c r="N240" s="399">
        <v>2</v>
      </c>
      <c r="O240" s="355">
        <f t="shared" si="55"/>
        <v>8</v>
      </c>
      <c r="P240" s="399">
        <v>12</v>
      </c>
      <c r="Q240" s="354"/>
      <c r="R240" s="355">
        <f t="shared" si="56"/>
        <v>12</v>
      </c>
      <c r="S240" s="354"/>
      <c r="T240" s="354"/>
      <c r="U240" s="354"/>
      <c r="V240" s="355">
        <f t="shared" si="57"/>
        <v>0</v>
      </c>
      <c r="W240" s="354"/>
      <c r="X240" s="477">
        <f t="shared" si="58"/>
        <v>20</v>
      </c>
      <c r="Y240" s="19" t="str">
        <f t="shared" si="59"/>
        <v xml:space="preserve">OK </v>
      </c>
      <c r="Z240" s="404" t="str">
        <f t="shared" si="60"/>
        <v xml:space="preserve"> </v>
      </c>
      <c r="AA240" s="478">
        <f>ROUND((IF(D240=1,(BASE!$G$51*I240),IF(D240=2,(BASE!$G$52*I240),IF(D240=3,(BASE!$G$53*I240),IF(D240=4,(BASE!$G$54*I240),IF(D240=5,(BASE!$G$55*I240),IF(D240=6,(BASE!$G$56*I240),0)))))))/1000,0)*1000</f>
        <v>2228000</v>
      </c>
      <c r="AB240" s="408">
        <v>0</v>
      </c>
      <c r="AC240" s="478">
        <f t="shared" si="61"/>
        <v>2228000</v>
      </c>
      <c r="AD240" s="478">
        <f>IF(G240=3,AC240*BASE!$I$62,IF(G240=1,AC240*(BASE!$I$61),IF(G240=2,AC240*(BASE!$I$63),AC240*BASE!$I$64)))</f>
        <v>23839600</v>
      </c>
      <c r="AE240" s="411">
        <f>IF(I240&lt;10,0,IF(AC240&lt;=BASE!$C$3*2,BASE!$C$2,0)*(AD240/AC240))</f>
        <v>0</v>
      </c>
      <c r="AF240" s="13">
        <v>0</v>
      </c>
      <c r="AG240" s="14">
        <f t="shared" si="52"/>
        <v>1324422.2222222222</v>
      </c>
      <c r="AH240" s="14">
        <f t="shared" si="62"/>
        <v>2097002</v>
      </c>
      <c r="AI240" s="14">
        <f t="shared" si="63"/>
        <v>2097001.8518518517</v>
      </c>
      <c r="AJ240" s="14">
        <f t="shared" si="53"/>
        <v>230670.20370370368</v>
      </c>
      <c r="AK240" s="14">
        <f>IF(I240=0,0,IF(G240=5,0,(AC240+AF240/12)*12*BASE!$C$5))</f>
        <v>2272560</v>
      </c>
      <c r="AL240" s="14">
        <f>IF(I240=0,0,IF(G240=5,0,(AC240+AF240/12)*12*BASE!$C$7))</f>
        <v>3208320</v>
      </c>
      <c r="AM240" s="14">
        <f>IF(I240=0,0,IF(G240=5,0,(AC240+AF240/12)*12*BASE!$C$9))</f>
        <v>139561.91999999998</v>
      </c>
      <c r="AN240" s="412">
        <f>IF(I240=0,0,IF(G240=5,0,(AD240+AF240+AG240)*BASE!$C$10))</f>
        <v>2264762</v>
      </c>
      <c r="AO240" s="837">
        <f t="shared" si="51"/>
        <v>37473900.197777778</v>
      </c>
      <c r="AP240" s="677">
        <f t="shared" si="64"/>
        <v>1.571918161285331</v>
      </c>
      <c r="AQ240" s="1148"/>
      <c r="AR240" s="1149"/>
      <c r="CG240" s="179"/>
      <c r="CH240" s="181"/>
      <c r="CI240" s="182"/>
    </row>
    <row r="241" spans="1:87" ht="13.5" customHeight="1" outlineLevel="1" x14ac:dyDescent="0.2">
      <c r="A241" s="368" t="s">
        <v>581</v>
      </c>
      <c r="B241" s="477" t="s">
        <v>1190</v>
      </c>
      <c r="C241" s="427"/>
      <c r="D241" s="431">
        <f>IF(E241="","",VLOOKUP(E241,BASE!$F$20:$H$25,2,FALSE))</f>
        <v>4</v>
      </c>
      <c r="E241" s="399" t="s">
        <v>539</v>
      </c>
      <c r="F241" s="436" t="s">
        <v>863</v>
      </c>
      <c r="G241" s="437">
        <f>IF(F241="","",VLOOKUP(F241,BASE!$B$15:$C$18,2,FALSE))</f>
        <v>4</v>
      </c>
      <c r="H241" s="355">
        <v>40</v>
      </c>
      <c r="I241" s="423">
        <f t="shared" ref="I241:I269" si="65">+H241</f>
        <v>40</v>
      </c>
      <c r="J241" s="399">
        <v>4</v>
      </c>
      <c r="K241" s="399">
        <v>2</v>
      </c>
      <c r="L241" s="399">
        <v>2</v>
      </c>
      <c r="M241" s="399">
        <v>2</v>
      </c>
      <c r="N241" s="399">
        <v>2</v>
      </c>
      <c r="O241" s="355">
        <f t="shared" ref="O241:O269" si="66">+J241+K241+L241+M241+N241</f>
        <v>12</v>
      </c>
      <c r="P241" s="354"/>
      <c r="Q241" s="399">
        <v>28</v>
      </c>
      <c r="R241" s="355">
        <f t="shared" ref="R241:R269" si="67">+P241+Q241</f>
        <v>28</v>
      </c>
      <c r="S241" s="354"/>
      <c r="T241" s="354"/>
      <c r="U241" s="354"/>
      <c r="V241" s="355">
        <f t="shared" ref="V241:V269" si="68">+S241+T241+U241</f>
        <v>0</v>
      </c>
      <c r="W241" s="354"/>
      <c r="X241" s="477">
        <f t="shared" ref="X241:X269" si="69">+O241+R241+V241+W241</f>
        <v>40</v>
      </c>
      <c r="Y241" s="19" t="str">
        <f t="shared" ref="Y241:Y269" si="70">IF(I241-X241=0,"OK ",IF(I241-X241&gt;0,"AJUSTE",IF(I241-X241&lt;0,"AJUSTE")))</f>
        <v xml:space="preserve">OK </v>
      </c>
      <c r="Z241" s="404" t="str">
        <f t="shared" ref="Z241:Z269" si="71">IF(H241-I241=0," ",IF(H241-I241&gt;0,"JUSTIFICAR","AJUSTE"))</f>
        <v xml:space="preserve"> </v>
      </c>
      <c r="AA241" s="478">
        <f>ROUND((IF(D241=1,(BASE!$G$51*I241),IF(D241=2,(BASE!$G$52*I241),IF(D241=3,(BASE!$G$53*I241),IF(D241=4,(BASE!$G$54*I241),IF(D241=5,(BASE!$G$55*I241),IF(D241=6,(BASE!$G$56*I241),0)))))))/1000,0)*1000</f>
        <v>4456000</v>
      </c>
      <c r="AB241" s="408">
        <v>0</v>
      </c>
      <c r="AC241" s="478">
        <f t="shared" ref="AC241:AC269" si="72">AA241+AB241</f>
        <v>4456000</v>
      </c>
      <c r="AD241" s="478">
        <f>IF(G241=3,AC241*BASE!$I$62,IF(G241=1,AC241*(BASE!$I$61),IF(G241=2,AC241*(BASE!$I$63),AC241*BASE!$I$64)))</f>
        <v>50649866.666666672</v>
      </c>
      <c r="AE241" s="411">
        <f>IF(I241&lt;10,0,IF(AC241&lt;=BASE!$C$3*2,BASE!$C$2,0)*(AD241/AC241))</f>
        <v>0</v>
      </c>
      <c r="AF241" s="13">
        <v>0</v>
      </c>
      <c r="AG241" s="14">
        <f t="shared" ref="AG241:AG269" si="73">IF(I241=0,0,IF(G241=5,0,((AD241/12)+(AF241/12))/3*2))</f>
        <v>2813881.4814814818</v>
      </c>
      <c r="AH241" s="14">
        <f t="shared" ref="AH241:AH269" si="74">ROUND((AD241/12)+(AE241/12)+(AF241/12)+(AG241/12),0)</f>
        <v>4455312</v>
      </c>
      <c r="AI241" s="14">
        <f t="shared" ref="AI241:AI269" si="75">((AD241/12)+(AE241/12)+(AF241/12)+(AG241/12))</f>
        <v>4455312.3456790131</v>
      </c>
      <c r="AJ241" s="14">
        <f t="shared" ref="AJ241:AJ269" si="76">IF(G241=3,(AI241*11%),IF(G241=4,(AI241*12%),IF(G241=2,(AI241*12%),IF(G241=1,(AI241*10%),0))))</f>
        <v>534637.48148148158</v>
      </c>
      <c r="AK241" s="14">
        <f>IF(I241=0,0,IF(G241=5,0,(AC241+AF241/12)*12*BASE!$C$5))</f>
        <v>4545120</v>
      </c>
      <c r="AL241" s="14">
        <f>IF(I241=0,0,IF(G241=5,0,(AC241+AF241/12)*12*BASE!$C$7))</f>
        <v>6416640</v>
      </c>
      <c r="AM241" s="14">
        <f>IF(I241=0,0,IF(G241=5,0,(AC241+AF241/12)*12*BASE!$C$9))</f>
        <v>279123.83999999997</v>
      </c>
      <c r="AN241" s="412">
        <f>IF(I241=0,0,IF(G241=5,0,(AD241+AF241+AG241)*BASE!$C$10))</f>
        <v>4811737.333333334</v>
      </c>
      <c r="AO241" s="837">
        <f t="shared" ref="AO241:AO269" si="77">+AD241+AE241+AF241+AG241+AH241+AI241+AJ241+AK241+AL241+AM241+AN241</f>
        <v>78961631.148641989</v>
      </c>
      <c r="AP241" s="677">
        <f t="shared" ref="AP241:AP269" si="78">IFERROR(AO241/AD241,"Sin datos")</f>
        <v>1.558970168042074</v>
      </c>
      <c r="AQ241" s="1148"/>
      <c r="AR241" s="1149"/>
      <c r="CG241" s="179"/>
      <c r="CH241" s="181"/>
      <c r="CI241" s="182"/>
    </row>
    <row r="242" spans="1:87" ht="13.5" customHeight="1" outlineLevel="1" x14ac:dyDescent="0.2">
      <c r="A242" s="368" t="s">
        <v>581</v>
      </c>
      <c r="B242" s="477" t="s">
        <v>1191</v>
      </c>
      <c r="C242" s="427"/>
      <c r="D242" s="431">
        <f>IF(E242="","",VLOOKUP(E242,BASE!$F$20:$H$25,2,FALSE))</f>
        <v>4</v>
      </c>
      <c r="E242" s="399" t="s">
        <v>539</v>
      </c>
      <c r="F242" s="436" t="s">
        <v>863</v>
      </c>
      <c r="G242" s="437">
        <f>IF(F242="","",VLOOKUP(F242,BASE!$B$15:$C$18,2,FALSE))</f>
        <v>4</v>
      </c>
      <c r="H242" s="355">
        <v>35</v>
      </c>
      <c r="I242" s="423">
        <v>35</v>
      </c>
      <c r="J242" s="399">
        <v>12</v>
      </c>
      <c r="K242" s="399">
        <v>6</v>
      </c>
      <c r="L242" s="399">
        <v>3</v>
      </c>
      <c r="M242" s="399">
        <v>2</v>
      </c>
      <c r="N242" s="399">
        <v>12</v>
      </c>
      <c r="O242" s="355">
        <f t="shared" si="66"/>
        <v>35</v>
      </c>
      <c r="P242" s="354"/>
      <c r="Q242" s="399"/>
      <c r="R242" s="355">
        <f t="shared" si="67"/>
        <v>0</v>
      </c>
      <c r="S242" s="354"/>
      <c r="T242" s="354"/>
      <c r="U242" s="354"/>
      <c r="V242" s="355">
        <f t="shared" si="68"/>
        <v>0</v>
      </c>
      <c r="W242" s="354"/>
      <c r="X242" s="477">
        <f t="shared" si="69"/>
        <v>35</v>
      </c>
      <c r="Y242" s="19" t="str">
        <f t="shared" si="70"/>
        <v xml:space="preserve">OK </v>
      </c>
      <c r="Z242" s="404" t="str">
        <f t="shared" si="71"/>
        <v xml:space="preserve"> </v>
      </c>
      <c r="AA242" s="478">
        <f>ROUND((IF(D242=1,(BASE!$G$51*I242),IF(D242=2,(BASE!$G$52*I242),IF(D242=3,(BASE!$G$53*I242),IF(D242=4,(BASE!$G$54*I242),IF(D242=5,(BASE!$G$55*I242),IF(D242=6,(BASE!$G$56*I242),0)))))))/1000,0)*1000</f>
        <v>3899000</v>
      </c>
      <c r="AB242" s="408">
        <v>636000</v>
      </c>
      <c r="AC242" s="478">
        <f t="shared" si="72"/>
        <v>4535000</v>
      </c>
      <c r="AD242" s="478">
        <f>IF(G242=3,AC242*BASE!$I$62,IF(G242=1,AC242*(BASE!$I$61),IF(G242=2,AC242*(BASE!$I$63),AC242*BASE!$I$64)))</f>
        <v>51547833.333333336</v>
      </c>
      <c r="AE242" s="411">
        <f>IF(I242&lt;10,0,IF(AC242&lt;=BASE!$C$3*2,BASE!$C$2,0)*(AD242/AC242))</f>
        <v>0</v>
      </c>
      <c r="AF242" s="13">
        <v>0</v>
      </c>
      <c r="AG242" s="14">
        <f t="shared" si="73"/>
        <v>2863768.5185185187</v>
      </c>
      <c r="AH242" s="14">
        <f t="shared" si="74"/>
        <v>4534300</v>
      </c>
      <c r="AI242" s="14">
        <f t="shared" si="75"/>
        <v>4534300.1543209879</v>
      </c>
      <c r="AJ242" s="14">
        <f t="shared" si="76"/>
        <v>544116.01851851854</v>
      </c>
      <c r="AK242" s="14">
        <f>IF(I242=0,0,IF(G242=5,0,(AC242+AF242/12)*12*BASE!$C$5))</f>
        <v>4625700</v>
      </c>
      <c r="AL242" s="14">
        <f>IF(I242=0,0,IF(G242=5,0,(AC242+AF242/12)*12*BASE!$C$7))</f>
        <v>6530400</v>
      </c>
      <c r="AM242" s="14">
        <f>IF(I242=0,0,IF(G242=5,0,(AC242+AF242/12)*12*BASE!$C$9))</f>
        <v>284072.39999999997</v>
      </c>
      <c r="AN242" s="412">
        <f>IF(I242=0,0,IF(G242=5,0,(AD242+AF242+AG242)*BASE!$C$10))</f>
        <v>4897044.166666666</v>
      </c>
      <c r="AO242" s="837">
        <f t="shared" si="77"/>
        <v>80361534.591358021</v>
      </c>
      <c r="AP242" s="677">
        <f t="shared" si="78"/>
        <v>1.5589701718732054</v>
      </c>
      <c r="AQ242" s="1150" t="s">
        <v>1316</v>
      </c>
      <c r="AR242" s="1149"/>
      <c r="CG242" s="179"/>
      <c r="CH242" s="181"/>
      <c r="CI242" s="182"/>
    </row>
    <row r="243" spans="1:87" ht="13.5" customHeight="1" outlineLevel="1" x14ac:dyDescent="0.2">
      <c r="A243" s="368" t="s">
        <v>581</v>
      </c>
      <c r="B243" s="477" t="s">
        <v>1192</v>
      </c>
      <c r="C243" s="427"/>
      <c r="D243" s="431">
        <f>IF(E243="","",VLOOKUP(E243,BASE!$F$20:$H$25,2,FALSE))</f>
        <v>4</v>
      </c>
      <c r="E243" s="399" t="s">
        <v>539</v>
      </c>
      <c r="F243" s="436" t="s">
        <v>863</v>
      </c>
      <c r="G243" s="437">
        <f>IF(F243="","",VLOOKUP(F243,BASE!$B$15:$C$18,2,FALSE))</f>
        <v>4</v>
      </c>
      <c r="H243" s="355">
        <v>40</v>
      </c>
      <c r="I243" s="423">
        <f t="shared" si="65"/>
        <v>40</v>
      </c>
      <c r="J243" s="354">
        <v>4</v>
      </c>
      <c r="K243" s="354">
        <v>2</v>
      </c>
      <c r="L243" s="399">
        <v>2</v>
      </c>
      <c r="M243" s="354"/>
      <c r="N243" s="399">
        <v>2</v>
      </c>
      <c r="O243" s="355">
        <f t="shared" si="66"/>
        <v>10</v>
      </c>
      <c r="P243" s="399">
        <v>20</v>
      </c>
      <c r="Q243" s="354"/>
      <c r="R243" s="355">
        <f t="shared" si="67"/>
        <v>20</v>
      </c>
      <c r="S243" s="354">
        <v>10</v>
      </c>
      <c r="T243" s="354"/>
      <c r="U243" s="354"/>
      <c r="V243" s="355">
        <f t="shared" si="68"/>
        <v>10</v>
      </c>
      <c r="W243" s="354"/>
      <c r="X243" s="477">
        <f t="shared" si="69"/>
        <v>40</v>
      </c>
      <c r="Y243" s="19" t="str">
        <f t="shared" si="70"/>
        <v xml:space="preserve">OK </v>
      </c>
      <c r="Z243" s="404" t="str">
        <f t="shared" si="71"/>
        <v xml:space="preserve"> </v>
      </c>
      <c r="AA243" s="478">
        <f>ROUND((IF(D243=1,(BASE!$G$51*I243),IF(D243=2,(BASE!$G$52*I243),IF(D243=3,(BASE!$G$53*I243),IF(D243=4,(BASE!$G$54*I243),IF(D243=5,(BASE!$G$55*I243),IF(D243=6,(BASE!$G$56*I243),0)))))))/1000,0)*1000</f>
        <v>4456000</v>
      </c>
      <c r="AB243" s="408">
        <v>0</v>
      </c>
      <c r="AC243" s="478">
        <f t="shared" si="72"/>
        <v>4456000</v>
      </c>
      <c r="AD243" s="478">
        <f>IF(G243=3,AC243*BASE!$I$62,IF(G243=1,AC243*(BASE!$I$61),IF(G243=2,AC243*(BASE!$I$63),AC243*BASE!$I$64)))</f>
        <v>50649866.666666672</v>
      </c>
      <c r="AE243" s="411">
        <f>IF(I243&lt;10,0,IF(AC243&lt;=BASE!$C$3*2,BASE!$C$2,0)*(AD243/AC243))</f>
        <v>0</v>
      </c>
      <c r="AF243" s="13">
        <v>0</v>
      </c>
      <c r="AG243" s="14">
        <f t="shared" si="73"/>
        <v>2813881.4814814818</v>
      </c>
      <c r="AH243" s="14">
        <f t="shared" si="74"/>
        <v>4455312</v>
      </c>
      <c r="AI243" s="14">
        <f t="shared" si="75"/>
        <v>4455312.3456790131</v>
      </c>
      <c r="AJ243" s="14">
        <f t="shared" si="76"/>
        <v>534637.48148148158</v>
      </c>
      <c r="AK243" s="14">
        <f>IF(I243=0,0,IF(G243=5,0,(AC243+AF243/12)*12*BASE!$C$5))</f>
        <v>4545120</v>
      </c>
      <c r="AL243" s="14">
        <f>IF(I243=0,0,IF(G243=5,0,(AC243+AF243/12)*12*BASE!$C$7))</f>
        <v>6416640</v>
      </c>
      <c r="AM243" s="14">
        <f>IF(I243=0,0,IF(G243=5,0,(AC243+AF243/12)*12*BASE!$C$9))</f>
        <v>279123.83999999997</v>
      </c>
      <c r="AN243" s="412">
        <f>IF(I243=0,0,IF(G243=5,0,(AD243+AF243+AG243)*BASE!$C$10))</f>
        <v>4811737.333333334</v>
      </c>
      <c r="AO243" s="837">
        <f t="shared" si="77"/>
        <v>78961631.148641989</v>
      </c>
      <c r="AP243" s="677">
        <f t="shared" si="78"/>
        <v>1.558970168042074</v>
      </c>
      <c r="AQ243" s="1148"/>
      <c r="AR243" s="1149"/>
      <c r="CG243" s="179"/>
      <c r="CH243" s="181"/>
      <c r="CI243" s="182"/>
    </row>
    <row r="244" spans="1:87" ht="13.5" customHeight="1" outlineLevel="1" x14ac:dyDescent="0.2">
      <c r="A244" s="368" t="s">
        <v>581</v>
      </c>
      <c r="B244" s="477" t="s">
        <v>1193</v>
      </c>
      <c r="C244" s="427"/>
      <c r="D244" s="431">
        <f>IF(E244="","",VLOOKUP(E244,BASE!$F$20:$H$25,2,FALSE))</f>
        <v>4</v>
      </c>
      <c r="E244" s="399" t="s">
        <v>539</v>
      </c>
      <c r="F244" s="436" t="s">
        <v>546</v>
      </c>
      <c r="G244" s="437">
        <f>IF(F244="","",VLOOKUP(F244,BASE!$B$15:$C$18,2,FALSE))</f>
        <v>3</v>
      </c>
      <c r="H244" s="355">
        <v>5</v>
      </c>
      <c r="I244" s="423">
        <f t="shared" si="65"/>
        <v>5</v>
      </c>
      <c r="J244" s="399">
        <v>4</v>
      </c>
      <c r="K244" s="354"/>
      <c r="L244" s="354"/>
      <c r="M244" s="354"/>
      <c r="N244" s="354"/>
      <c r="O244" s="355">
        <f t="shared" si="66"/>
        <v>4</v>
      </c>
      <c r="P244" s="354"/>
      <c r="Q244" s="354"/>
      <c r="R244" s="355">
        <f t="shared" si="67"/>
        <v>0</v>
      </c>
      <c r="S244" s="354">
        <v>1</v>
      </c>
      <c r="T244" s="354"/>
      <c r="U244" s="354"/>
      <c r="V244" s="355">
        <f t="shared" si="68"/>
        <v>1</v>
      </c>
      <c r="W244" s="354"/>
      <c r="X244" s="477">
        <f t="shared" si="69"/>
        <v>5</v>
      </c>
      <c r="Y244" s="19" t="str">
        <f t="shared" si="70"/>
        <v xml:space="preserve">OK </v>
      </c>
      <c r="Z244" s="404" t="str">
        <f t="shared" si="71"/>
        <v xml:space="preserve"> </v>
      </c>
      <c r="AA244" s="478">
        <f>ROUND((IF(D244=1,(BASE!$G$51*I244),IF(D244=2,(BASE!$G$52*I244),IF(D244=3,(BASE!$G$53*I244),IF(D244=4,(BASE!$G$54*I244),IF(D244=5,(BASE!$G$55*I244),IF(D244=6,(BASE!$G$56*I244),0)))))))/1000,0)*1000</f>
        <v>557000</v>
      </c>
      <c r="AB244" s="408">
        <v>0</v>
      </c>
      <c r="AC244" s="478">
        <f t="shared" si="72"/>
        <v>557000</v>
      </c>
      <c r="AD244" s="478">
        <f>IF(G244=3,AC244*BASE!$I$62,IF(G244=1,AC244*(BASE!$I$61),IF(G244=2,AC244*(BASE!$I$63),AC244*BASE!$I$64)))</f>
        <v>5959900</v>
      </c>
      <c r="AE244" s="411">
        <f>IF(I244&lt;10,0,IF(AC244&lt;=BASE!$C$3*2,BASE!$C$2,0)*(AD244/AC244))</f>
        <v>0</v>
      </c>
      <c r="AF244" s="13">
        <v>0</v>
      </c>
      <c r="AG244" s="14">
        <f t="shared" si="73"/>
        <v>331105.55555555556</v>
      </c>
      <c r="AH244" s="14">
        <f t="shared" si="74"/>
        <v>524250</v>
      </c>
      <c r="AI244" s="14">
        <f t="shared" si="75"/>
        <v>524250.46296296292</v>
      </c>
      <c r="AJ244" s="14">
        <f t="shared" si="76"/>
        <v>57667.55092592592</v>
      </c>
      <c r="AK244" s="14">
        <f>IF(I244=0,0,IF(G244=5,0,(AC244+AF244/12)*12*BASE!$C$5))</f>
        <v>568140</v>
      </c>
      <c r="AL244" s="14">
        <f>IF(I244=0,0,IF(G244=5,0,(AC244+AF244/12)*12*BASE!$C$7))</f>
        <v>802080</v>
      </c>
      <c r="AM244" s="14">
        <f>IF(I244=0,0,IF(G244=5,0,(AC244+AF244/12)*12*BASE!$C$9))</f>
        <v>34890.479999999996</v>
      </c>
      <c r="AN244" s="412">
        <f>IF(I244=0,0,IF(G244=5,0,(AD244+AF244+AG244)*BASE!$C$10))</f>
        <v>566190.5</v>
      </c>
      <c r="AO244" s="837">
        <f t="shared" si="77"/>
        <v>9368474.5494444445</v>
      </c>
      <c r="AP244" s="677">
        <f t="shared" si="78"/>
        <v>1.571918077391306</v>
      </c>
      <c r="AQ244" s="1148"/>
      <c r="AR244" s="1149"/>
      <c r="CG244" s="179"/>
      <c r="CH244" s="181"/>
      <c r="CI244" s="182"/>
    </row>
    <row r="245" spans="1:87" ht="13.5" customHeight="1" outlineLevel="1" x14ac:dyDescent="0.2">
      <c r="A245" s="368" t="s">
        <v>581</v>
      </c>
      <c r="B245" s="477" t="s">
        <v>1194</v>
      </c>
      <c r="C245" s="427"/>
      <c r="D245" s="431">
        <f>IF(E245="","",VLOOKUP(E245,BASE!$F$20:$H$25,2,FALSE))</f>
        <v>5</v>
      </c>
      <c r="E245" s="399" t="s">
        <v>538</v>
      </c>
      <c r="F245" s="436" t="s">
        <v>546</v>
      </c>
      <c r="G245" s="437">
        <f>IF(F245="","",VLOOKUP(F245,BASE!$B$15:$C$18,2,FALSE))</f>
        <v>3</v>
      </c>
      <c r="H245" s="355">
        <v>5</v>
      </c>
      <c r="I245" s="423">
        <f t="shared" si="65"/>
        <v>5</v>
      </c>
      <c r="J245" s="399">
        <v>4</v>
      </c>
      <c r="K245" s="354"/>
      <c r="L245" s="354"/>
      <c r="M245" s="354"/>
      <c r="N245" s="354"/>
      <c r="O245" s="355">
        <f t="shared" si="66"/>
        <v>4</v>
      </c>
      <c r="P245" s="354"/>
      <c r="Q245" s="354"/>
      <c r="R245" s="355">
        <f t="shared" si="67"/>
        <v>0</v>
      </c>
      <c r="S245" s="354">
        <v>1</v>
      </c>
      <c r="T245" s="354"/>
      <c r="U245" s="354"/>
      <c r="V245" s="355">
        <f t="shared" si="68"/>
        <v>1</v>
      </c>
      <c r="W245" s="354"/>
      <c r="X245" s="477">
        <f t="shared" si="69"/>
        <v>5</v>
      </c>
      <c r="Y245" s="19" t="str">
        <f t="shared" si="70"/>
        <v xml:space="preserve">OK </v>
      </c>
      <c r="Z245" s="404" t="str">
        <f t="shared" si="71"/>
        <v xml:space="preserve"> </v>
      </c>
      <c r="AA245" s="478">
        <f>ROUND((IF(D245=1,(BASE!$G$51*I245),IF(D245=2,(BASE!$G$52*I245),IF(D245=3,(BASE!$G$53*I245),IF(D245=4,(BASE!$G$54*I245),IF(D245=5,(BASE!$G$55*I245),IF(D245=6,(BASE!$G$56*I245),0)))))))/1000,0)*1000</f>
        <v>445000</v>
      </c>
      <c r="AB245" s="408">
        <v>0</v>
      </c>
      <c r="AC245" s="478">
        <f t="shared" si="72"/>
        <v>445000</v>
      </c>
      <c r="AD245" s="478">
        <f>IF(G245=3,AC245*BASE!$I$62,IF(G245=1,AC245*(BASE!$I$61),IF(G245=2,AC245*(BASE!$I$63),AC245*BASE!$I$64)))</f>
        <v>4761500</v>
      </c>
      <c r="AE245" s="411">
        <f>IF(I245&lt;10,0,IF(AC245&lt;=BASE!$C$3*2,BASE!$C$2,0)*(AD245/AC245))</f>
        <v>0</v>
      </c>
      <c r="AF245" s="13">
        <v>0</v>
      </c>
      <c r="AG245" s="14">
        <f t="shared" si="73"/>
        <v>264527.77777777781</v>
      </c>
      <c r="AH245" s="14">
        <f t="shared" si="74"/>
        <v>418836</v>
      </c>
      <c r="AI245" s="14">
        <f t="shared" si="75"/>
        <v>418835.64814814815</v>
      </c>
      <c r="AJ245" s="14">
        <f t="shared" si="76"/>
        <v>46071.921296296299</v>
      </c>
      <c r="AK245" s="14">
        <f>IF(I245=0,0,IF(G245=5,0,(AC245+AF245/12)*12*BASE!$C$5))</f>
        <v>453900.00000000006</v>
      </c>
      <c r="AL245" s="14">
        <f>IF(I245=0,0,IF(G245=5,0,(AC245+AF245/12)*12*BASE!$C$7))</f>
        <v>640800</v>
      </c>
      <c r="AM245" s="14">
        <f>IF(I245=0,0,IF(G245=5,0,(AC245+AF245/12)*12*BASE!$C$9))</f>
        <v>27874.799999999999</v>
      </c>
      <c r="AN245" s="412">
        <f>IF(I245=0,0,IF(G245=5,0,(AD245+AF245+AG245)*BASE!$C$10))</f>
        <v>452342.5</v>
      </c>
      <c r="AO245" s="837">
        <f t="shared" si="77"/>
        <v>7484688.6472222228</v>
      </c>
      <c r="AP245" s="677">
        <f t="shared" si="78"/>
        <v>1.5719182289661289</v>
      </c>
      <c r="AQ245" s="1148"/>
      <c r="AR245" s="1149"/>
      <c r="CG245" s="179"/>
      <c r="CH245" s="181"/>
      <c r="CI245" s="182"/>
    </row>
    <row r="246" spans="1:87" ht="13.5" customHeight="1" outlineLevel="1" x14ac:dyDescent="0.2">
      <c r="A246" s="368" t="s">
        <v>581</v>
      </c>
      <c r="B246" s="477" t="s">
        <v>1195</v>
      </c>
      <c r="C246" s="427"/>
      <c r="D246" s="431">
        <f>IF(E246="","",VLOOKUP(E246,BASE!$F$20:$H$25,2,FALSE))</f>
        <v>5</v>
      </c>
      <c r="E246" s="399" t="s">
        <v>538</v>
      </c>
      <c r="F246" s="436" t="s">
        <v>863</v>
      </c>
      <c r="G246" s="437">
        <f>IF(F246="","",VLOOKUP(F246,BASE!$B$15:$C$18,2,FALSE))</f>
        <v>4</v>
      </c>
      <c r="H246" s="355">
        <v>20</v>
      </c>
      <c r="I246" s="423">
        <f t="shared" si="65"/>
        <v>20</v>
      </c>
      <c r="J246" s="399">
        <v>5</v>
      </c>
      <c r="K246" s="354"/>
      <c r="L246" s="354"/>
      <c r="M246" s="354"/>
      <c r="N246" s="354"/>
      <c r="O246" s="355">
        <f t="shared" si="66"/>
        <v>5</v>
      </c>
      <c r="P246" s="354"/>
      <c r="Q246" s="354"/>
      <c r="R246" s="355">
        <f t="shared" si="67"/>
        <v>0</v>
      </c>
      <c r="S246" s="399">
        <v>15</v>
      </c>
      <c r="T246" s="354"/>
      <c r="U246" s="354"/>
      <c r="V246" s="355">
        <f t="shared" si="68"/>
        <v>15</v>
      </c>
      <c r="W246" s="354"/>
      <c r="X246" s="477">
        <f t="shared" si="69"/>
        <v>20</v>
      </c>
      <c r="Y246" s="19" t="str">
        <f t="shared" si="70"/>
        <v xml:space="preserve">OK </v>
      </c>
      <c r="Z246" s="404" t="str">
        <f t="shared" si="71"/>
        <v xml:space="preserve"> </v>
      </c>
      <c r="AA246" s="478">
        <f>ROUND((IF(D246=1,(BASE!$G$51*I246),IF(D246=2,(BASE!$G$52*I246),IF(D246=3,(BASE!$G$53*I246),IF(D246=4,(BASE!$G$54*I246),IF(D246=5,(BASE!$G$55*I246),IF(D246=6,(BASE!$G$56*I246),0)))))))/1000,0)*1000</f>
        <v>1780000</v>
      </c>
      <c r="AB246" s="408">
        <v>969000</v>
      </c>
      <c r="AC246" s="478">
        <f t="shared" si="72"/>
        <v>2749000</v>
      </c>
      <c r="AD246" s="478">
        <f>IF(G246=3,AC246*BASE!$I$62,IF(G246=1,AC246*(BASE!$I$61),IF(G246=2,AC246*(BASE!$I$63),AC246*BASE!$I$64)))</f>
        <v>31246966.666666668</v>
      </c>
      <c r="AE246" s="411">
        <f>IF(I246&lt;10,0,IF(AC246&lt;=BASE!$C$3*2,BASE!$C$2,0)*(AD246/AC246))</f>
        <v>0</v>
      </c>
      <c r="AF246" s="13">
        <v>0</v>
      </c>
      <c r="AG246" s="14">
        <f t="shared" si="73"/>
        <v>1735942.5925925926</v>
      </c>
      <c r="AH246" s="14">
        <f t="shared" si="74"/>
        <v>2748576</v>
      </c>
      <c r="AI246" s="14">
        <f t="shared" si="75"/>
        <v>2748575.7716049384</v>
      </c>
      <c r="AJ246" s="14">
        <f t="shared" si="76"/>
        <v>329829.09259259258</v>
      </c>
      <c r="AK246" s="14">
        <f>IF(I246=0,0,IF(G246=5,0,(AC246+AF246/12)*12*BASE!$C$5))</f>
        <v>2803980</v>
      </c>
      <c r="AL246" s="14">
        <f>IF(I246=0,0,IF(G246=5,0,(AC246+AF246/12)*12*BASE!$C$7))</f>
        <v>3958560</v>
      </c>
      <c r="AM246" s="14">
        <f>IF(I246=0,0,IF(G246=5,0,(AC246+AF246/12)*12*BASE!$C$9))</f>
        <v>172197.36</v>
      </c>
      <c r="AN246" s="412">
        <f>IF(I246=0,0,IF(G246=5,0,(AD246+AF246+AG246)*BASE!$C$10))</f>
        <v>2968461.8333333335</v>
      </c>
      <c r="AO246" s="837">
        <f t="shared" si="77"/>
        <v>48713089.316790126</v>
      </c>
      <c r="AP246" s="677">
        <f t="shared" si="78"/>
        <v>1.5589701821763005</v>
      </c>
      <c r="AQ246" s="1148"/>
      <c r="AR246" s="1149"/>
      <c r="CG246" s="179"/>
      <c r="CH246" s="181"/>
      <c r="CI246" s="182"/>
    </row>
    <row r="247" spans="1:87" ht="13.5" customHeight="1" outlineLevel="1" x14ac:dyDescent="0.2">
      <c r="A247" s="368" t="s">
        <v>581</v>
      </c>
      <c r="B247" s="477" t="s">
        <v>1196</v>
      </c>
      <c r="C247" s="427"/>
      <c r="D247" s="431">
        <f>IF(E247="","",VLOOKUP(E247,BASE!$F$20:$H$25,2,FALSE))</f>
        <v>4</v>
      </c>
      <c r="E247" s="399" t="s">
        <v>539</v>
      </c>
      <c r="F247" s="436" t="s">
        <v>546</v>
      </c>
      <c r="G247" s="437">
        <f>IF(F247="","",VLOOKUP(F247,BASE!$B$15:$C$18,2,FALSE))</f>
        <v>3</v>
      </c>
      <c r="H247" s="355">
        <v>5</v>
      </c>
      <c r="I247" s="423">
        <f t="shared" si="65"/>
        <v>5</v>
      </c>
      <c r="J247" s="399">
        <v>4</v>
      </c>
      <c r="K247" s="354"/>
      <c r="L247" s="354"/>
      <c r="M247" s="354"/>
      <c r="N247" s="354"/>
      <c r="O247" s="355">
        <f t="shared" si="66"/>
        <v>4</v>
      </c>
      <c r="P247" s="354"/>
      <c r="Q247" s="354"/>
      <c r="R247" s="355">
        <f t="shared" si="67"/>
        <v>0</v>
      </c>
      <c r="S247" s="399">
        <v>1</v>
      </c>
      <c r="T247" s="354"/>
      <c r="U247" s="354"/>
      <c r="V247" s="355">
        <f t="shared" si="68"/>
        <v>1</v>
      </c>
      <c r="W247" s="354"/>
      <c r="X247" s="477">
        <f t="shared" si="69"/>
        <v>5</v>
      </c>
      <c r="Y247" s="19" t="str">
        <f t="shared" si="70"/>
        <v xml:space="preserve">OK </v>
      </c>
      <c r="Z247" s="404" t="str">
        <f t="shared" si="71"/>
        <v xml:space="preserve"> </v>
      </c>
      <c r="AA247" s="478">
        <f>ROUND((IF(D247=1,(BASE!$G$51*I247),IF(D247=2,(BASE!$G$52*I247),IF(D247=3,(BASE!$G$53*I247),IF(D247=4,(BASE!$G$54*I247),IF(D247=5,(BASE!$G$55*I247),IF(D247=6,(BASE!$G$56*I247),0)))))))/1000,0)*1000</f>
        <v>557000</v>
      </c>
      <c r="AB247" s="408">
        <v>0</v>
      </c>
      <c r="AC247" s="478">
        <f t="shared" si="72"/>
        <v>557000</v>
      </c>
      <c r="AD247" s="478">
        <f>IF(G247=3,AC247*BASE!$I$62,IF(G247=1,AC247*(BASE!$I$61),IF(G247=2,AC247*(BASE!$I$63),AC247*BASE!$I$64)))</f>
        <v>5959900</v>
      </c>
      <c r="AE247" s="411">
        <f>IF(I247&lt;10,0,IF(AC247&lt;=BASE!$C$3*2,BASE!$C$2,0)*(AD247/AC247))</f>
        <v>0</v>
      </c>
      <c r="AF247" s="13">
        <v>0</v>
      </c>
      <c r="AG247" s="14">
        <f t="shared" si="73"/>
        <v>331105.55555555556</v>
      </c>
      <c r="AH247" s="14">
        <f t="shared" si="74"/>
        <v>524250</v>
      </c>
      <c r="AI247" s="14">
        <f t="shared" si="75"/>
        <v>524250.46296296292</v>
      </c>
      <c r="AJ247" s="14">
        <f t="shared" si="76"/>
        <v>57667.55092592592</v>
      </c>
      <c r="AK247" s="14">
        <f>IF(I247=0,0,IF(G247=5,0,(AC247+AF247/12)*12*BASE!$C$5))</f>
        <v>568140</v>
      </c>
      <c r="AL247" s="14">
        <f>IF(I247=0,0,IF(G247=5,0,(AC247+AF247/12)*12*BASE!$C$7))</f>
        <v>802080</v>
      </c>
      <c r="AM247" s="14">
        <f>IF(I247=0,0,IF(G247=5,0,(AC247+AF247/12)*12*BASE!$C$9))</f>
        <v>34890.479999999996</v>
      </c>
      <c r="AN247" s="412">
        <f>IF(I247=0,0,IF(G247=5,0,(AD247+AF247+AG247)*BASE!$C$10))</f>
        <v>566190.5</v>
      </c>
      <c r="AO247" s="837">
        <f t="shared" si="77"/>
        <v>9368474.5494444445</v>
      </c>
      <c r="AP247" s="677">
        <f t="shared" si="78"/>
        <v>1.571918077391306</v>
      </c>
      <c r="AQ247" s="1148"/>
      <c r="AR247" s="1149"/>
      <c r="CG247" s="179"/>
      <c r="CH247" s="181"/>
      <c r="CI247" s="182"/>
    </row>
    <row r="248" spans="1:87" ht="13.5" customHeight="1" outlineLevel="1" x14ac:dyDescent="0.2">
      <c r="A248" s="368" t="s">
        <v>581</v>
      </c>
      <c r="B248" s="477" t="s">
        <v>1197</v>
      </c>
      <c r="C248" s="427"/>
      <c r="D248" s="431">
        <f>IF(E248="","",VLOOKUP(E248,BASE!$F$20:$H$25,2,FALSE))</f>
        <v>3</v>
      </c>
      <c r="E248" s="399" t="s">
        <v>540</v>
      </c>
      <c r="F248" s="436" t="s">
        <v>546</v>
      </c>
      <c r="G248" s="437">
        <f>IF(F248="","",VLOOKUP(F248,BASE!$B$15:$C$18,2,FALSE))</f>
        <v>3</v>
      </c>
      <c r="H248" s="355">
        <v>15</v>
      </c>
      <c r="I248" s="423">
        <f t="shared" si="65"/>
        <v>15</v>
      </c>
      <c r="J248" s="399">
        <v>2</v>
      </c>
      <c r="K248" s="354">
        <v>2</v>
      </c>
      <c r="L248" s="399">
        <v>2</v>
      </c>
      <c r="M248" s="399">
        <v>2</v>
      </c>
      <c r="N248" s="399">
        <v>2</v>
      </c>
      <c r="O248" s="355">
        <f t="shared" si="66"/>
        <v>10</v>
      </c>
      <c r="P248" s="354"/>
      <c r="Q248" s="354">
        <v>5</v>
      </c>
      <c r="R248" s="355">
        <f t="shared" si="67"/>
        <v>5</v>
      </c>
      <c r="S248" s="354"/>
      <c r="T248" s="354"/>
      <c r="U248" s="354"/>
      <c r="V248" s="355">
        <f t="shared" si="68"/>
        <v>0</v>
      </c>
      <c r="W248" s="354"/>
      <c r="X248" s="477">
        <f t="shared" si="69"/>
        <v>15</v>
      </c>
      <c r="Y248" s="19" t="str">
        <f t="shared" si="70"/>
        <v xml:space="preserve">OK </v>
      </c>
      <c r="Z248" s="404" t="str">
        <f t="shared" si="71"/>
        <v xml:space="preserve"> </v>
      </c>
      <c r="AA248" s="478">
        <f>ROUND((IF(D248=1,(BASE!$G$51*I248),IF(D248=2,(BASE!$G$52*I248),IF(D248=3,(BASE!$G$53*I248),IF(D248=4,(BASE!$G$54*I248),IF(D248=5,(BASE!$G$55*I248),IF(D248=6,(BASE!$G$56*I248),0)))))))/1000,0)*1000</f>
        <v>2052000</v>
      </c>
      <c r="AB248" s="408">
        <v>0</v>
      </c>
      <c r="AC248" s="478">
        <f t="shared" si="72"/>
        <v>2052000</v>
      </c>
      <c r="AD248" s="478">
        <f>IF(G248=3,AC248*BASE!$I$62,IF(G248=1,AC248*(BASE!$I$61),IF(G248=2,AC248*(BASE!$I$63),AC248*BASE!$I$64)))</f>
        <v>21956400</v>
      </c>
      <c r="AE248" s="411">
        <f>IF(I248&lt;10,0,IF(AC248&lt;=BASE!$C$3*2,BASE!$C$2,0)*(AD248/AC248))</f>
        <v>0</v>
      </c>
      <c r="AF248" s="13">
        <v>0</v>
      </c>
      <c r="AG248" s="14">
        <f t="shared" si="73"/>
        <v>1219800</v>
      </c>
      <c r="AH248" s="14">
        <f t="shared" si="74"/>
        <v>1931350</v>
      </c>
      <c r="AI248" s="14">
        <f t="shared" si="75"/>
        <v>1931350</v>
      </c>
      <c r="AJ248" s="14">
        <f t="shared" si="76"/>
        <v>212448.5</v>
      </c>
      <c r="AK248" s="14">
        <f>IF(I248=0,0,IF(G248=5,0,(AC248+AF248/12)*12*BASE!$C$5))</f>
        <v>2093040.0000000002</v>
      </c>
      <c r="AL248" s="14">
        <f>IF(I248=0,0,IF(G248=5,0,(AC248+AF248/12)*12*BASE!$C$7))</f>
        <v>2954880</v>
      </c>
      <c r="AM248" s="14">
        <f>IF(I248=0,0,IF(G248=5,0,(AC248+AF248/12)*12*BASE!$C$9))</f>
        <v>128537.28</v>
      </c>
      <c r="AN248" s="412">
        <f>IF(I248=0,0,IF(G248=5,0,(AD248+AF248+AG248)*BASE!$C$10))</f>
        <v>2085858</v>
      </c>
      <c r="AO248" s="837">
        <f t="shared" si="77"/>
        <v>34513663.780000001</v>
      </c>
      <c r="AP248" s="677">
        <f t="shared" si="78"/>
        <v>1.5719181550709589</v>
      </c>
      <c r="AQ248" s="1148"/>
      <c r="AR248" s="1149"/>
      <c r="CG248" s="179"/>
      <c r="CH248" s="181"/>
      <c r="CI248" s="182"/>
    </row>
    <row r="249" spans="1:87" ht="13.5" customHeight="1" outlineLevel="1" x14ac:dyDescent="0.2">
      <c r="A249" s="368" t="s">
        <v>581</v>
      </c>
      <c r="B249" s="477" t="s">
        <v>1198</v>
      </c>
      <c r="C249" s="427"/>
      <c r="D249" s="431">
        <f>IF(E249="","",VLOOKUP(E249,BASE!$F$20:$H$25,2,FALSE))</f>
        <v>2</v>
      </c>
      <c r="E249" s="399" t="s">
        <v>541</v>
      </c>
      <c r="F249" s="436" t="s">
        <v>863</v>
      </c>
      <c r="G249" s="437">
        <f>IF(F249="","",VLOOKUP(F249,BASE!$B$15:$C$18,2,FALSE))</f>
        <v>4</v>
      </c>
      <c r="H249" s="355">
        <v>40</v>
      </c>
      <c r="I249" s="423">
        <f t="shared" si="65"/>
        <v>40</v>
      </c>
      <c r="J249" s="354">
        <v>10</v>
      </c>
      <c r="K249" s="354">
        <v>5</v>
      </c>
      <c r="L249" s="399">
        <v>3</v>
      </c>
      <c r="M249" s="399">
        <v>3</v>
      </c>
      <c r="N249" s="399">
        <v>3</v>
      </c>
      <c r="O249" s="355">
        <f t="shared" si="66"/>
        <v>24</v>
      </c>
      <c r="P249" s="354"/>
      <c r="Q249" s="399">
        <v>5</v>
      </c>
      <c r="R249" s="355">
        <f t="shared" si="67"/>
        <v>5</v>
      </c>
      <c r="S249" s="354">
        <v>9</v>
      </c>
      <c r="T249" s="354"/>
      <c r="U249" s="354"/>
      <c r="V249" s="355">
        <f t="shared" si="68"/>
        <v>9</v>
      </c>
      <c r="W249" s="354">
        <v>2</v>
      </c>
      <c r="X249" s="477">
        <f t="shared" si="69"/>
        <v>40</v>
      </c>
      <c r="Y249" s="19" t="str">
        <f t="shared" si="70"/>
        <v xml:space="preserve">OK </v>
      </c>
      <c r="Z249" s="404" t="str">
        <f t="shared" si="71"/>
        <v xml:space="preserve"> </v>
      </c>
      <c r="AA249" s="478">
        <f>ROUND((IF(D249=1,(BASE!$G$51*I249),IF(D249=2,(BASE!$G$52*I249),IF(D249=3,(BASE!$G$53*I249),IF(D249=4,(BASE!$G$54*I249),IF(D249=5,(BASE!$G$55*I249),IF(D249=6,(BASE!$G$56*I249),0)))))))/1000,0)*1000</f>
        <v>8016000</v>
      </c>
      <c r="AB249" s="408">
        <v>0</v>
      </c>
      <c r="AC249" s="478">
        <f t="shared" si="72"/>
        <v>8016000</v>
      </c>
      <c r="AD249" s="478">
        <f>IF(G249=3,AC249*BASE!$I$62,IF(G249=1,AC249*(BASE!$I$61),IF(G249=2,AC249*(BASE!$I$63),AC249*BASE!$I$64)))</f>
        <v>91115200</v>
      </c>
      <c r="AE249" s="411">
        <f>IF(I249&lt;10,0,IF(AC249&lt;=BASE!$C$3*2,BASE!$C$2,0)*(AD249/AC249))</f>
        <v>0</v>
      </c>
      <c r="AF249" s="13">
        <v>0</v>
      </c>
      <c r="AG249" s="14">
        <f t="shared" si="73"/>
        <v>5061955.555555555</v>
      </c>
      <c r="AH249" s="14">
        <f t="shared" si="74"/>
        <v>8014763</v>
      </c>
      <c r="AI249" s="14">
        <f t="shared" si="75"/>
        <v>8014762.9629629627</v>
      </c>
      <c r="AJ249" s="14">
        <f t="shared" si="76"/>
        <v>961771.5555555555</v>
      </c>
      <c r="AK249" s="14">
        <f>IF(I249=0,0,IF(G249=5,0,(AC249+AF249/12)*12*BASE!$C$5))</f>
        <v>8176320.0000000009</v>
      </c>
      <c r="AL249" s="14">
        <v>0</v>
      </c>
      <c r="AM249" s="14">
        <f>IF(I249=0,0,IF(G249=5,0,(AC249+AF249/12)*12*BASE!$C$9))</f>
        <v>502122.23999999999</v>
      </c>
      <c r="AN249" s="412">
        <f>IF(I249=0,0,IF(G249=5,0,(AD249+AF249+AG249)*BASE!$C$10))</f>
        <v>8655944</v>
      </c>
      <c r="AO249" s="837">
        <f t="shared" si="77"/>
        <v>130502839.31407405</v>
      </c>
      <c r="AP249" s="677">
        <f t="shared" si="78"/>
        <v>1.4322839582646369</v>
      </c>
      <c r="AQ249" s="1148"/>
      <c r="AR249" s="1149"/>
      <c r="CG249" s="179"/>
      <c r="CH249" s="181"/>
      <c r="CI249" s="182"/>
    </row>
    <row r="250" spans="1:87" ht="13.5" customHeight="1" outlineLevel="1" x14ac:dyDescent="0.2">
      <c r="A250" s="368" t="s">
        <v>581</v>
      </c>
      <c r="B250" s="477" t="s">
        <v>1199</v>
      </c>
      <c r="C250" s="427"/>
      <c r="D250" s="431">
        <f>IF(E250="","",VLOOKUP(E250,BASE!$F$20:$H$25,2,FALSE))</f>
        <v>4</v>
      </c>
      <c r="E250" s="399" t="s">
        <v>539</v>
      </c>
      <c r="F250" s="436" t="s">
        <v>863</v>
      </c>
      <c r="G250" s="437">
        <f>IF(F250="","",VLOOKUP(F250,BASE!$B$15:$C$18,2,FALSE))</f>
        <v>4</v>
      </c>
      <c r="H250" s="355">
        <v>20</v>
      </c>
      <c r="I250" s="423">
        <f t="shared" si="65"/>
        <v>20</v>
      </c>
      <c r="J250" s="399">
        <v>10</v>
      </c>
      <c r="K250" s="354">
        <v>4</v>
      </c>
      <c r="L250" s="399">
        <v>3</v>
      </c>
      <c r="M250" s="399">
        <v>2</v>
      </c>
      <c r="N250" s="399">
        <v>1</v>
      </c>
      <c r="O250" s="355">
        <f t="shared" si="66"/>
        <v>20</v>
      </c>
      <c r="P250" s="354"/>
      <c r="Q250" s="354"/>
      <c r="R250" s="355">
        <f t="shared" si="67"/>
        <v>0</v>
      </c>
      <c r="S250" s="354"/>
      <c r="T250" s="354"/>
      <c r="U250" s="354"/>
      <c r="V250" s="355">
        <f t="shared" si="68"/>
        <v>0</v>
      </c>
      <c r="W250" s="354"/>
      <c r="X250" s="477">
        <f t="shared" si="69"/>
        <v>20</v>
      </c>
      <c r="Y250" s="19" t="str">
        <f t="shared" si="70"/>
        <v xml:space="preserve">OK </v>
      </c>
      <c r="Z250" s="404" t="str">
        <f t="shared" si="71"/>
        <v xml:space="preserve"> </v>
      </c>
      <c r="AA250" s="478">
        <f>ROUND((IF(D250=1,(BASE!$G$51*I250),IF(D250=2,(BASE!$G$52*I250),IF(D250=3,(BASE!$G$53*I250),IF(D250=4,(BASE!$G$54*I250),IF(D250=5,(BASE!$G$55*I250),IF(D250=6,(BASE!$G$56*I250),0)))))))/1000,0)*1000</f>
        <v>2228000</v>
      </c>
      <c r="AB250" s="408">
        <v>0</v>
      </c>
      <c r="AC250" s="478">
        <f t="shared" si="72"/>
        <v>2228000</v>
      </c>
      <c r="AD250" s="478">
        <f>IF(G250=3,AC250*BASE!$I$62,IF(G250=1,AC250*(BASE!$I$61),IF(G250=2,AC250*(BASE!$I$63),AC250*BASE!$I$64)))</f>
        <v>25324933.333333336</v>
      </c>
      <c r="AE250" s="411">
        <f>IF(I250&lt;10,0,IF(AC250&lt;=BASE!$C$3*2,BASE!$C$2,0)*(AD250/AC250))</f>
        <v>0</v>
      </c>
      <c r="AF250" s="13">
        <v>0</v>
      </c>
      <c r="AG250" s="14">
        <f t="shared" si="73"/>
        <v>1406940.7407407409</v>
      </c>
      <c r="AH250" s="14">
        <f t="shared" si="74"/>
        <v>2227656</v>
      </c>
      <c r="AI250" s="14">
        <f t="shared" si="75"/>
        <v>2227656.1728395065</v>
      </c>
      <c r="AJ250" s="14">
        <f t="shared" si="76"/>
        <v>267318.74074074079</v>
      </c>
      <c r="AK250" s="14">
        <f>IF(I250=0,0,IF(G250=5,0,(AC250+AF250/12)*12*BASE!$C$5))</f>
        <v>2272560</v>
      </c>
      <c r="AL250" s="14">
        <f>IF(I250=0,0,IF(G250=5,0,(AC250+AF250/12)*12*BASE!$C$7))</f>
        <v>3208320</v>
      </c>
      <c r="AM250" s="14">
        <f>IF(I250=0,0,IF(G250=5,0,(AC250+AF250/12)*12*BASE!$C$9))</f>
        <v>139561.91999999998</v>
      </c>
      <c r="AN250" s="412">
        <f>IF(I250=0,0,IF(G250=5,0,(AD250+AF250+AG250)*BASE!$C$10))</f>
        <v>2405868.666666667</v>
      </c>
      <c r="AO250" s="837">
        <f t="shared" si="77"/>
        <v>39480815.574320994</v>
      </c>
      <c r="AP250" s="677">
        <f t="shared" si="78"/>
        <v>1.558970168042074</v>
      </c>
      <c r="AQ250" s="1148"/>
      <c r="AR250" s="1149"/>
      <c r="CG250" s="179"/>
      <c r="CH250" s="181"/>
      <c r="CI250" s="182"/>
    </row>
    <row r="251" spans="1:87" ht="13.5" customHeight="1" outlineLevel="1" x14ac:dyDescent="0.2">
      <c r="A251" s="368" t="s">
        <v>581</v>
      </c>
      <c r="B251" s="477" t="s">
        <v>1200</v>
      </c>
      <c r="C251" s="427"/>
      <c r="D251" s="431">
        <f>IF(E251="","",VLOOKUP(E251,BASE!$F$20:$H$25,2,FALSE))</f>
        <v>3</v>
      </c>
      <c r="E251" s="399" t="s">
        <v>540</v>
      </c>
      <c r="F251" s="436" t="s">
        <v>261</v>
      </c>
      <c r="G251" s="437">
        <f>IF(F251="","",VLOOKUP(F251,BASE!$B$15:$C$18,2,FALSE))</f>
        <v>1</v>
      </c>
      <c r="H251" s="355">
        <v>10</v>
      </c>
      <c r="I251" s="423">
        <f t="shared" si="65"/>
        <v>10</v>
      </c>
      <c r="J251" s="354"/>
      <c r="K251" s="354"/>
      <c r="L251" s="354"/>
      <c r="M251" s="354"/>
      <c r="N251" s="354"/>
      <c r="O251" s="355">
        <f t="shared" si="66"/>
        <v>0</v>
      </c>
      <c r="P251" s="354"/>
      <c r="Q251" s="354">
        <v>10</v>
      </c>
      <c r="R251" s="355">
        <f t="shared" si="67"/>
        <v>10</v>
      </c>
      <c r="S251" s="354"/>
      <c r="T251" s="354"/>
      <c r="U251" s="354"/>
      <c r="V251" s="355">
        <f t="shared" si="68"/>
        <v>0</v>
      </c>
      <c r="W251" s="354"/>
      <c r="X251" s="477">
        <f t="shared" si="69"/>
        <v>10</v>
      </c>
      <c r="Y251" s="19" t="str">
        <f t="shared" si="70"/>
        <v xml:space="preserve">OK </v>
      </c>
      <c r="Z251" s="404" t="str">
        <f t="shared" si="71"/>
        <v xml:space="preserve"> </v>
      </c>
      <c r="AA251" s="478">
        <f>ROUND((IF(D251=1,(BASE!$G$51*I251),IF(D251=2,(BASE!$G$52*I251),IF(D251=3,(BASE!$G$53*I251),IF(D251=4,(BASE!$G$54*I251),IF(D251=5,(BASE!$G$55*I251),IF(D251=6,(BASE!$G$56*I251),0)))))))/1000,0)*1000</f>
        <v>1368000</v>
      </c>
      <c r="AB251" s="408">
        <v>0</v>
      </c>
      <c r="AC251" s="478">
        <f t="shared" si="72"/>
        <v>1368000</v>
      </c>
      <c r="AD251" s="478">
        <f>IF(G251=3,AC251*BASE!$I$62,IF(G251=1,AC251*(BASE!$I$61),IF(G251=2,AC251*(BASE!$I$63),AC251*BASE!$I$64)))</f>
        <v>13497600</v>
      </c>
      <c r="AE251" s="411">
        <f>IF(I251&lt;10,0,IF(AC251&lt;=BASE!$C$3*2,BASE!$C$2,0)*(AD251/AC251))</f>
        <v>870348.53333333333</v>
      </c>
      <c r="AF251" s="13">
        <v>0</v>
      </c>
      <c r="AG251" s="14">
        <f t="shared" si="73"/>
        <v>749866.66666666663</v>
      </c>
      <c r="AH251" s="14">
        <f t="shared" si="74"/>
        <v>1259818</v>
      </c>
      <c r="AI251" s="14">
        <f t="shared" si="75"/>
        <v>1259817.9333333333</v>
      </c>
      <c r="AJ251" s="14">
        <f t="shared" si="76"/>
        <v>125981.79333333333</v>
      </c>
      <c r="AK251" s="14">
        <f>IF(I251=0,0,IF(G251=5,0,(AC251+AF251/12)*12*BASE!$C$5))</f>
        <v>1395360</v>
      </c>
      <c r="AL251" s="14">
        <f>IF(I251=0,0,IF(G251=5,0,(AC251+AF251/12)*12*BASE!$C$7))</f>
        <v>1969920</v>
      </c>
      <c r="AM251" s="14">
        <f>IF(I251=0,0,IF(G251=5,0,(AC251+AF251/12)*12*BASE!$C$9))</f>
        <v>85691.520000000004</v>
      </c>
      <c r="AN251" s="412">
        <f>IF(I251=0,0,IF(G251=5,0,(AD251+AF251+AG251)*BASE!$C$10))</f>
        <v>1282272</v>
      </c>
      <c r="AO251" s="837">
        <f t="shared" si="77"/>
        <v>22496676.446666665</v>
      </c>
      <c r="AP251" s="677">
        <f t="shared" si="78"/>
        <v>1.666716782736684</v>
      </c>
      <c r="AQ251" s="1148"/>
      <c r="AR251" s="1149"/>
      <c r="CG251" s="179"/>
      <c r="CH251" s="181"/>
      <c r="CI251" s="182"/>
    </row>
    <row r="252" spans="1:87" ht="13.5" customHeight="1" outlineLevel="1" x14ac:dyDescent="0.2">
      <c r="A252" s="368" t="s">
        <v>581</v>
      </c>
      <c r="B252" s="477" t="s">
        <v>1201</v>
      </c>
      <c r="C252" s="427"/>
      <c r="D252" s="431">
        <f>IF(E252="","",VLOOKUP(E252,BASE!$F$20:$H$25,2,FALSE))</f>
        <v>5</v>
      </c>
      <c r="E252" s="399" t="s">
        <v>538</v>
      </c>
      <c r="F252" s="436" t="s">
        <v>546</v>
      </c>
      <c r="G252" s="437">
        <f>IF(F252="","",VLOOKUP(F252,BASE!$B$15:$C$18,2,FALSE))</f>
        <v>3</v>
      </c>
      <c r="H252" s="355">
        <v>5</v>
      </c>
      <c r="I252" s="423">
        <f t="shared" si="65"/>
        <v>5</v>
      </c>
      <c r="J252" s="399">
        <v>4</v>
      </c>
      <c r="K252" s="354"/>
      <c r="L252" s="354"/>
      <c r="M252" s="354"/>
      <c r="N252" s="354"/>
      <c r="O252" s="355">
        <f t="shared" si="66"/>
        <v>4</v>
      </c>
      <c r="P252" s="354"/>
      <c r="Q252" s="354"/>
      <c r="R252" s="355">
        <f t="shared" si="67"/>
        <v>0</v>
      </c>
      <c r="S252" s="354">
        <v>1</v>
      </c>
      <c r="T252" s="354"/>
      <c r="U252" s="354"/>
      <c r="V252" s="355">
        <f t="shared" si="68"/>
        <v>1</v>
      </c>
      <c r="W252" s="354"/>
      <c r="X252" s="477">
        <f t="shared" si="69"/>
        <v>5</v>
      </c>
      <c r="Y252" s="19" t="str">
        <f t="shared" si="70"/>
        <v xml:space="preserve">OK </v>
      </c>
      <c r="Z252" s="404" t="str">
        <f t="shared" si="71"/>
        <v xml:space="preserve"> </v>
      </c>
      <c r="AA252" s="478">
        <f>ROUND((IF(D252=1,(BASE!$G$51*I252),IF(D252=2,(BASE!$G$52*I252),IF(D252=3,(BASE!$G$53*I252),IF(D252=4,(BASE!$G$54*I252),IF(D252=5,(BASE!$G$55*I252),IF(D252=6,(BASE!$G$56*I252),0)))))))/1000,0)*1000</f>
        <v>445000</v>
      </c>
      <c r="AB252" s="408">
        <v>0</v>
      </c>
      <c r="AC252" s="478">
        <f t="shared" si="72"/>
        <v>445000</v>
      </c>
      <c r="AD252" s="478">
        <f>IF(G252=3,AC252*BASE!$I$62,IF(G252=1,AC252*(BASE!$I$61),IF(G252=2,AC252*(BASE!$I$63),AC252*BASE!$I$64)))</f>
        <v>4761500</v>
      </c>
      <c r="AE252" s="411">
        <f>IF(I252&lt;10,0,IF(AC252&lt;=BASE!$C$3*2,BASE!$C$2,0)*(AD252/AC252))</f>
        <v>0</v>
      </c>
      <c r="AF252" s="13">
        <v>0</v>
      </c>
      <c r="AG252" s="14">
        <f t="shared" si="73"/>
        <v>264527.77777777781</v>
      </c>
      <c r="AH252" s="14">
        <f t="shared" si="74"/>
        <v>418836</v>
      </c>
      <c r="AI252" s="14">
        <f t="shared" si="75"/>
        <v>418835.64814814815</v>
      </c>
      <c r="AJ252" s="14">
        <f t="shared" si="76"/>
        <v>46071.921296296299</v>
      </c>
      <c r="AK252" s="14">
        <f>IF(I252=0,0,IF(G252=5,0,(AC252+AF252/12)*12*BASE!$C$5))</f>
        <v>453900.00000000006</v>
      </c>
      <c r="AL252" s="14">
        <f>IF(I252=0,0,IF(G252=5,0,(AC252+AF252/12)*12*BASE!$C$7))</f>
        <v>640800</v>
      </c>
      <c r="AM252" s="14">
        <f>IF(I252=0,0,IF(G252=5,0,(AC252+AF252/12)*12*BASE!$C$9))</f>
        <v>27874.799999999999</v>
      </c>
      <c r="AN252" s="412">
        <f>IF(I252=0,0,IF(G252=5,0,(AD252+AF252+AG252)*BASE!$C$10))</f>
        <v>452342.5</v>
      </c>
      <c r="AO252" s="837">
        <f t="shared" si="77"/>
        <v>7484688.6472222228</v>
      </c>
      <c r="AP252" s="677">
        <f t="shared" si="78"/>
        <v>1.5719182289661289</v>
      </c>
      <c r="AQ252" s="1148"/>
      <c r="AR252" s="1149"/>
      <c r="CG252" s="179"/>
      <c r="CH252" s="181"/>
      <c r="CI252" s="182"/>
    </row>
    <row r="253" spans="1:87" ht="13.5" customHeight="1" outlineLevel="1" x14ac:dyDescent="0.2">
      <c r="A253" s="368" t="s">
        <v>581</v>
      </c>
      <c r="B253" s="477" t="s">
        <v>1202</v>
      </c>
      <c r="C253" s="427"/>
      <c r="D253" s="431">
        <f>IF(E253="","",VLOOKUP(E253,BASE!$F$20:$H$25,2,FALSE))</f>
        <v>5</v>
      </c>
      <c r="E253" s="399" t="s">
        <v>538</v>
      </c>
      <c r="F253" s="436" t="s">
        <v>863</v>
      </c>
      <c r="G253" s="437">
        <f>IF(F253="","",VLOOKUP(F253,BASE!$B$15:$C$18,2,FALSE))</f>
        <v>4</v>
      </c>
      <c r="H253" s="355">
        <v>10</v>
      </c>
      <c r="I253" s="423">
        <f t="shared" si="65"/>
        <v>10</v>
      </c>
      <c r="J253" s="354">
        <v>4</v>
      </c>
      <c r="K253" s="354">
        <v>2</v>
      </c>
      <c r="L253" s="399">
        <v>3</v>
      </c>
      <c r="M253" s="399">
        <v>1</v>
      </c>
      <c r="N253" s="354"/>
      <c r="O253" s="355">
        <f t="shared" si="66"/>
        <v>10</v>
      </c>
      <c r="P253" s="354"/>
      <c r="Q253" s="354"/>
      <c r="R253" s="355">
        <f t="shared" si="67"/>
        <v>0</v>
      </c>
      <c r="S253" s="354"/>
      <c r="T253" s="354"/>
      <c r="U253" s="354"/>
      <c r="V253" s="355">
        <f t="shared" si="68"/>
        <v>0</v>
      </c>
      <c r="W253" s="354"/>
      <c r="X253" s="477">
        <f t="shared" si="69"/>
        <v>10</v>
      </c>
      <c r="Y253" s="19" t="str">
        <f t="shared" si="70"/>
        <v xml:space="preserve">OK </v>
      </c>
      <c r="Z253" s="404" t="str">
        <f t="shared" si="71"/>
        <v xml:space="preserve"> </v>
      </c>
      <c r="AA253" s="478">
        <f>ROUND((IF(D253=1,(BASE!$G$51*I253),IF(D253=2,(BASE!$G$52*I253),IF(D253=3,(BASE!$G$53*I253),IF(D253=4,(BASE!$G$54*I253),IF(D253=5,(BASE!$G$55*I253),IF(D253=6,(BASE!$G$56*I253),0)))))))/1000,0)*1000</f>
        <v>890000</v>
      </c>
      <c r="AB253" s="408">
        <v>0</v>
      </c>
      <c r="AC253" s="478">
        <f t="shared" si="72"/>
        <v>890000</v>
      </c>
      <c r="AD253" s="478">
        <f>IF(G253=3,AC253*BASE!$I$62,IF(G253=1,AC253*(BASE!$I$61),IF(G253=2,AC253*(BASE!$I$63),AC253*BASE!$I$64)))</f>
        <v>10116333.333333334</v>
      </c>
      <c r="AE253" s="411">
        <f>IF(I253&lt;10,0,IF(AC253&lt;=BASE!$C$3*2,BASE!$C$2,0)*(AD253/AC253))</f>
        <v>1002665.0333333333</v>
      </c>
      <c r="AF253" s="13">
        <v>0</v>
      </c>
      <c r="AG253" s="14">
        <f t="shared" si="73"/>
        <v>562018.51851851854</v>
      </c>
      <c r="AH253" s="14">
        <f t="shared" si="74"/>
        <v>973418</v>
      </c>
      <c r="AI253" s="14">
        <f t="shared" si="75"/>
        <v>973418.07376543223</v>
      </c>
      <c r="AJ253" s="14">
        <f t="shared" si="76"/>
        <v>116810.16885185186</v>
      </c>
      <c r="AK253" s="14">
        <f>IF(I253=0,0,IF(G253=5,0,(AC253+AF253/12)*12*BASE!$C$5))</f>
        <v>907800.00000000012</v>
      </c>
      <c r="AL253" s="14">
        <f>IF(I253=0,0,IF(G253=5,0,(AC253+AF253/12)*12*BASE!$C$7))</f>
        <v>1281600</v>
      </c>
      <c r="AM253" s="14">
        <f>IF(I253=0,0,IF(G253=5,0,(AC253+AF253/12)*12*BASE!$C$9))</f>
        <v>55749.599999999999</v>
      </c>
      <c r="AN253" s="412">
        <f>IF(I253=0,0,IF(G253=5,0,(AD253+AF253+AG253)*BASE!$C$10))</f>
        <v>961051.66666666674</v>
      </c>
      <c r="AO253" s="837">
        <f t="shared" si="77"/>
        <v>16950864.394469138</v>
      </c>
      <c r="AP253" s="677">
        <f t="shared" si="78"/>
        <v>1.675593699410439</v>
      </c>
      <c r="AQ253" s="1148"/>
      <c r="AR253" s="1149"/>
      <c r="CG253" s="179"/>
      <c r="CH253" s="181"/>
      <c r="CI253" s="182"/>
    </row>
    <row r="254" spans="1:87" ht="13.5" customHeight="1" outlineLevel="1" x14ac:dyDescent="0.2">
      <c r="A254" s="368" t="s">
        <v>581</v>
      </c>
      <c r="B254" s="477" t="s">
        <v>1203</v>
      </c>
      <c r="C254" s="427"/>
      <c r="D254" s="431">
        <f>IF(E254="","",VLOOKUP(E254,BASE!$F$20:$H$25,2,FALSE))</f>
        <v>3</v>
      </c>
      <c r="E254" s="399" t="s">
        <v>540</v>
      </c>
      <c r="F254" s="436" t="s">
        <v>863</v>
      </c>
      <c r="G254" s="437">
        <f>IF(F254="","",VLOOKUP(F254,BASE!$B$15:$C$18,2,FALSE))</f>
        <v>4</v>
      </c>
      <c r="H254" s="355">
        <v>23</v>
      </c>
      <c r="I254" s="423">
        <f t="shared" si="65"/>
        <v>23</v>
      </c>
      <c r="J254" s="354">
        <v>2</v>
      </c>
      <c r="K254" s="354">
        <v>2</v>
      </c>
      <c r="L254" s="399">
        <v>3</v>
      </c>
      <c r="M254" s="399">
        <v>2</v>
      </c>
      <c r="N254" s="399">
        <v>2</v>
      </c>
      <c r="O254" s="355">
        <f t="shared" si="66"/>
        <v>11</v>
      </c>
      <c r="P254" s="354"/>
      <c r="Q254" s="399">
        <v>10</v>
      </c>
      <c r="R254" s="355">
        <f t="shared" si="67"/>
        <v>10</v>
      </c>
      <c r="S254" s="354"/>
      <c r="T254" s="354"/>
      <c r="U254" s="354"/>
      <c r="V254" s="355">
        <f t="shared" si="68"/>
        <v>0</v>
      </c>
      <c r="W254" s="354">
        <v>2</v>
      </c>
      <c r="X254" s="477">
        <f t="shared" si="69"/>
        <v>23</v>
      </c>
      <c r="Y254" s="19" t="str">
        <f t="shared" si="70"/>
        <v xml:space="preserve">OK </v>
      </c>
      <c r="Z254" s="404" t="str">
        <f t="shared" si="71"/>
        <v xml:space="preserve"> </v>
      </c>
      <c r="AA254" s="478">
        <f>ROUND((IF(D254=1,(BASE!$G$51*I254),IF(D254=2,(BASE!$G$52*I254),IF(D254=3,(BASE!$G$53*I254),IF(D254=4,(BASE!$G$54*I254),IF(D254=5,(BASE!$G$55*I254),IF(D254=6,(BASE!$G$56*I254),0)))))))/1000,0)*1000</f>
        <v>3146000</v>
      </c>
      <c r="AB254" s="408">
        <v>0</v>
      </c>
      <c r="AC254" s="478">
        <f t="shared" si="72"/>
        <v>3146000</v>
      </c>
      <c r="AD254" s="478">
        <f>IF(G254=3,AC254*BASE!$I$62,IF(G254=1,AC254*(BASE!$I$61),IF(G254=2,AC254*(BASE!$I$63),AC254*BASE!$I$64)))</f>
        <v>35759533.333333336</v>
      </c>
      <c r="AE254" s="411">
        <f>IF(I254&lt;10,0,IF(AC254&lt;=BASE!$C$3*2,BASE!$C$2,0)*(AD254/AC254))</f>
        <v>0</v>
      </c>
      <c r="AF254" s="13">
        <v>0</v>
      </c>
      <c r="AG254" s="14">
        <f t="shared" si="73"/>
        <v>1986640.7407407409</v>
      </c>
      <c r="AH254" s="14">
        <f t="shared" si="74"/>
        <v>3145515</v>
      </c>
      <c r="AI254" s="14">
        <f t="shared" si="75"/>
        <v>3145514.50617284</v>
      </c>
      <c r="AJ254" s="14">
        <f t="shared" si="76"/>
        <v>377461.74074074079</v>
      </c>
      <c r="AK254" s="14">
        <f>IF(I254=0,0,IF(G254=5,0,(AC254+AF254/12)*12*BASE!$C$5))</f>
        <v>3208920</v>
      </c>
      <c r="AL254" s="14">
        <f>IF(I254=0,0,IF(G254=5,0,(AC254+AF254/12)*12*BASE!$C$7))</f>
        <v>4530240</v>
      </c>
      <c r="AM254" s="14">
        <f>IF(I254=0,0,IF(G254=5,0,(AC254+AF254/12)*12*BASE!$C$9))</f>
        <v>197065.44</v>
      </c>
      <c r="AN254" s="412">
        <f>IF(I254=0,0,IF(G254=5,0,(AD254+AF254+AG254)*BASE!$C$10))</f>
        <v>3397155.6666666665</v>
      </c>
      <c r="AO254" s="837">
        <f t="shared" si="77"/>
        <v>55748046.427654319</v>
      </c>
      <c r="AP254" s="677">
        <f t="shared" si="78"/>
        <v>1.5589701886766134</v>
      </c>
      <c r="AQ254" s="1148"/>
      <c r="AR254" s="1149"/>
      <c r="CG254" s="179"/>
      <c r="CH254" s="181"/>
      <c r="CI254" s="182"/>
    </row>
    <row r="255" spans="1:87" ht="13.5" customHeight="1" outlineLevel="1" x14ac:dyDescent="0.2">
      <c r="A255" s="368" t="s">
        <v>581</v>
      </c>
      <c r="B255" s="477" t="s">
        <v>1204</v>
      </c>
      <c r="C255" s="427"/>
      <c r="D255" s="431">
        <f>IF(E255="","",VLOOKUP(E255,BASE!$F$20:$H$25,2,FALSE))</f>
        <v>3</v>
      </c>
      <c r="E255" s="399" t="s">
        <v>540</v>
      </c>
      <c r="F255" s="436" t="s">
        <v>863</v>
      </c>
      <c r="G255" s="437">
        <f>IF(F255="","",VLOOKUP(F255,BASE!$B$15:$C$18,2,FALSE))</f>
        <v>4</v>
      </c>
      <c r="H255" s="355">
        <v>40</v>
      </c>
      <c r="I255" s="423">
        <f t="shared" si="65"/>
        <v>40</v>
      </c>
      <c r="J255" s="354">
        <v>8</v>
      </c>
      <c r="K255" s="354">
        <v>8</v>
      </c>
      <c r="L255" s="399">
        <v>8</v>
      </c>
      <c r="M255" s="354"/>
      <c r="N255" s="354"/>
      <c r="O255" s="355">
        <f t="shared" si="66"/>
        <v>24</v>
      </c>
      <c r="P255" s="354"/>
      <c r="Q255" s="354">
        <v>10</v>
      </c>
      <c r="R255" s="355">
        <f t="shared" si="67"/>
        <v>10</v>
      </c>
      <c r="S255" s="354"/>
      <c r="T255" s="354"/>
      <c r="U255" s="354"/>
      <c r="V255" s="355">
        <f t="shared" si="68"/>
        <v>0</v>
      </c>
      <c r="W255" s="354">
        <v>6</v>
      </c>
      <c r="X255" s="477">
        <f t="shared" si="69"/>
        <v>40</v>
      </c>
      <c r="Y255" s="19" t="str">
        <f t="shared" si="70"/>
        <v xml:space="preserve">OK </v>
      </c>
      <c r="Z255" s="404" t="str">
        <f t="shared" si="71"/>
        <v xml:space="preserve"> </v>
      </c>
      <c r="AA255" s="478">
        <f>ROUND((IF(D255=1,(BASE!$G$51*I255),IF(D255=2,(BASE!$G$52*I255),IF(D255=3,(BASE!$G$53*I255),IF(D255=4,(BASE!$G$54*I255),IF(D255=5,(BASE!$G$55*I255),IF(D255=6,(BASE!$G$56*I255),0)))))))/1000,0)*1000</f>
        <v>5472000</v>
      </c>
      <c r="AB255" s="408">
        <v>388000</v>
      </c>
      <c r="AC255" s="478">
        <f t="shared" si="72"/>
        <v>5860000</v>
      </c>
      <c r="AD255" s="478">
        <f>IF(G255=3,AC255*BASE!$I$62,IF(G255=1,AC255*(BASE!$I$61),IF(G255=2,AC255*(BASE!$I$63),AC255*BASE!$I$64)))</f>
        <v>66608666.666666672</v>
      </c>
      <c r="AE255" s="411">
        <f>IF(I255&lt;10,0,IF(AC255&lt;=BASE!$C$3*2,BASE!$C$2,0)*(AD255/AC255))</f>
        <v>0</v>
      </c>
      <c r="AF255" s="13">
        <v>0</v>
      </c>
      <c r="AG255" s="14">
        <f t="shared" si="73"/>
        <v>3700481.4814814818</v>
      </c>
      <c r="AH255" s="14">
        <f t="shared" si="74"/>
        <v>5859096</v>
      </c>
      <c r="AI255" s="14">
        <f t="shared" si="75"/>
        <v>5859095.6790123461</v>
      </c>
      <c r="AJ255" s="14">
        <f t="shared" si="76"/>
        <v>703091.48148148146</v>
      </c>
      <c r="AK255" s="14">
        <f>IF(I255=0,0,IF(G255=5,0,(AC255+AF255/12)*12*BASE!$C$5))</f>
        <v>5977200</v>
      </c>
      <c r="AL255" s="14">
        <f>IF(I255=0,0,IF(G255=5,0,(AC255+AF255/12)*12*BASE!$C$7))</f>
        <v>8438400</v>
      </c>
      <c r="AM255" s="14">
        <f>IF(I255=0,0,IF(G255=5,0,(AC255+AF255/12)*12*BASE!$C$9))</f>
        <v>367070.39999999997</v>
      </c>
      <c r="AN255" s="412">
        <f>IF(I255=0,0,IF(G255=5,0,(AD255+AF255+AG255)*BASE!$C$10))</f>
        <v>6327823.333333333</v>
      </c>
      <c r="AO255" s="837">
        <f t="shared" si="77"/>
        <v>103840925.0419753</v>
      </c>
      <c r="AP255" s="677">
        <f t="shared" si="78"/>
        <v>1.5589701796859563</v>
      </c>
      <c r="AQ255" s="1150" t="s">
        <v>1249</v>
      </c>
      <c r="AR255" s="1149"/>
      <c r="CG255" s="179"/>
      <c r="CH255" s="181"/>
      <c r="CI255" s="182"/>
    </row>
    <row r="256" spans="1:87" ht="13.5" customHeight="1" outlineLevel="1" x14ac:dyDescent="0.2">
      <c r="A256" s="368" t="s">
        <v>581</v>
      </c>
      <c r="B256" s="477" t="s">
        <v>1205</v>
      </c>
      <c r="C256" s="427"/>
      <c r="D256" s="431">
        <f>IF(E256="","",VLOOKUP(E256,BASE!$F$20:$H$25,2,FALSE))</f>
        <v>3</v>
      </c>
      <c r="E256" s="399" t="s">
        <v>540</v>
      </c>
      <c r="F256" s="436" t="s">
        <v>258</v>
      </c>
      <c r="G256" s="437">
        <f>IF(F256="","",VLOOKUP(F256,BASE!$B$15:$C$18,2,FALSE))</f>
        <v>2</v>
      </c>
      <c r="H256" s="355">
        <v>20</v>
      </c>
      <c r="I256" s="423">
        <f t="shared" si="65"/>
        <v>20</v>
      </c>
      <c r="J256" s="399">
        <v>5</v>
      </c>
      <c r="K256" s="399">
        <v>2</v>
      </c>
      <c r="L256" s="354"/>
      <c r="M256" s="354"/>
      <c r="N256" s="354"/>
      <c r="O256" s="355">
        <f t="shared" si="66"/>
        <v>7</v>
      </c>
      <c r="P256" s="354"/>
      <c r="Q256" s="354"/>
      <c r="R256" s="355">
        <f t="shared" si="67"/>
        <v>0</v>
      </c>
      <c r="S256" s="354"/>
      <c r="T256" s="354"/>
      <c r="U256" s="354"/>
      <c r="V256" s="355">
        <f t="shared" si="68"/>
        <v>0</v>
      </c>
      <c r="W256" s="354">
        <v>13</v>
      </c>
      <c r="X256" s="477">
        <f t="shared" si="69"/>
        <v>20</v>
      </c>
      <c r="Y256" s="19" t="str">
        <f t="shared" si="70"/>
        <v xml:space="preserve">OK </v>
      </c>
      <c r="Z256" s="404" t="str">
        <f t="shared" si="71"/>
        <v xml:space="preserve"> </v>
      </c>
      <c r="AA256" s="478">
        <f>ROUND((IF(D256=1,(BASE!$G$51*I256),IF(D256=2,(BASE!$G$52*I256),IF(D256=3,(BASE!$G$53*I256),IF(D256=4,(BASE!$G$54*I256),IF(D256=5,(BASE!$G$55*I256),IF(D256=6,(BASE!$G$56*I256),0)))))))/1000,0)*1000</f>
        <v>2736000</v>
      </c>
      <c r="AB256" s="408">
        <v>581000</v>
      </c>
      <c r="AC256" s="478">
        <f t="shared" si="72"/>
        <v>3317000</v>
      </c>
      <c r="AD256" s="478">
        <f>IF(G256=3,AC256*BASE!$I$62,IF(G256=1,AC256*(BASE!$I$61),IF(G256=2,AC256*(BASE!$I$63),AC256*BASE!$I$64)))</f>
        <v>37703233.333333336</v>
      </c>
      <c r="AE256" s="411">
        <f>IF(I256&lt;10,0,IF(AC256&lt;=BASE!$C$3*2,BASE!$C$2,0)*(AD256/AC256))</f>
        <v>0</v>
      </c>
      <c r="AF256" s="13">
        <v>0</v>
      </c>
      <c r="AG256" s="14">
        <f t="shared" si="73"/>
        <v>2094624.0740740744</v>
      </c>
      <c r="AH256" s="14">
        <f t="shared" si="74"/>
        <v>3316488</v>
      </c>
      <c r="AI256" s="14">
        <f t="shared" si="75"/>
        <v>3316488.117283951</v>
      </c>
      <c r="AJ256" s="14">
        <f t="shared" si="76"/>
        <v>397978.5740740741</v>
      </c>
      <c r="AK256" s="14">
        <f>IF(I256=0,0,IF(G256=5,0,(AC256+AF256/12)*12*BASE!$C$5))</f>
        <v>3383340.0000000005</v>
      </c>
      <c r="AL256" s="14">
        <f>IF(I256=0,0,IF(G256=5,0,(AC256+AF256/12)*12*BASE!$C$7))</f>
        <v>4776480</v>
      </c>
      <c r="AM256" s="14">
        <f>IF(I256=0,0,IF(G256=5,0,(AC256+AF256/12)*12*BASE!$C$9))</f>
        <v>207776.88</v>
      </c>
      <c r="AN256" s="412">
        <f>IF(I256=0,0,IF(G256=5,0,(AD256+AF256+AG256)*BASE!$C$10))</f>
        <v>3581807.166666667</v>
      </c>
      <c r="AO256" s="837">
        <f t="shared" si="77"/>
        <v>58778216.1454321</v>
      </c>
      <c r="AP256" s="677">
        <f t="shared" si="78"/>
        <v>1.5589701717562356</v>
      </c>
      <c r="AQ256" s="1148"/>
      <c r="AR256" s="1149"/>
      <c r="CG256" s="179"/>
      <c r="CH256" s="181"/>
      <c r="CI256" s="182"/>
    </row>
    <row r="257" spans="1:87" ht="13.5" customHeight="1" outlineLevel="1" x14ac:dyDescent="0.2">
      <c r="A257" s="368" t="s">
        <v>581</v>
      </c>
      <c r="B257" s="477" t="s">
        <v>1206</v>
      </c>
      <c r="C257" s="427"/>
      <c r="D257" s="431">
        <f>IF(E257="","",VLOOKUP(E257,BASE!$F$20:$H$25,2,FALSE))</f>
        <v>3</v>
      </c>
      <c r="E257" s="399" t="s">
        <v>540</v>
      </c>
      <c r="F257" s="436" t="s">
        <v>863</v>
      </c>
      <c r="G257" s="437">
        <f>IF(F257="","",VLOOKUP(F257,BASE!$B$15:$C$18,2,FALSE))</f>
        <v>4</v>
      </c>
      <c r="H257" s="355">
        <v>40</v>
      </c>
      <c r="I257" s="423">
        <f t="shared" si="65"/>
        <v>40</v>
      </c>
      <c r="J257" s="399">
        <v>3</v>
      </c>
      <c r="K257" s="399">
        <v>1</v>
      </c>
      <c r="L257" s="399">
        <v>1</v>
      </c>
      <c r="M257" s="399">
        <v>0</v>
      </c>
      <c r="N257" s="399">
        <v>2</v>
      </c>
      <c r="O257" s="355">
        <f t="shared" si="66"/>
        <v>7</v>
      </c>
      <c r="P257" s="354"/>
      <c r="Q257" s="399">
        <v>31</v>
      </c>
      <c r="R257" s="355">
        <f t="shared" si="67"/>
        <v>31</v>
      </c>
      <c r="S257" s="354"/>
      <c r="T257" s="354"/>
      <c r="U257" s="354"/>
      <c r="V257" s="355">
        <f t="shared" si="68"/>
        <v>0</v>
      </c>
      <c r="W257" s="399">
        <v>2</v>
      </c>
      <c r="X257" s="477">
        <f t="shared" si="69"/>
        <v>40</v>
      </c>
      <c r="Y257" s="19" t="str">
        <f t="shared" si="70"/>
        <v xml:space="preserve">OK </v>
      </c>
      <c r="Z257" s="404" t="str">
        <f t="shared" si="71"/>
        <v xml:space="preserve"> </v>
      </c>
      <c r="AA257" s="478">
        <f>ROUND((IF(D257=1,(BASE!$G$51*I257),IF(D257=2,(BASE!$G$52*I257),IF(D257=3,(BASE!$G$53*I257),IF(D257=4,(BASE!$G$54*I257),IF(D257=5,(BASE!$G$55*I257),IF(D257=6,(BASE!$G$56*I257),0)))))))/1000,0)*1000</f>
        <v>5472000</v>
      </c>
      <c r="AB257" s="408">
        <v>194000</v>
      </c>
      <c r="AC257" s="478">
        <f t="shared" si="72"/>
        <v>5666000</v>
      </c>
      <c r="AD257" s="478">
        <f>IF(G257=3,AC257*BASE!$I$62,IF(G257=1,AC257*(BASE!$I$61),IF(G257=2,AC257*(BASE!$I$63),AC257*BASE!$I$64)))</f>
        <v>64403533.333333336</v>
      </c>
      <c r="AE257" s="411">
        <f>IF(I257&lt;10,0,IF(AC257&lt;=BASE!$C$3*2,BASE!$C$2,0)*(AD257/AC257))</f>
        <v>0</v>
      </c>
      <c r="AF257" s="13">
        <v>0</v>
      </c>
      <c r="AG257" s="14">
        <f t="shared" si="73"/>
        <v>3577974.0740740742</v>
      </c>
      <c r="AH257" s="14">
        <f t="shared" si="74"/>
        <v>5665126</v>
      </c>
      <c r="AI257" s="14">
        <f t="shared" si="75"/>
        <v>5665125.6172839506</v>
      </c>
      <c r="AJ257" s="14">
        <f t="shared" si="76"/>
        <v>679815.07407407404</v>
      </c>
      <c r="AK257" s="14">
        <f>IF(I257=0,0,IF(G257=5,0,(AC257+AF257/12)*12*BASE!$C$5))</f>
        <v>5779320</v>
      </c>
      <c r="AL257" s="14">
        <f>IF(I257=0,0,IF(G257=5,0,(AC257+AF257/12)*12*BASE!$C$7))</f>
        <v>8159040</v>
      </c>
      <c r="AM257" s="14">
        <f>IF(I257=0,0,IF(G257=5,0,(AC257+AF257/12)*12*BASE!$C$9))</f>
        <v>354918.24</v>
      </c>
      <c r="AN257" s="412">
        <f>IF(I257=0,0,IF(G257=5,0,(AD257+AF257+AG257)*BASE!$C$10))</f>
        <v>6118335.666666666</v>
      </c>
      <c r="AO257" s="837">
        <f t="shared" si="77"/>
        <v>100403188.0054321</v>
      </c>
      <c r="AP257" s="677">
        <f t="shared" si="78"/>
        <v>1.5589701808094187</v>
      </c>
      <c r="AQ257" s="1148"/>
      <c r="AR257" s="1149"/>
      <c r="CG257" s="179"/>
      <c r="CH257" s="181"/>
      <c r="CI257" s="182"/>
    </row>
    <row r="258" spans="1:87" ht="13.5" customHeight="1" outlineLevel="1" x14ac:dyDescent="0.2">
      <c r="A258" s="368" t="s">
        <v>581</v>
      </c>
      <c r="B258" s="477" t="s">
        <v>1207</v>
      </c>
      <c r="C258" s="427"/>
      <c r="D258" s="431">
        <f>IF(E258="","",VLOOKUP(E258,BASE!$F$20:$H$25,2,FALSE))</f>
        <v>4</v>
      </c>
      <c r="E258" s="399" t="s">
        <v>539</v>
      </c>
      <c r="F258" s="436" t="s">
        <v>546</v>
      </c>
      <c r="G258" s="437">
        <f>IF(F258="","",VLOOKUP(F258,BASE!$B$15:$C$18,2,FALSE))</f>
        <v>3</v>
      </c>
      <c r="H258" s="355">
        <v>40</v>
      </c>
      <c r="I258" s="423">
        <f t="shared" si="65"/>
        <v>40</v>
      </c>
      <c r="J258" s="354"/>
      <c r="K258" s="354"/>
      <c r="L258" s="354"/>
      <c r="M258" s="354"/>
      <c r="N258" s="354"/>
      <c r="O258" s="355">
        <f t="shared" si="66"/>
        <v>0</v>
      </c>
      <c r="P258" s="354"/>
      <c r="Q258" s="354"/>
      <c r="R258" s="355">
        <f t="shared" si="67"/>
        <v>0</v>
      </c>
      <c r="S258" s="354"/>
      <c r="T258" s="354"/>
      <c r="U258" s="354"/>
      <c r="V258" s="355">
        <f t="shared" si="68"/>
        <v>0</v>
      </c>
      <c r="W258" s="399">
        <v>40</v>
      </c>
      <c r="X258" s="477">
        <f t="shared" si="69"/>
        <v>40</v>
      </c>
      <c r="Y258" s="19" t="str">
        <f t="shared" si="70"/>
        <v xml:space="preserve">OK </v>
      </c>
      <c r="Z258" s="404" t="str">
        <f t="shared" si="71"/>
        <v xml:space="preserve"> </v>
      </c>
      <c r="AA258" s="478">
        <f>ROUND((IF(D258=1,(BASE!$G$51*I258),IF(D258=2,(BASE!$G$52*I258),IF(D258=3,(BASE!$G$53*I258),IF(D258=4,(BASE!$G$54*I258),IF(D258=5,(BASE!$G$55*I258),IF(D258=6,(BASE!$G$56*I258),0)))))))/1000,0)*1000</f>
        <v>4456000</v>
      </c>
      <c r="AB258" s="408">
        <v>0</v>
      </c>
      <c r="AC258" s="478">
        <f t="shared" si="72"/>
        <v>4456000</v>
      </c>
      <c r="AD258" s="478">
        <f>IF(G258=3,AC258*BASE!$I$62,IF(G258=1,AC258*(BASE!$I$61),IF(G258=2,AC258*(BASE!$I$63),AC258*BASE!$I$64)))</f>
        <v>47679200</v>
      </c>
      <c r="AE258" s="411">
        <f>IF(I258&lt;10,0,IF(AC258&lt;=BASE!$C$3*2,BASE!$C$2,0)*(AD258/AC258))</f>
        <v>0</v>
      </c>
      <c r="AF258" s="13">
        <v>0</v>
      </c>
      <c r="AG258" s="14">
        <f t="shared" si="73"/>
        <v>2648844.4444444445</v>
      </c>
      <c r="AH258" s="14">
        <f t="shared" si="74"/>
        <v>4194004</v>
      </c>
      <c r="AI258" s="14">
        <f t="shared" si="75"/>
        <v>4194003.7037037034</v>
      </c>
      <c r="AJ258" s="14">
        <f t="shared" si="76"/>
        <v>461340.40740740736</v>
      </c>
      <c r="AK258" s="14">
        <f>IF(I258=0,0,IF(G258=5,0,(AC258+AF258/12)*12*BASE!$C$5))</f>
        <v>4545120</v>
      </c>
      <c r="AL258" s="14">
        <f>IF(I258=0,0,IF(G258=5,0,(AC258+AF258/12)*12*BASE!$C$7))</f>
        <v>6416640</v>
      </c>
      <c r="AM258" s="14">
        <f>IF(I258=0,0,IF(G258=5,0,(AC258+AF258/12)*12*BASE!$C$9))</f>
        <v>279123.83999999997</v>
      </c>
      <c r="AN258" s="412">
        <f>IF(I258=0,0,IF(G258=5,0,(AD258+AF258+AG258)*BASE!$C$10))</f>
        <v>4529524</v>
      </c>
      <c r="AO258" s="837">
        <f t="shared" si="77"/>
        <v>74947800.395555556</v>
      </c>
      <c r="AP258" s="677">
        <f t="shared" si="78"/>
        <v>1.571918161285331</v>
      </c>
      <c r="AQ258" s="1150" t="s">
        <v>1429</v>
      </c>
      <c r="AR258" s="1149"/>
      <c r="CG258" s="179"/>
      <c r="CH258" s="181"/>
      <c r="CI258" s="182"/>
    </row>
    <row r="259" spans="1:87" ht="13.5" customHeight="1" outlineLevel="1" x14ac:dyDescent="0.2">
      <c r="A259" s="368" t="s">
        <v>581</v>
      </c>
      <c r="B259" s="477" t="s">
        <v>1208</v>
      </c>
      <c r="C259" s="427"/>
      <c r="D259" s="431">
        <f>IF(E259="","",VLOOKUP(E259,BASE!$F$20:$H$25,2,FALSE))</f>
        <v>5</v>
      </c>
      <c r="E259" s="399" t="s">
        <v>538</v>
      </c>
      <c r="F259" s="436" t="s">
        <v>261</v>
      </c>
      <c r="G259" s="437">
        <f>IF(F259="","",VLOOKUP(F259,BASE!$B$15:$C$18,2,FALSE))</f>
        <v>1</v>
      </c>
      <c r="H259" s="355">
        <v>5</v>
      </c>
      <c r="I259" s="423">
        <f t="shared" si="65"/>
        <v>5</v>
      </c>
      <c r="J259" s="399">
        <v>4</v>
      </c>
      <c r="K259" s="354"/>
      <c r="L259" s="354"/>
      <c r="M259" s="354"/>
      <c r="N259" s="354"/>
      <c r="O259" s="355">
        <f t="shared" si="66"/>
        <v>4</v>
      </c>
      <c r="P259" s="354"/>
      <c r="Q259" s="354"/>
      <c r="R259" s="355">
        <f t="shared" si="67"/>
        <v>0</v>
      </c>
      <c r="S259" s="354">
        <v>1</v>
      </c>
      <c r="T259" s="354"/>
      <c r="U259" s="354"/>
      <c r="V259" s="355">
        <f t="shared" si="68"/>
        <v>1</v>
      </c>
      <c r="W259" s="354"/>
      <c r="X259" s="477">
        <f t="shared" si="69"/>
        <v>5</v>
      </c>
      <c r="Y259" s="19" t="str">
        <f t="shared" si="70"/>
        <v xml:space="preserve">OK </v>
      </c>
      <c r="Z259" s="404" t="str">
        <f t="shared" si="71"/>
        <v xml:space="preserve"> </v>
      </c>
      <c r="AA259" s="478">
        <f>ROUND((IF(D259=1,(BASE!$G$51*I259),IF(D259=2,(BASE!$G$52*I259),IF(D259=3,(BASE!$G$53*I259),IF(D259=4,(BASE!$G$54*I259),IF(D259=5,(BASE!$G$55*I259),IF(D259=6,(BASE!$G$56*I259),0)))))))/1000,0)*1000</f>
        <v>445000</v>
      </c>
      <c r="AB259" s="408">
        <v>0</v>
      </c>
      <c r="AC259" s="478">
        <f t="shared" si="72"/>
        <v>445000</v>
      </c>
      <c r="AD259" s="478">
        <f>IF(G259=3,AC259*BASE!$I$62,IF(G259=1,AC259*(BASE!$I$61),IF(G259=2,AC259*(BASE!$I$63),AC259*BASE!$I$64)))</f>
        <v>4390666.666666667</v>
      </c>
      <c r="AE259" s="411">
        <f>IF(I259&lt;10,0,IF(AC259&lt;=BASE!$C$3*2,BASE!$C$2,0)*(AD259/AC259))</f>
        <v>0</v>
      </c>
      <c r="AF259" s="13">
        <v>0</v>
      </c>
      <c r="AG259" s="14">
        <f t="shared" si="73"/>
        <v>243925.92592592596</v>
      </c>
      <c r="AH259" s="14">
        <f t="shared" si="74"/>
        <v>386216</v>
      </c>
      <c r="AI259" s="14">
        <f t="shared" si="75"/>
        <v>386216.04938271607</v>
      </c>
      <c r="AJ259" s="14">
        <f t="shared" si="76"/>
        <v>38621.604938271608</v>
      </c>
      <c r="AK259" s="14">
        <f>IF(I259=0,0,IF(G259=5,0,(AC259+AF259/12)*12*BASE!$C$5))</f>
        <v>453900.00000000006</v>
      </c>
      <c r="AL259" s="14">
        <f>IF(I259=0,0,IF(G259=5,0,(AC259+AF259/12)*12*BASE!$C$7))</f>
        <v>640800</v>
      </c>
      <c r="AM259" s="14">
        <f>IF(I259=0,0,IF(G259=5,0,(AC259+AF259/12)*12*BASE!$C$9))</f>
        <v>27874.799999999999</v>
      </c>
      <c r="AN259" s="412">
        <f>IF(I259=0,0,IF(G259=5,0,(AD259+AF259+AG259)*BASE!$C$10))</f>
        <v>417113.33333333337</v>
      </c>
      <c r="AO259" s="837">
        <f t="shared" si="77"/>
        <v>6985334.380246914</v>
      </c>
      <c r="AP259" s="677">
        <f t="shared" si="78"/>
        <v>1.5909507395035485</v>
      </c>
      <c r="AQ259" s="1148"/>
      <c r="AR259" s="1149"/>
      <c r="CG259" s="179"/>
      <c r="CH259" s="181"/>
      <c r="CI259" s="182"/>
    </row>
    <row r="260" spans="1:87" ht="13.5" customHeight="1" outlineLevel="1" x14ac:dyDescent="0.2">
      <c r="A260" s="368" t="s">
        <v>581</v>
      </c>
      <c r="B260" s="477" t="s">
        <v>1209</v>
      </c>
      <c r="C260" s="427"/>
      <c r="D260" s="431">
        <f>IF(E260="","",VLOOKUP(E260,BASE!$F$20:$H$25,2,FALSE))</f>
        <v>3</v>
      </c>
      <c r="E260" s="399" t="s">
        <v>540</v>
      </c>
      <c r="F260" s="436" t="s">
        <v>863</v>
      </c>
      <c r="G260" s="437">
        <f>IF(F260="","",VLOOKUP(F260,BASE!$B$15:$C$18,2,FALSE))</f>
        <v>4</v>
      </c>
      <c r="H260" s="355">
        <v>40</v>
      </c>
      <c r="I260" s="423">
        <f t="shared" si="65"/>
        <v>40</v>
      </c>
      <c r="J260" s="399">
        <v>6</v>
      </c>
      <c r="K260" s="399">
        <v>3</v>
      </c>
      <c r="L260" s="399">
        <v>3</v>
      </c>
      <c r="M260" s="399">
        <v>0</v>
      </c>
      <c r="N260" s="399">
        <v>0</v>
      </c>
      <c r="O260" s="355">
        <f t="shared" si="66"/>
        <v>12</v>
      </c>
      <c r="P260" s="354"/>
      <c r="Q260" s="399">
        <v>20</v>
      </c>
      <c r="R260" s="355">
        <f t="shared" si="67"/>
        <v>20</v>
      </c>
      <c r="S260" s="354">
        <v>6</v>
      </c>
      <c r="T260" s="354">
        <v>2</v>
      </c>
      <c r="U260" s="354"/>
      <c r="V260" s="355">
        <f t="shared" si="68"/>
        <v>8</v>
      </c>
      <c r="W260" s="354"/>
      <c r="X260" s="477">
        <f t="shared" si="69"/>
        <v>40</v>
      </c>
      <c r="Y260" s="19" t="str">
        <f t="shared" si="70"/>
        <v xml:space="preserve">OK </v>
      </c>
      <c r="Z260" s="404" t="str">
        <f t="shared" si="71"/>
        <v xml:space="preserve"> </v>
      </c>
      <c r="AA260" s="478">
        <f>ROUND((IF(D260=1,(BASE!$G$51*I260),IF(D260=2,(BASE!$G$52*I260),IF(D260=3,(BASE!$G$53*I260),IF(D260=4,(BASE!$G$54*I260),IF(D260=5,(BASE!$G$55*I260),IF(D260=6,(BASE!$G$56*I260),0)))))))/1000,0)*1000</f>
        <v>5472000</v>
      </c>
      <c r="AB260" s="408">
        <v>0</v>
      </c>
      <c r="AC260" s="478">
        <f t="shared" si="72"/>
        <v>5472000</v>
      </c>
      <c r="AD260" s="478">
        <f>IF(G260=3,AC260*BASE!$I$62,IF(G260=1,AC260*(BASE!$I$61),IF(G260=2,AC260*(BASE!$I$63),AC260*BASE!$I$64)))</f>
        <v>62198400</v>
      </c>
      <c r="AE260" s="411">
        <f>IF(I260&lt;10,0,IF(AC260&lt;=BASE!$C$3*2,BASE!$C$2,0)*(AD260/AC260))</f>
        <v>0</v>
      </c>
      <c r="AF260" s="13">
        <v>0</v>
      </c>
      <c r="AG260" s="14">
        <f t="shared" si="73"/>
        <v>3455466.6666666665</v>
      </c>
      <c r="AH260" s="14">
        <f t="shared" si="74"/>
        <v>5471156</v>
      </c>
      <c r="AI260" s="14">
        <f t="shared" si="75"/>
        <v>5471155.555555556</v>
      </c>
      <c r="AJ260" s="14">
        <f t="shared" si="76"/>
        <v>656538.66666666674</v>
      </c>
      <c r="AK260" s="14">
        <f>IF(I260=0,0,IF(G260=5,0,(AC260+AF260/12)*12*BASE!$C$5))</f>
        <v>5581440</v>
      </c>
      <c r="AL260" s="14">
        <f>IF(I260=0,0,IF(G260=5,0,(AC260+AF260/12)*12*BASE!$C$7))</f>
        <v>7879680</v>
      </c>
      <c r="AM260" s="14">
        <f>IF(I260=0,0,IF(G260=5,0,(AC260+AF260/12)*12*BASE!$C$9))</f>
        <v>342766.08000000002</v>
      </c>
      <c r="AN260" s="412">
        <f>IF(I260=0,0,IF(G260=5,0,(AD260+AF260+AG260)*BASE!$C$10))</f>
        <v>5908848</v>
      </c>
      <c r="AO260" s="837">
        <f t="shared" si="77"/>
        <v>96965450.968888879</v>
      </c>
      <c r="AP260" s="677">
        <f t="shared" si="78"/>
        <v>1.5589701820125417</v>
      </c>
      <c r="AQ260" s="1148"/>
      <c r="AR260" s="1149"/>
      <c r="CG260" s="179"/>
      <c r="CH260" s="181"/>
      <c r="CI260" s="182"/>
    </row>
    <row r="261" spans="1:87" ht="13.5" customHeight="1" outlineLevel="1" x14ac:dyDescent="0.2">
      <c r="A261" s="368" t="s">
        <v>581</v>
      </c>
      <c r="B261" s="477" t="s">
        <v>1210</v>
      </c>
      <c r="C261" s="427"/>
      <c r="D261" s="431">
        <f>IF(E261="","",VLOOKUP(E261,BASE!$F$20:$H$25,2,FALSE))</f>
        <v>2</v>
      </c>
      <c r="E261" s="399" t="s">
        <v>541</v>
      </c>
      <c r="F261" s="436" t="s">
        <v>863</v>
      </c>
      <c r="G261" s="437">
        <f>IF(F261="","",VLOOKUP(F261,BASE!$B$15:$C$18,2,FALSE))</f>
        <v>4</v>
      </c>
      <c r="H261" s="355">
        <v>40</v>
      </c>
      <c r="I261" s="423">
        <f t="shared" si="65"/>
        <v>40</v>
      </c>
      <c r="J261" s="399">
        <v>17</v>
      </c>
      <c r="K261" s="399">
        <v>9</v>
      </c>
      <c r="L261" s="399">
        <v>6</v>
      </c>
      <c r="M261" s="399">
        <v>6</v>
      </c>
      <c r="N261" s="399">
        <v>2</v>
      </c>
      <c r="O261" s="355">
        <f t="shared" si="66"/>
        <v>40</v>
      </c>
      <c r="P261" s="354"/>
      <c r="Q261" s="354"/>
      <c r="R261" s="355">
        <f t="shared" si="67"/>
        <v>0</v>
      </c>
      <c r="S261" s="354"/>
      <c r="T261" s="354"/>
      <c r="U261" s="354"/>
      <c r="V261" s="355">
        <f t="shared" si="68"/>
        <v>0</v>
      </c>
      <c r="W261" s="354"/>
      <c r="X261" s="477">
        <f t="shared" si="69"/>
        <v>40</v>
      </c>
      <c r="Y261" s="19" t="str">
        <f t="shared" si="70"/>
        <v xml:space="preserve">OK </v>
      </c>
      <c r="Z261" s="404" t="str">
        <f t="shared" si="71"/>
        <v xml:space="preserve"> </v>
      </c>
      <c r="AA261" s="478">
        <f>ROUND((IF(D261=1,(BASE!$G$51*I261),IF(D261=2,(BASE!$G$52*I261),IF(D261=3,(BASE!$G$53*I261),IF(D261=4,(BASE!$G$54*I261),IF(D261=5,(BASE!$G$55*I261),IF(D261=6,(BASE!$G$56*I261),0)))))))/1000,0)*1000</f>
        <v>8016000</v>
      </c>
      <c r="AB261" s="408">
        <v>3816000</v>
      </c>
      <c r="AC261" s="478">
        <f t="shared" si="72"/>
        <v>11832000</v>
      </c>
      <c r="AD261" s="478">
        <f>IF(G261=3,AC261*BASE!$I$62,IF(G261=1,AC261*(BASE!$I$61),IF(G261=2,AC261*(BASE!$I$63),AC261*BASE!$I$64)))</f>
        <v>134490400</v>
      </c>
      <c r="AE261" s="411">
        <f>IF(I261&lt;10,0,IF(AC261&lt;=BASE!$C$3*2,BASE!$C$2,0)*(AD261/AC261))</f>
        <v>0</v>
      </c>
      <c r="AF261" s="13">
        <v>0</v>
      </c>
      <c r="AG261" s="14">
        <f t="shared" si="73"/>
        <v>7471688.888888889</v>
      </c>
      <c r="AH261" s="14">
        <f t="shared" si="74"/>
        <v>11830174</v>
      </c>
      <c r="AI261" s="14">
        <f t="shared" si="75"/>
        <v>11830174.074074075</v>
      </c>
      <c r="AJ261" s="14">
        <f t="shared" si="76"/>
        <v>1419620.888888889</v>
      </c>
      <c r="AK261" s="14">
        <f>IF(I261=0,0,IF(G261=5,0,(AC261+AF261/12)*12*BASE!$C$5))</f>
        <v>12068640</v>
      </c>
      <c r="AL261" s="14">
        <f>IF(I261=0,0,IF(G261=5,0,(AC261+AF261/12)*12*BASE!$C$7))</f>
        <v>17038080</v>
      </c>
      <c r="AM261" s="14">
        <f>IF(I261=0,0,IF(G261=5,0,(AC261+AF261/12)*12*BASE!$C$9))</f>
        <v>741156.48</v>
      </c>
      <c r="AN261" s="412">
        <f>IF(I261=0,0,IF(G261=5,0,(AD261+AF261+AG261)*BASE!$C$10))</f>
        <v>12776588</v>
      </c>
      <c r="AO261" s="837">
        <f t="shared" si="77"/>
        <v>209666522.33185187</v>
      </c>
      <c r="AP261" s="677">
        <f t="shared" si="78"/>
        <v>1.5589701743161732</v>
      </c>
      <c r="AQ261" s="1150" t="s">
        <v>1430</v>
      </c>
      <c r="AR261" s="1149"/>
      <c r="CG261" s="179"/>
      <c r="CH261" s="181"/>
      <c r="CI261" s="182"/>
    </row>
    <row r="262" spans="1:87" ht="13.5" customHeight="1" outlineLevel="1" x14ac:dyDescent="0.2">
      <c r="A262" s="368" t="s">
        <v>581</v>
      </c>
      <c r="B262" s="477" t="s">
        <v>1211</v>
      </c>
      <c r="C262" s="427"/>
      <c r="D262" s="431">
        <f>IF(E262="","",VLOOKUP(E262,BASE!$F$20:$H$25,2,FALSE))</f>
        <v>4</v>
      </c>
      <c r="E262" s="399" t="s">
        <v>539</v>
      </c>
      <c r="F262" s="436" t="s">
        <v>863</v>
      </c>
      <c r="G262" s="437">
        <f>IF(F262="","",VLOOKUP(F262,BASE!$B$15:$C$18,2,FALSE))</f>
        <v>4</v>
      </c>
      <c r="H262" s="355">
        <v>40</v>
      </c>
      <c r="I262" s="423">
        <f t="shared" si="65"/>
        <v>40</v>
      </c>
      <c r="J262" s="354">
        <v>10</v>
      </c>
      <c r="K262" s="354">
        <v>4</v>
      </c>
      <c r="L262" s="399">
        <v>4</v>
      </c>
      <c r="M262" s="399">
        <v>3</v>
      </c>
      <c r="N262" s="399">
        <v>4</v>
      </c>
      <c r="O262" s="355">
        <f t="shared" si="66"/>
        <v>25</v>
      </c>
      <c r="P262" s="354"/>
      <c r="Q262" s="354"/>
      <c r="R262" s="355">
        <f t="shared" si="67"/>
        <v>0</v>
      </c>
      <c r="S262" s="354"/>
      <c r="T262" s="354"/>
      <c r="U262" s="354"/>
      <c r="V262" s="355">
        <f t="shared" si="68"/>
        <v>0</v>
      </c>
      <c r="W262" s="354">
        <v>15</v>
      </c>
      <c r="X262" s="477">
        <f t="shared" si="69"/>
        <v>40</v>
      </c>
      <c r="Y262" s="19" t="str">
        <f t="shared" si="70"/>
        <v xml:space="preserve">OK </v>
      </c>
      <c r="Z262" s="404" t="str">
        <f t="shared" si="71"/>
        <v xml:space="preserve"> </v>
      </c>
      <c r="AA262" s="478">
        <f>ROUND((IF(D262=1,(BASE!$G$51*I262),IF(D262=2,(BASE!$G$52*I262),IF(D262=3,(BASE!$G$53*I262),IF(D262=4,(BASE!$G$54*I262),IF(D262=5,(BASE!$G$55*I262),IF(D262=6,(BASE!$G$56*I262),0)))))))/1000,0)*1000</f>
        <v>4456000</v>
      </c>
      <c r="AB262" s="408">
        <v>2651000</v>
      </c>
      <c r="AC262" s="478">
        <f t="shared" si="72"/>
        <v>7107000</v>
      </c>
      <c r="AD262" s="478">
        <f>IF(G262=3,AC262*BASE!$I$62,IF(G262=1,AC262*(BASE!$I$61),IF(G262=2,AC262*(BASE!$I$63),AC262*BASE!$I$64)))</f>
        <v>80782900</v>
      </c>
      <c r="AE262" s="411">
        <f>IF(I262&lt;10,0,IF(AC262&lt;=BASE!$C$3*2,BASE!$C$2,0)*(AD262/AC262))</f>
        <v>0</v>
      </c>
      <c r="AF262" s="13">
        <v>0</v>
      </c>
      <c r="AG262" s="14">
        <f t="shared" si="73"/>
        <v>4487938.888888889</v>
      </c>
      <c r="AH262" s="14">
        <f t="shared" si="74"/>
        <v>7105903</v>
      </c>
      <c r="AI262" s="14">
        <f t="shared" si="75"/>
        <v>7105903.2407407407</v>
      </c>
      <c r="AJ262" s="14">
        <f t="shared" si="76"/>
        <v>852708.38888888888</v>
      </c>
      <c r="AK262" s="14">
        <f>IF(I262=0,0,IF(G262=5,0,(AC262+AF262/12)*12*BASE!$C$5))</f>
        <v>7249140.0000000009</v>
      </c>
      <c r="AL262" s="14">
        <f>IF(I262=0,0,IF(G262=5,0,(AC262+AF262/12)*12*BASE!$C$7))</f>
        <v>10234080</v>
      </c>
      <c r="AM262" s="14">
        <f>IF(I262=0,0,IF(G262=5,0,(AC262+AF262/12)*12*BASE!$C$9))</f>
        <v>445182.48</v>
      </c>
      <c r="AN262" s="412">
        <f>IF(I262=0,0,IF(G262=5,0,(AD262+AF262+AG262)*BASE!$C$10))</f>
        <v>7674375.5</v>
      </c>
      <c r="AO262" s="837">
        <f t="shared" si="77"/>
        <v>125938131.49851854</v>
      </c>
      <c r="AP262" s="677">
        <f t="shared" si="78"/>
        <v>1.5589701718868541</v>
      </c>
      <c r="AQ262" s="1148"/>
      <c r="AR262" s="1149"/>
      <c r="CG262" s="179"/>
      <c r="CH262" s="181"/>
      <c r="CI262" s="182"/>
    </row>
    <row r="263" spans="1:87" ht="13.5" customHeight="1" outlineLevel="1" x14ac:dyDescent="0.2">
      <c r="A263" s="368" t="s">
        <v>581</v>
      </c>
      <c r="B263" s="477" t="s">
        <v>1212</v>
      </c>
      <c r="C263" s="427"/>
      <c r="D263" s="431">
        <f>IF(E263="","",VLOOKUP(E263,BASE!$F$20:$H$25,2,FALSE))</f>
        <v>1</v>
      </c>
      <c r="E263" s="399" t="s">
        <v>168</v>
      </c>
      <c r="F263" s="436" t="s">
        <v>258</v>
      </c>
      <c r="G263" s="437">
        <f>IF(F263="","",VLOOKUP(F263,BASE!$B$15:$C$18,2,FALSE))</f>
        <v>2</v>
      </c>
      <c r="H263" s="355">
        <v>40</v>
      </c>
      <c r="I263" s="423">
        <f t="shared" si="65"/>
        <v>40</v>
      </c>
      <c r="J263" s="354"/>
      <c r="K263" s="354"/>
      <c r="L263" s="354"/>
      <c r="M263" s="354"/>
      <c r="N263" s="354"/>
      <c r="O263" s="355">
        <f t="shared" si="66"/>
        <v>0</v>
      </c>
      <c r="P263" s="354"/>
      <c r="Q263" s="354"/>
      <c r="R263" s="355">
        <f t="shared" si="67"/>
        <v>0</v>
      </c>
      <c r="S263" s="354"/>
      <c r="T263" s="354"/>
      <c r="U263" s="354"/>
      <c r="V263" s="355">
        <f t="shared" si="68"/>
        <v>0</v>
      </c>
      <c r="W263" s="354">
        <v>40</v>
      </c>
      <c r="X263" s="477">
        <f t="shared" si="69"/>
        <v>40</v>
      </c>
      <c r="Y263" s="19" t="str">
        <f t="shared" si="70"/>
        <v xml:space="preserve">OK </v>
      </c>
      <c r="Z263" s="404" t="str">
        <f t="shared" si="71"/>
        <v xml:space="preserve"> </v>
      </c>
      <c r="AA263" s="478">
        <v>12365000</v>
      </c>
      <c r="AB263" s="408">
        <v>0</v>
      </c>
      <c r="AC263" s="478">
        <f t="shared" si="72"/>
        <v>12365000</v>
      </c>
      <c r="AD263" s="478">
        <f>IF(G263=3,AC263*BASE!$I$62,IF(G263=1,AC263*(BASE!$I$61),IF(G263=2,AC263*(BASE!$I$63),AC263*BASE!$I$64)))</f>
        <v>140548833.33333334</v>
      </c>
      <c r="AE263" s="411">
        <f>IF(I263&lt;10,0,IF(AC263&lt;=BASE!$C$3*2,BASE!$C$2,0)*(AD263/AC263))</f>
        <v>0</v>
      </c>
      <c r="AF263" s="13">
        <v>0</v>
      </c>
      <c r="AG263" s="14">
        <f t="shared" si="73"/>
        <v>7808268.5185185187</v>
      </c>
      <c r="AH263" s="14">
        <f t="shared" si="74"/>
        <v>12363092</v>
      </c>
      <c r="AI263" s="14">
        <f t="shared" si="75"/>
        <v>12363091.820987655</v>
      </c>
      <c r="AJ263" s="14">
        <f t="shared" si="76"/>
        <v>1483571.0185185184</v>
      </c>
      <c r="AK263" s="14">
        <f>IF(I263=0,0,IF(G263=5,0,(AC263+AF263/12)*12*BASE!$C$5))</f>
        <v>12612300</v>
      </c>
      <c r="AL263" s="14">
        <v>0</v>
      </c>
      <c r="AM263" s="14">
        <f>IF(I263=0,0,IF(G263=5,0,(AC263+AF263/12)*12*BASE!$C$9))</f>
        <v>774543.6</v>
      </c>
      <c r="AN263" s="412">
        <f>IF(I263=0,0,IF(G263=5,0,(AD263+AF263+AG263)*BASE!$C$10))</f>
        <v>13352139.166666666</v>
      </c>
      <c r="AO263" s="837">
        <f t="shared" si="77"/>
        <v>201305839.45802465</v>
      </c>
      <c r="AP263" s="677">
        <f t="shared" si="78"/>
        <v>1.4322839591318175</v>
      </c>
      <c r="AQ263" s="1148"/>
      <c r="AR263" s="1149"/>
      <c r="CG263" s="179"/>
      <c r="CH263" s="181"/>
      <c r="CI263" s="182"/>
    </row>
    <row r="264" spans="1:87" ht="13.5" customHeight="1" outlineLevel="1" x14ac:dyDescent="0.2">
      <c r="A264" s="368" t="s">
        <v>581</v>
      </c>
      <c r="B264" s="477" t="s">
        <v>1213</v>
      </c>
      <c r="C264" s="427"/>
      <c r="D264" s="431">
        <f>IF(E264="","",VLOOKUP(E264,BASE!$F$20:$H$25,2,FALSE))</f>
        <v>5</v>
      </c>
      <c r="E264" s="399" t="s">
        <v>538</v>
      </c>
      <c r="F264" s="436" t="s">
        <v>863</v>
      </c>
      <c r="G264" s="437">
        <f>IF(F264="","",VLOOKUP(F264,BASE!$B$15:$C$18,2,FALSE))</f>
        <v>4</v>
      </c>
      <c r="H264" s="355">
        <v>29</v>
      </c>
      <c r="I264" s="423">
        <f t="shared" si="65"/>
        <v>29</v>
      </c>
      <c r="J264" s="399">
        <v>14</v>
      </c>
      <c r="K264" s="399">
        <v>6</v>
      </c>
      <c r="L264" s="399">
        <v>4</v>
      </c>
      <c r="M264" s="399">
        <v>3</v>
      </c>
      <c r="N264" s="399">
        <v>2</v>
      </c>
      <c r="O264" s="355">
        <f t="shared" si="66"/>
        <v>29</v>
      </c>
      <c r="P264" s="354"/>
      <c r="Q264" s="354"/>
      <c r="R264" s="355">
        <f t="shared" si="67"/>
        <v>0</v>
      </c>
      <c r="S264" s="354"/>
      <c r="T264" s="354"/>
      <c r="U264" s="354"/>
      <c r="V264" s="355">
        <f t="shared" si="68"/>
        <v>0</v>
      </c>
      <c r="W264" s="354"/>
      <c r="X264" s="477">
        <f t="shared" si="69"/>
        <v>29</v>
      </c>
      <c r="Y264" s="19" t="str">
        <f t="shared" si="70"/>
        <v xml:space="preserve">OK </v>
      </c>
      <c r="Z264" s="404" t="str">
        <f t="shared" si="71"/>
        <v xml:space="preserve"> </v>
      </c>
      <c r="AA264" s="478">
        <f>ROUND((IF(D264=1,(BASE!$G$51*I264),IF(D264=2,(BASE!$G$52*I264),IF(D264=3,(BASE!$G$53*I264),IF(D264=4,(BASE!$G$54*I264),IF(D264=5,(BASE!$G$55*I264),IF(D264=6,(BASE!$G$56*I264),0)))))))/1000,0)*1000</f>
        <v>2581000</v>
      </c>
      <c r="AB264" s="408">
        <v>170000</v>
      </c>
      <c r="AC264" s="478">
        <f t="shared" si="72"/>
        <v>2751000</v>
      </c>
      <c r="AD264" s="478">
        <f>IF(G264=3,AC264*BASE!$I$62,IF(G264=1,AC264*(BASE!$I$61),IF(G264=2,AC264*(BASE!$I$63),AC264*BASE!$I$64)))</f>
        <v>31269700</v>
      </c>
      <c r="AE264" s="411">
        <f>IF(I264&lt;10,0,IF(AC264&lt;=BASE!$C$3*2,BASE!$C$2,0)*(AD264/AC264))</f>
        <v>0</v>
      </c>
      <c r="AF264" s="13">
        <v>0</v>
      </c>
      <c r="AG264" s="14">
        <f t="shared" si="73"/>
        <v>1737205.5555555557</v>
      </c>
      <c r="AH264" s="14">
        <f t="shared" si="74"/>
        <v>2750575</v>
      </c>
      <c r="AI264" s="14">
        <f t="shared" si="75"/>
        <v>2750575.4629629632</v>
      </c>
      <c r="AJ264" s="14">
        <f t="shared" si="76"/>
        <v>330069.05555555556</v>
      </c>
      <c r="AK264" s="14">
        <f>IF(I264=0,0,IF(G264=5,0,(AC264+AF264/12)*12*BASE!$C$5))</f>
        <v>2806020</v>
      </c>
      <c r="AL264" s="14">
        <f>IF(I264=0,0,IF(G264=5,0,(AC264+AF264/12)*12*BASE!$C$7))</f>
        <v>3961440</v>
      </c>
      <c r="AM264" s="14">
        <f>IF(I264=0,0,IF(G264=5,0,(AC264+AF264/12)*12*BASE!$C$9))</f>
        <v>172322.63999999998</v>
      </c>
      <c r="AN264" s="412">
        <f>IF(I264=0,0,IF(G264=5,0,(AD264+AF264+AG264)*BASE!$C$10))</f>
        <v>2970621.5</v>
      </c>
      <c r="AO264" s="837">
        <f t="shared" si="77"/>
        <v>48748529.214074068</v>
      </c>
      <c r="AP264" s="677">
        <f t="shared" si="78"/>
        <v>1.5589701600614674</v>
      </c>
      <c r="AQ264" s="1148"/>
      <c r="AR264" s="1149"/>
      <c r="CG264" s="179"/>
      <c r="CH264" s="181"/>
      <c r="CI264" s="182"/>
    </row>
    <row r="265" spans="1:87" ht="13.5" customHeight="1" outlineLevel="1" x14ac:dyDescent="0.2">
      <c r="A265" s="368" t="s">
        <v>581</v>
      </c>
      <c r="B265" s="477" t="s">
        <v>1214</v>
      </c>
      <c r="C265" s="427"/>
      <c r="D265" s="431">
        <f>IF(E265="","",VLOOKUP(E265,BASE!$F$20:$H$25,2,FALSE))</f>
        <v>4</v>
      </c>
      <c r="E265" s="399" t="s">
        <v>539</v>
      </c>
      <c r="F265" s="436" t="s">
        <v>261</v>
      </c>
      <c r="G265" s="437">
        <f>IF(F265="","",VLOOKUP(F265,BASE!$B$15:$C$18,2,FALSE))</f>
        <v>1</v>
      </c>
      <c r="H265" s="355">
        <v>20</v>
      </c>
      <c r="I265" s="423">
        <v>40</v>
      </c>
      <c r="J265" s="354">
        <v>10</v>
      </c>
      <c r="K265" s="354">
        <v>6</v>
      </c>
      <c r="L265" s="399">
        <v>4</v>
      </c>
      <c r="M265" s="354"/>
      <c r="N265" s="399">
        <v>6</v>
      </c>
      <c r="O265" s="355">
        <f t="shared" si="66"/>
        <v>26</v>
      </c>
      <c r="P265" s="399">
        <v>12</v>
      </c>
      <c r="Q265" s="354"/>
      <c r="R265" s="355">
        <f t="shared" si="67"/>
        <v>12</v>
      </c>
      <c r="S265" s="354"/>
      <c r="T265" s="354"/>
      <c r="U265" s="354"/>
      <c r="V265" s="355">
        <f t="shared" si="68"/>
        <v>0</v>
      </c>
      <c r="W265" s="354">
        <v>2</v>
      </c>
      <c r="X265" s="477">
        <f t="shared" si="69"/>
        <v>40</v>
      </c>
      <c r="Y265" s="19" t="str">
        <f t="shared" si="70"/>
        <v xml:space="preserve">OK </v>
      </c>
      <c r="Z265" s="404" t="str">
        <f t="shared" si="71"/>
        <v>AJUSTE</v>
      </c>
      <c r="AA265" s="478">
        <f>ROUND((IF(D265=1,(BASE!$G$51*I265),IF(D265=2,(BASE!$G$52*I265),IF(D265=3,(BASE!$G$53*I265),IF(D265=4,(BASE!$G$54*I265),IF(D265=5,(BASE!$G$55*I265),IF(D265=6,(BASE!$G$56*I265),0)))))))/1000,0)*1000</f>
        <v>4456000</v>
      </c>
      <c r="AB265" s="408">
        <v>0</v>
      </c>
      <c r="AC265" s="478">
        <f t="shared" si="72"/>
        <v>4456000</v>
      </c>
      <c r="AD265" s="478">
        <f>IF(G265=3,AC265*BASE!$I$62,IF(G265=1,AC265*(BASE!$I$61),IF(G265=2,AC265*(BASE!$I$63),AC265*BASE!$I$64)))</f>
        <v>43965866.666666672</v>
      </c>
      <c r="AE265" s="411">
        <f>IF(I265&lt;10,0,IF(AC265&lt;=BASE!$C$3*2,BASE!$C$2,0)*(AD265/AC265))</f>
        <v>0</v>
      </c>
      <c r="AF265" s="13">
        <v>0</v>
      </c>
      <c r="AG265" s="14">
        <f t="shared" si="73"/>
        <v>2442548.1481481483</v>
      </c>
      <c r="AH265" s="14">
        <f t="shared" si="74"/>
        <v>3867368</v>
      </c>
      <c r="AI265" s="14">
        <f t="shared" si="75"/>
        <v>3867367.9012345681</v>
      </c>
      <c r="AJ265" s="14">
        <f t="shared" si="76"/>
        <v>386736.79012345686</v>
      </c>
      <c r="AK265" s="14">
        <f>IF(I265=0,0,IF(G265=5,0,(AC265+AF265/12)*12*BASE!$C$5))</f>
        <v>4545120</v>
      </c>
      <c r="AL265" s="14">
        <f>IF(I265=0,0,IF(G265=5,0,(AC265+AF265/12)*12*BASE!$C$7))</f>
        <v>6416640</v>
      </c>
      <c r="AM265" s="14">
        <f>IF(I265=0,0,IF(G265=5,0,(AC265+AF265/12)*12*BASE!$C$9))</f>
        <v>279123.83999999997</v>
      </c>
      <c r="AN265" s="412">
        <f>IF(I265=0,0,IF(G265=5,0,(AD265+AF265+AG265)*BASE!$C$10))</f>
        <v>4176757.333333334</v>
      </c>
      <c r="AO265" s="837">
        <f t="shared" si="77"/>
        <v>69947528.679506183</v>
      </c>
      <c r="AP265" s="677">
        <f t="shared" si="78"/>
        <v>1.5909507529971625</v>
      </c>
      <c r="AQ265" s="1150" t="s">
        <v>1431</v>
      </c>
      <c r="AR265" s="1149"/>
      <c r="CG265" s="179"/>
      <c r="CH265" s="181"/>
      <c r="CI265" s="182"/>
    </row>
    <row r="266" spans="1:87" ht="13.5" customHeight="1" outlineLevel="1" x14ac:dyDescent="0.2">
      <c r="A266" s="368" t="s">
        <v>581</v>
      </c>
      <c r="B266" s="477" t="s">
        <v>1215</v>
      </c>
      <c r="C266" s="427"/>
      <c r="D266" s="431">
        <f>IF(E266="","",VLOOKUP(E266,BASE!$F$20:$H$25,2,FALSE))</f>
        <v>5</v>
      </c>
      <c r="E266" s="399" t="s">
        <v>538</v>
      </c>
      <c r="F266" s="436" t="s">
        <v>546</v>
      </c>
      <c r="G266" s="437">
        <f>IF(F266="","",VLOOKUP(F266,BASE!$B$15:$C$18,2,FALSE))</f>
        <v>3</v>
      </c>
      <c r="H266" s="355">
        <v>5</v>
      </c>
      <c r="I266" s="423">
        <f t="shared" si="65"/>
        <v>5</v>
      </c>
      <c r="J266" s="399">
        <v>4</v>
      </c>
      <c r="K266" s="354"/>
      <c r="L266" s="354"/>
      <c r="M266" s="354"/>
      <c r="N266" s="354"/>
      <c r="O266" s="355">
        <f t="shared" si="66"/>
        <v>4</v>
      </c>
      <c r="P266" s="354"/>
      <c r="Q266" s="354"/>
      <c r="R266" s="355">
        <f t="shared" si="67"/>
        <v>0</v>
      </c>
      <c r="S266" s="354">
        <v>1</v>
      </c>
      <c r="T266" s="354"/>
      <c r="U266" s="354"/>
      <c r="V266" s="355">
        <f t="shared" si="68"/>
        <v>1</v>
      </c>
      <c r="W266" s="354"/>
      <c r="X266" s="477">
        <f t="shared" si="69"/>
        <v>5</v>
      </c>
      <c r="Y266" s="19" t="str">
        <f t="shared" si="70"/>
        <v xml:space="preserve">OK </v>
      </c>
      <c r="Z266" s="404" t="str">
        <f t="shared" si="71"/>
        <v xml:space="preserve"> </v>
      </c>
      <c r="AA266" s="478">
        <f>ROUND((IF(D266=1,(BASE!$G$51*I266),IF(D266=2,(BASE!$G$52*I266),IF(D266=3,(BASE!$G$53*I266),IF(D266=4,(BASE!$G$54*I266),IF(D266=5,(BASE!$G$55*I266),IF(D266=6,(BASE!$G$56*I266),0)))))))/1000,0)*1000</f>
        <v>445000</v>
      </c>
      <c r="AB266" s="408">
        <v>0</v>
      </c>
      <c r="AC266" s="478">
        <f t="shared" si="72"/>
        <v>445000</v>
      </c>
      <c r="AD266" s="478">
        <f>IF(G266=3,AC266*BASE!$I$62,IF(G266=1,AC266*(BASE!$I$61),IF(G266=2,AC266*(BASE!$I$63),AC266*BASE!$I$64)))</f>
        <v>4761500</v>
      </c>
      <c r="AE266" s="411">
        <f>IF(I266&lt;10,0,IF(AC266&lt;=BASE!$C$3*2,BASE!$C$2,0)*(AD266/AC266))</f>
        <v>0</v>
      </c>
      <c r="AF266" s="13">
        <v>0</v>
      </c>
      <c r="AG266" s="14">
        <f t="shared" si="73"/>
        <v>264527.77777777781</v>
      </c>
      <c r="AH266" s="14">
        <f t="shared" si="74"/>
        <v>418836</v>
      </c>
      <c r="AI266" s="14">
        <f t="shared" si="75"/>
        <v>418835.64814814815</v>
      </c>
      <c r="AJ266" s="14">
        <f t="shared" si="76"/>
        <v>46071.921296296299</v>
      </c>
      <c r="AK266" s="14">
        <f>IF(I266=0,0,IF(G266=5,0,(AC266+AF266/12)*12*BASE!$C$5))</f>
        <v>453900.00000000006</v>
      </c>
      <c r="AL266" s="14">
        <f>IF(I266=0,0,IF(G266=5,0,(AC266+AF266/12)*12*BASE!$C$7))</f>
        <v>640800</v>
      </c>
      <c r="AM266" s="14">
        <f>IF(I266=0,0,IF(G266=5,0,(AC266+AF266/12)*12*BASE!$C$9))</f>
        <v>27874.799999999999</v>
      </c>
      <c r="AN266" s="412">
        <f>IF(I266=0,0,IF(G266=5,0,(AD266+AF266+AG266)*BASE!$C$10))</f>
        <v>452342.5</v>
      </c>
      <c r="AO266" s="837">
        <f t="shared" si="77"/>
        <v>7484688.6472222228</v>
      </c>
      <c r="AP266" s="677">
        <f t="shared" si="78"/>
        <v>1.5719182289661289</v>
      </c>
      <c r="AQ266" s="1148"/>
      <c r="AR266" s="1149"/>
      <c r="CG266" s="179"/>
      <c r="CH266" s="181"/>
      <c r="CI266" s="182"/>
    </row>
    <row r="267" spans="1:87" ht="13.5" customHeight="1" outlineLevel="1" x14ac:dyDescent="0.2">
      <c r="A267" s="368" t="s">
        <v>581</v>
      </c>
      <c r="B267" s="477" t="s">
        <v>1216</v>
      </c>
      <c r="C267" s="427"/>
      <c r="D267" s="431">
        <f>IF(E267="","",VLOOKUP(E267,BASE!$F$20:$H$25,2,FALSE))</f>
        <v>3</v>
      </c>
      <c r="E267" s="399" t="s">
        <v>540</v>
      </c>
      <c r="F267" s="436" t="s">
        <v>863</v>
      </c>
      <c r="G267" s="437">
        <f>IF(F267="","",VLOOKUP(F267,BASE!$B$15:$C$18,2,FALSE))</f>
        <v>4</v>
      </c>
      <c r="H267" s="355">
        <v>10</v>
      </c>
      <c r="I267" s="423">
        <f t="shared" si="65"/>
        <v>10</v>
      </c>
      <c r="J267" s="399">
        <v>4</v>
      </c>
      <c r="K267" s="399">
        <v>0</v>
      </c>
      <c r="L267" s="399">
        <v>1</v>
      </c>
      <c r="M267" s="399">
        <v>2</v>
      </c>
      <c r="N267" s="399">
        <v>1</v>
      </c>
      <c r="O267" s="355">
        <f t="shared" si="66"/>
        <v>8</v>
      </c>
      <c r="P267" s="354"/>
      <c r="Q267" s="354"/>
      <c r="R267" s="355">
        <f t="shared" si="67"/>
        <v>0</v>
      </c>
      <c r="S267" s="354"/>
      <c r="T267" s="354"/>
      <c r="U267" s="354"/>
      <c r="V267" s="355">
        <f t="shared" si="68"/>
        <v>0</v>
      </c>
      <c r="W267" s="399">
        <v>2</v>
      </c>
      <c r="X267" s="477">
        <f t="shared" si="69"/>
        <v>10</v>
      </c>
      <c r="Y267" s="19" t="str">
        <f t="shared" si="70"/>
        <v xml:space="preserve">OK </v>
      </c>
      <c r="Z267" s="404" t="str">
        <f t="shared" si="71"/>
        <v xml:space="preserve"> </v>
      </c>
      <c r="AA267" s="478">
        <f>ROUND((IF(D267=1,(BASE!$G$51*I267),IF(D267=2,(BASE!$G$52*I267),IF(D267=3,(BASE!$G$53*I267),IF(D267=4,(BASE!$G$54*I267),IF(D267=5,(BASE!$G$55*I267),IF(D267=6,(BASE!$G$56*I267),0)))))))/1000,0)*1000</f>
        <v>1368000</v>
      </c>
      <c r="AB267" s="408">
        <v>388000</v>
      </c>
      <c r="AC267" s="478">
        <f t="shared" si="72"/>
        <v>1756000</v>
      </c>
      <c r="AD267" s="478">
        <f>IF(G267=3,AC267*BASE!$I$62,IF(G267=1,AC267*(BASE!$I$61),IF(G267=2,AC267*(BASE!$I$63),AC267*BASE!$I$64)))</f>
        <v>19959866.666666668</v>
      </c>
      <c r="AE267" s="411">
        <f>IF(I267&lt;10,0,IF(AC267&lt;=BASE!$C$3*2,BASE!$C$2,0)*(AD267/AC267))</f>
        <v>0</v>
      </c>
      <c r="AF267" s="13">
        <v>0</v>
      </c>
      <c r="AG267" s="14">
        <f t="shared" si="73"/>
        <v>1108881.4814814816</v>
      </c>
      <c r="AH267" s="14">
        <f t="shared" si="74"/>
        <v>1755729</v>
      </c>
      <c r="AI267" s="14">
        <f t="shared" si="75"/>
        <v>1755729.0123456791</v>
      </c>
      <c r="AJ267" s="14">
        <f t="shared" si="76"/>
        <v>210687.48148148149</v>
      </c>
      <c r="AK267" s="14">
        <f>IF(I267=0,0,IF(G267=5,0,(AC267+AF267/12)*12*BASE!$C$5))</f>
        <v>1791120.0000000002</v>
      </c>
      <c r="AL267" s="14">
        <f>IF(I267=0,0,IF(G267=5,0,(AC267+AF267/12)*12*BASE!$C$7))</f>
        <v>2528640</v>
      </c>
      <c r="AM267" s="14">
        <f>IF(I267=0,0,IF(G267=5,0,(AC267+AF267/12)*12*BASE!$C$9))</f>
        <v>109995.84</v>
      </c>
      <c r="AN267" s="412">
        <f>IF(I267=0,0,IF(G267=5,0,(AD267+AF267+AG267)*BASE!$C$10))</f>
        <v>1896187.3333333333</v>
      </c>
      <c r="AO267" s="837">
        <f t="shared" si="77"/>
        <v>31116836.815308642</v>
      </c>
      <c r="AP267" s="677">
        <f t="shared" si="78"/>
        <v>1.5589701742484239</v>
      </c>
      <c r="AQ267" s="1148"/>
      <c r="AR267" s="1149"/>
      <c r="CG267" s="179"/>
      <c r="CH267" s="181"/>
      <c r="CI267" s="182"/>
    </row>
    <row r="268" spans="1:87" ht="13.5" customHeight="1" outlineLevel="1" x14ac:dyDescent="0.2">
      <c r="A268" s="368" t="s">
        <v>581</v>
      </c>
      <c r="B268" s="477" t="s">
        <v>1217</v>
      </c>
      <c r="C268" s="427"/>
      <c r="D268" s="431">
        <f>IF(E268="","",VLOOKUP(E268,BASE!$F$20:$H$25,2,FALSE))</f>
        <v>2</v>
      </c>
      <c r="E268" s="399" t="s">
        <v>541</v>
      </c>
      <c r="F268" s="436" t="s">
        <v>258</v>
      </c>
      <c r="G268" s="437">
        <f>IF(F268="","",VLOOKUP(F268,BASE!$B$15:$C$18,2,FALSE))</f>
        <v>2</v>
      </c>
      <c r="H268" s="355">
        <v>20</v>
      </c>
      <c r="I268" s="423">
        <f t="shared" si="65"/>
        <v>20</v>
      </c>
      <c r="J268" s="354">
        <v>6</v>
      </c>
      <c r="K268" s="354">
        <v>2</v>
      </c>
      <c r="L268" s="399">
        <v>2</v>
      </c>
      <c r="M268" s="399">
        <v>2</v>
      </c>
      <c r="N268" s="399">
        <v>2</v>
      </c>
      <c r="O268" s="355">
        <f t="shared" si="66"/>
        <v>14</v>
      </c>
      <c r="P268" s="354"/>
      <c r="Q268" s="354"/>
      <c r="R268" s="355">
        <f t="shared" si="67"/>
        <v>0</v>
      </c>
      <c r="S268" s="354"/>
      <c r="T268" s="354"/>
      <c r="U268" s="354"/>
      <c r="V268" s="355">
        <f t="shared" si="68"/>
        <v>0</v>
      </c>
      <c r="W268" s="354">
        <v>6</v>
      </c>
      <c r="X268" s="477">
        <f t="shared" si="69"/>
        <v>20</v>
      </c>
      <c r="Y268" s="19" t="str">
        <f t="shared" si="70"/>
        <v xml:space="preserve">OK </v>
      </c>
      <c r="Z268" s="404" t="str">
        <f t="shared" si="71"/>
        <v xml:space="preserve"> </v>
      </c>
      <c r="AA268" s="478">
        <v>6183000</v>
      </c>
      <c r="AB268" s="408">
        <v>0</v>
      </c>
      <c r="AC268" s="478">
        <f t="shared" si="72"/>
        <v>6183000</v>
      </c>
      <c r="AD268" s="478">
        <f>IF(G268=3,AC268*BASE!$I$62,IF(G268=1,AC268*(BASE!$I$61),IF(G268=2,AC268*(BASE!$I$63),AC268*BASE!$I$64)))</f>
        <v>70280100</v>
      </c>
      <c r="AE268" s="411">
        <f>IF(I268&lt;10,0,IF(AC268&lt;=BASE!$C$3*2,BASE!$C$2,0)*(AD268/AC268))</f>
        <v>0</v>
      </c>
      <c r="AF268" s="13">
        <v>0</v>
      </c>
      <c r="AG268" s="14">
        <f t="shared" si="73"/>
        <v>3904450</v>
      </c>
      <c r="AH268" s="14">
        <f t="shared" si="74"/>
        <v>6182046</v>
      </c>
      <c r="AI268" s="14">
        <f t="shared" si="75"/>
        <v>6182045.833333333</v>
      </c>
      <c r="AJ268" s="14">
        <f t="shared" si="76"/>
        <v>741845.49999999988</v>
      </c>
      <c r="AK268" s="14">
        <f>IF(I268=0,0,IF(G268=5,0,(AC268+AF268/12)*12*BASE!$C$5))</f>
        <v>6306660</v>
      </c>
      <c r="AL268" s="14">
        <f>IF(I268=0,0,IF(G268=5,0,(AC268+AF268/12)*12*BASE!$C$7))</f>
        <v>8903520</v>
      </c>
      <c r="AM268" s="14">
        <f>IF(I268=0,0,IF(G268=5,0,(AC268+AF268/12)*12*BASE!$C$9))</f>
        <v>387303.12</v>
      </c>
      <c r="AN268" s="412">
        <f>IF(I268=0,0,IF(G268=5,0,(AD268+AF268+AG268)*BASE!$C$10))</f>
        <v>6676609.5</v>
      </c>
      <c r="AO268" s="837">
        <f t="shared" si="77"/>
        <v>109564579.95333333</v>
      </c>
      <c r="AP268" s="677">
        <f t="shared" si="78"/>
        <v>1.5589701772384121</v>
      </c>
      <c r="AQ268" s="1148"/>
      <c r="AR268" s="1149"/>
      <c r="CG268" s="179"/>
      <c r="CH268" s="181"/>
      <c r="CI268" s="182"/>
    </row>
    <row r="269" spans="1:87" ht="13.5" customHeight="1" outlineLevel="1" x14ac:dyDescent="0.2">
      <c r="A269" s="368" t="s">
        <v>581</v>
      </c>
      <c r="B269" s="477" t="s">
        <v>1218</v>
      </c>
      <c r="C269" s="427"/>
      <c r="D269" s="431">
        <f>IF(E269="","",VLOOKUP(E269,BASE!$F$20:$H$25,2,FALSE))</f>
        <v>5</v>
      </c>
      <c r="E269" s="399" t="s">
        <v>538</v>
      </c>
      <c r="F269" s="436" t="s">
        <v>863</v>
      </c>
      <c r="G269" s="437">
        <f>IF(F269="","",VLOOKUP(F269,BASE!$B$15:$C$18,2,FALSE))</f>
        <v>4</v>
      </c>
      <c r="H269" s="355">
        <v>5</v>
      </c>
      <c r="I269" s="423">
        <f t="shared" si="65"/>
        <v>5</v>
      </c>
      <c r="J269" s="354">
        <v>2</v>
      </c>
      <c r="K269" s="354">
        <v>1</v>
      </c>
      <c r="L269" s="399">
        <v>1</v>
      </c>
      <c r="M269" s="354"/>
      <c r="N269" s="399">
        <v>1</v>
      </c>
      <c r="O269" s="355">
        <f t="shared" si="66"/>
        <v>5</v>
      </c>
      <c r="P269" s="354"/>
      <c r="Q269" s="354"/>
      <c r="R269" s="355">
        <f t="shared" si="67"/>
        <v>0</v>
      </c>
      <c r="S269" s="354"/>
      <c r="T269" s="354"/>
      <c r="U269" s="354"/>
      <c r="V269" s="355">
        <f t="shared" si="68"/>
        <v>0</v>
      </c>
      <c r="W269" s="354"/>
      <c r="X269" s="477">
        <f t="shared" si="69"/>
        <v>5</v>
      </c>
      <c r="Y269" s="19" t="str">
        <f t="shared" si="70"/>
        <v xml:space="preserve">OK </v>
      </c>
      <c r="Z269" s="404" t="str">
        <f t="shared" si="71"/>
        <v xml:space="preserve"> </v>
      </c>
      <c r="AA269" s="478">
        <f>ROUND((IF(D269=1,(BASE!$G$51*I269),IF(D269=2,(BASE!$G$52*I269),IF(D269=3,(BASE!$G$53*I269),IF(D269=4,(BASE!$G$54*I269),IF(D269=5,(BASE!$G$55*I269),IF(D269=6,(BASE!$G$56*I269),0)))))))/1000,0)*1000</f>
        <v>445000</v>
      </c>
      <c r="AB269" s="408">
        <v>0</v>
      </c>
      <c r="AC269" s="478">
        <f t="shared" si="72"/>
        <v>445000</v>
      </c>
      <c r="AD269" s="478">
        <f>IF(G269=3,AC269*BASE!$I$62,IF(G269=1,AC269*(BASE!$I$61),IF(G269=2,AC269*(BASE!$I$63),AC269*BASE!$I$64)))</f>
        <v>5058166.666666667</v>
      </c>
      <c r="AE269" s="411">
        <f>IF(I269&lt;10,0,IF(AC269&lt;=BASE!$C$3*2,BASE!$C$2,0)*(AD269/AC269))</f>
        <v>0</v>
      </c>
      <c r="AF269" s="13">
        <v>0</v>
      </c>
      <c r="AG269" s="14">
        <f t="shared" si="73"/>
        <v>281009.25925925927</v>
      </c>
      <c r="AH269" s="14">
        <f t="shared" si="74"/>
        <v>444931</v>
      </c>
      <c r="AI269" s="14">
        <f t="shared" si="75"/>
        <v>444931.32716049388</v>
      </c>
      <c r="AJ269" s="14">
        <f t="shared" si="76"/>
        <v>53391.759259259263</v>
      </c>
      <c r="AK269" s="14">
        <f>IF(I269=0,0,IF(G269=5,0,(AC269+AF269/12)*12*BASE!$C$5))</f>
        <v>453900.00000000006</v>
      </c>
      <c r="AL269" s="14">
        <f>IF(I269=0,0,IF(G269=5,0,(AC269+AF269/12)*12*BASE!$C$7))</f>
        <v>640800</v>
      </c>
      <c r="AM269" s="14">
        <f>IF(I269=0,0,IF(G269=5,0,(AC269+AF269/12)*12*BASE!$C$9))</f>
        <v>27874.799999999999</v>
      </c>
      <c r="AN269" s="412">
        <f>IF(I269=0,0,IF(G269=5,0,(AD269+AF269+AG269)*BASE!$C$10))</f>
        <v>480525.83333333337</v>
      </c>
      <c r="AO269" s="837">
        <f t="shared" si="77"/>
        <v>7885530.6456790119</v>
      </c>
      <c r="AP269" s="677">
        <f t="shared" si="78"/>
        <v>1.5589701101872901</v>
      </c>
      <c r="AQ269" s="1148"/>
      <c r="AR269" s="1149"/>
      <c r="CG269" s="179"/>
      <c r="CH269" s="181"/>
      <c r="CI269" s="182"/>
    </row>
    <row r="270" spans="1:87" ht="13.5" customHeight="1" outlineLevel="1" x14ac:dyDescent="0.2">
      <c r="A270" s="368" t="s">
        <v>581</v>
      </c>
      <c r="B270" s="477" t="s">
        <v>1219</v>
      </c>
      <c r="C270" s="427"/>
      <c r="D270" s="431">
        <f>IF(E270="","",VLOOKUP(E270,BASE!$F$20:$H$25,2,FALSE))</f>
        <v>2</v>
      </c>
      <c r="E270" s="399" t="s">
        <v>541</v>
      </c>
      <c r="F270" s="436" t="s">
        <v>863</v>
      </c>
      <c r="G270" s="437">
        <f>IF(F270="","",VLOOKUP(F270,BASE!$B$15:$C$18,2,FALSE))</f>
        <v>4</v>
      </c>
      <c r="H270" s="355">
        <v>24</v>
      </c>
      <c r="I270" s="423">
        <f t="shared" ref="I270" si="79">+H270</f>
        <v>24</v>
      </c>
      <c r="J270" s="399">
        <v>8</v>
      </c>
      <c r="K270" s="399">
        <v>2</v>
      </c>
      <c r="L270" s="399">
        <v>1</v>
      </c>
      <c r="M270" s="399">
        <v>2</v>
      </c>
      <c r="N270" s="399">
        <v>1</v>
      </c>
      <c r="O270" s="355">
        <f t="shared" ref="O270" si="80">+J270+K270+L270+M270+N270</f>
        <v>14</v>
      </c>
      <c r="P270" s="354"/>
      <c r="Q270" s="399"/>
      <c r="R270" s="355">
        <f t="shared" ref="R270" si="81">+P270+Q270</f>
        <v>0</v>
      </c>
      <c r="S270" s="354"/>
      <c r="T270" s="354"/>
      <c r="U270" s="354"/>
      <c r="V270" s="355">
        <f t="shared" ref="V270" si="82">+S270+T270+U270</f>
        <v>0</v>
      </c>
      <c r="W270" s="399">
        <v>10</v>
      </c>
      <c r="X270" s="477">
        <f t="shared" ref="X270" si="83">+O270+R270+V270+W270</f>
        <v>24</v>
      </c>
      <c r="Y270" s="19" t="str">
        <f t="shared" ref="Y270" si="84">IF(I270-X270=0,"OK ",IF(I270-X270&gt;0,"AJUSTE",IF(I270-X270&lt;0,"AJUSTE")))</f>
        <v xml:space="preserve">OK </v>
      </c>
      <c r="Z270" s="404" t="str">
        <f t="shared" ref="Z270" si="85">IF(H270-I270=0," ",IF(H270-I270&gt;0,"JUSTIFICAR","AJUSTE"))</f>
        <v xml:space="preserve"> </v>
      </c>
      <c r="AA270" s="478">
        <f>ROUND((IF(D270=1,(BASE!$G$51*I270),IF(D270=2,(BASE!$G$52*I270),IF(D270=3,(BASE!$G$53*I270),IF(D270=4,(BASE!$G$54*I270),IF(D270=5,(BASE!$G$55*I270),IF(D270=6,(BASE!$G$56*I270),0)))))))/1000,0)*1000</f>
        <v>4810000</v>
      </c>
      <c r="AB270" s="408">
        <v>2072000</v>
      </c>
      <c r="AC270" s="478">
        <f t="shared" ref="AC270" si="86">AA270+AB270</f>
        <v>6882000</v>
      </c>
      <c r="AD270" s="478">
        <f>IF(G270=3,AC270*BASE!$I$62,IF(G270=1,AC270*(BASE!$I$61),IF(G270=2,AC270*(BASE!$I$63),AC270*BASE!$I$64)))</f>
        <v>78225400</v>
      </c>
      <c r="AE270" s="411">
        <f>IF(I270&lt;10,0,IF(AC270&lt;=BASE!$C$3*2,BASE!$C$2,0)*(AD270/AC270))</f>
        <v>0</v>
      </c>
      <c r="AF270" s="13">
        <v>0</v>
      </c>
      <c r="AG270" s="14">
        <f t="shared" ref="AG270" si="87">IF(I270=0,0,IF(G270=5,0,((AD270/12)+(AF270/12))/3*2))</f>
        <v>4345855.555555555</v>
      </c>
      <c r="AH270" s="14">
        <f t="shared" ref="AH270" si="88">ROUND((AD270/12)+(AE270/12)+(AF270/12)+(AG270/12),0)</f>
        <v>6880938</v>
      </c>
      <c r="AI270" s="14">
        <f t="shared" ref="AI270" si="89">((AD270/12)+(AE270/12)+(AF270/12)+(AG270/12))</f>
        <v>6880937.9629629627</v>
      </c>
      <c r="AJ270" s="14">
        <f t="shared" ref="AJ270" si="90">IF(G270=3,(AI270*11%),IF(G270=4,(AI270*12%),IF(G270=2,(AI270*12%),IF(G270=1,(AI270*10%),0))))</f>
        <v>825712.5555555555</v>
      </c>
      <c r="AK270" s="14">
        <f>IF(I270=0,0,IF(G270=5,0,(AC270+AF270/12)*12*BASE!$C$5))</f>
        <v>7019640.0000000009</v>
      </c>
      <c r="AL270" s="14">
        <v>0</v>
      </c>
      <c r="AM270" s="14">
        <f>IF(I270=0,0,IF(G270=5,0,(AC270+AF270/12)*12*BASE!$C$9))</f>
        <v>431088.48</v>
      </c>
      <c r="AN270" s="412">
        <f>IF(I270=0,0,IF(G270=5,0,(AD270+AF270+AG270)*BASE!$C$10))</f>
        <v>7431412.9999999991</v>
      </c>
      <c r="AO270" s="837">
        <f t="shared" ref="AO270" si="91">+AD270+AE270+AF270+AG270+AH270+AI270+AJ270+AK270+AL270+AM270+AN270</f>
        <v>112040985.55407406</v>
      </c>
      <c r="AP270" s="677">
        <f t="shared" ref="AP270" si="92">IFERROR(AO270/AD270,"Sin datos")</f>
        <v>1.4322839583316169</v>
      </c>
      <c r="AQ270" s="1148"/>
      <c r="AR270" s="1149"/>
      <c r="CG270" s="179"/>
      <c r="CH270" s="181"/>
      <c r="CI270" s="182"/>
    </row>
    <row r="271" spans="1:87" ht="13.5" customHeight="1" outlineLevel="1" thickBot="1" x14ac:dyDescent="0.25">
      <c r="A271" s="368"/>
      <c r="B271" s="477" t="s">
        <v>1437</v>
      </c>
      <c r="C271" s="427"/>
      <c r="D271" s="431"/>
      <c r="E271" s="399" t="s">
        <v>538</v>
      </c>
      <c r="F271" s="436" t="s">
        <v>258</v>
      </c>
      <c r="G271" s="437"/>
      <c r="H271" s="355">
        <v>20</v>
      </c>
      <c r="I271" s="423"/>
      <c r="J271" s="354"/>
      <c r="K271" s="354"/>
      <c r="L271" s="354"/>
      <c r="M271" s="354"/>
      <c r="N271" s="354"/>
      <c r="O271" s="355"/>
      <c r="P271" s="354"/>
      <c r="Q271" s="354"/>
      <c r="R271" s="355"/>
      <c r="S271" s="354"/>
      <c r="T271" s="354"/>
      <c r="U271" s="354"/>
      <c r="V271" s="355"/>
      <c r="W271" s="354"/>
      <c r="X271" s="477"/>
      <c r="Y271" s="19"/>
      <c r="Z271" s="404"/>
      <c r="AA271" s="478"/>
      <c r="AB271" s="408"/>
      <c r="AC271" s="478"/>
      <c r="AD271" s="478"/>
      <c r="AE271" s="411"/>
      <c r="AF271" s="13"/>
      <c r="AG271" s="14"/>
      <c r="AH271" s="14"/>
      <c r="AI271" s="14"/>
      <c r="AJ271" s="14"/>
      <c r="AK271" s="14"/>
      <c r="AL271" s="14"/>
      <c r="AM271" s="14"/>
      <c r="AN271" s="412"/>
      <c r="AO271" s="837"/>
      <c r="AP271" s="677"/>
      <c r="AQ271" s="1023"/>
      <c r="AR271" s="1024"/>
      <c r="CG271" s="179"/>
      <c r="CH271" s="181"/>
      <c r="CI271" s="182"/>
    </row>
    <row r="272" spans="1:87" ht="13.5" customHeight="1" outlineLevel="1" x14ac:dyDescent="0.2">
      <c r="A272" s="368"/>
      <c r="B272" s="1050" t="s">
        <v>1250</v>
      </c>
      <c r="C272" s="427"/>
      <c r="D272" s="431"/>
      <c r="E272" s="399" t="s">
        <v>539</v>
      </c>
      <c r="F272" s="436" t="s">
        <v>546</v>
      </c>
      <c r="G272" s="437"/>
      <c r="H272" s="355">
        <v>20</v>
      </c>
      <c r="I272" s="423">
        <v>30</v>
      </c>
      <c r="J272" s="399">
        <v>5</v>
      </c>
      <c r="K272" s="399">
        <v>1</v>
      </c>
      <c r="L272" s="399">
        <v>1</v>
      </c>
      <c r="M272" s="399">
        <v>1</v>
      </c>
      <c r="N272" s="399">
        <v>2</v>
      </c>
      <c r="O272" s="355">
        <v>10</v>
      </c>
      <c r="P272" s="354"/>
      <c r="Q272" s="354"/>
      <c r="R272" s="355"/>
      <c r="S272" s="354"/>
      <c r="T272" s="354"/>
      <c r="U272" s="354"/>
      <c r="V272" s="355"/>
      <c r="W272" s="399">
        <v>10</v>
      </c>
      <c r="X272" s="477">
        <v>20</v>
      </c>
      <c r="Y272" s="19"/>
      <c r="Z272" s="404"/>
      <c r="AA272" s="478"/>
      <c r="AB272" s="408"/>
      <c r="AC272" s="478"/>
      <c r="AD272" s="478"/>
      <c r="AE272" s="411"/>
      <c r="AF272" s="13"/>
      <c r="AG272" s="14"/>
      <c r="AH272" s="14"/>
      <c r="AI272" s="14"/>
      <c r="AJ272" s="14"/>
      <c r="AK272" s="14"/>
      <c r="AL272" s="14"/>
      <c r="AM272" s="14"/>
      <c r="AN272" s="412"/>
      <c r="AO272" s="837"/>
      <c r="AP272" s="677"/>
      <c r="AQ272" s="1049" t="s">
        <v>1438</v>
      </c>
      <c r="AR272" s="1024"/>
      <c r="CG272" s="179"/>
      <c r="CH272" s="181"/>
      <c r="CI272" s="182"/>
    </row>
    <row r="273" spans="1:87" ht="13.5" customHeight="1" outlineLevel="1" x14ac:dyDescent="0.2">
      <c r="A273" s="368"/>
      <c r="B273" s="586" t="s">
        <v>1363</v>
      </c>
      <c r="C273" s="427"/>
      <c r="D273" s="431"/>
      <c r="E273" s="399" t="s">
        <v>540</v>
      </c>
      <c r="F273" s="436" t="s">
        <v>863</v>
      </c>
      <c r="G273" s="437"/>
      <c r="H273" s="355">
        <v>40</v>
      </c>
      <c r="I273" s="423"/>
      <c r="J273" s="399">
        <v>2</v>
      </c>
      <c r="K273" s="399">
        <v>1</v>
      </c>
      <c r="L273" s="399">
        <v>1</v>
      </c>
      <c r="M273" s="399">
        <v>1</v>
      </c>
      <c r="N273" s="354"/>
      <c r="O273" s="355">
        <v>5</v>
      </c>
      <c r="P273" s="399">
        <v>10</v>
      </c>
      <c r="Q273" s="399">
        <v>25</v>
      </c>
      <c r="R273" s="355"/>
      <c r="S273" s="354"/>
      <c r="T273" s="354"/>
      <c r="U273" s="354"/>
      <c r="V273" s="355"/>
      <c r="W273" s="354"/>
      <c r="X273" s="477">
        <v>40</v>
      </c>
      <c r="Y273" s="19"/>
      <c r="Z273" s="404"/>
      <c r="AA273" s="478"/>
      <c r="AB273" s="408"/>
      <c r="AC273" s="478"/>
      <c r="AD273" s="478"/>
      <c r="AE273" s="411"/>
      <c r="AF273" s="13"/>
      <c r="AG273" s="14"/>
      <c r="AH273" s="14"/>
      <c r="AI273" s="14"/>
      <c r="AJ273" s="14"/>
      <c r="AK273" s="14"/>
      <c r="AL273" s="14"/>
      <c r="AM273" s="14"/>
      <c r="AN273" s="412"/>
      <c r="AO273" s="837"/>
      <c r="AP273" s="677"/>
      <c r="AQ273" s="1023"/>
      <c r="AR273" s="1024"/>
      <c r="CG273" s="179"/>
      <c r="CH273" s="181"/>
      <c r="CI273" s="182"/>
    </row>
    <row r="274" spans="1:87" ht="13.5" customHeight="1" outlineLevel="1" x14ac:dyDescent="0.2">
      <c r="A274" s="368"/>
      <c r="B274" s="586" t="s">
        <v>1364</v>
      </c>
      <c r="C274" s="427"/>
      <c r="D274" s="431"/>
      <c r="E274" s="399" t="s">
        <v>538</v>
      </c>
      <c r="F274" s="436" t="s">
        <v>546</v>
      </c>
      <c r="G274" s="437"/>
      <c r="H274" s="355">
        <v>5</v>
      </c>
      <c r="I274" s="423"/>
      <c r="J274" s="354"/>
      <c r="K274" s="354"/>
      <c r="L274" s="354"/>
      <c r="M274" s="354"/>
      <c r="N274" s="354"/>
      <c r="O274" s="355"/>
      <c r="P274" s="354"/>
      <c r="Q274" s="354"/>
      <c r="R274" s="355"/>
      <c r="S274" s="354">
        <v>5</v>
      </c>
      <c r="T274" s="354"/>
      <c r="U274" s="354"/>
      <c r="V274" s="355"/>
      <c r="W274" s="354"/>
      <c r="X274" s="477">
        <v>5</v>
      </c>
      <c r="Y274" s="19"/>
      <c r="Z274" s="404"/>
      <c r="AA274" s="478"/>
      <c r="AB274" s="408"/>
      <c r="AC274" s="478"/>
      <c r="AD274" s="478"/>
      <c r="AE274" s="411"/>
      <c r="AF274" s="13"/>
      <c r="AG274" s="14"/>
      <c r="AH274" s="14"/>
      <c r="AI274" s="14"/>
      <c r="AJ274" s="14"/>
      <c r="AK274" s="14"/>
      <c r="AL274" s="14"/>
      <c r="AM274" s="14"/>
      <c r="AN274" s="412"/>
      <c r="AO274" s="837"/>
      <c r="AP274" s="677"/>
      <c r="AQ274" s="1023"/>
      <c r="AR274" s="1024"/>
      <c r="CG274" s="179"/>
      <c r="CH274" s="181"/>
      <c r="CI274" s="182"/>
    </row>
    <row r="275" spans="1:87" ht="13.5" customHeight="1" outlineLevel="1" x14ac:dyDescent="0.2">
      <c r="A275" s="368"/>
      <c r="B275" s="586" t="s">
        <v>1397</v>
      </c>
      <c r="C275" s="427"/>
      <c r="D275" s="431"/>
      <c r="E275" s="399" t="s">
        <v>538</v>
      </c>
      <c r="F275" s="436" t="s">
        <v>546</v>
      </c>
      <c r="G275" s="437"/>
      <c r="H275" s="355">
        <v>20</v>
      </c>
      <c r="I275" s="423">
        <v>20</v>
      </c>
      <c r="J275" s="354"/>
      <c r="K275" s="354"/>
      <c r="L275" s="354"/>
      <c r="M275" s="354"/>
      <c r="N275" s="354"/>
      <c r="O275" s="355"/>
      <c r="P275" s="354"/>
      <c r="Q275" s="354"/>
      <c r="R275" s="355"/>
      <c r="S275" s="354"/>
      <c r="T275" s="354"/>
      <c r="U275" s="354"/>
      <c r="V275" s="355"/>
      <c r="W275" s="354">
        <v>20</v>
      </c>
      <c r="X275" s="477">
        <v>20</v>
      </c>
      <c r="Y275" s="19"/>
      <c r="Z275" s="404"/>
      <c r="AA275" s="478"/>
      <c r="AB275" s="408"/>
      <c r="AC275" s="478"/>
      <c r="AD275" s="478"/>
      <c r="AE275" s="411"/>
      <c r="AF275" s="13"/>
      <c r="AG275" s="14"/>
      <c r="AH275" s="14"/>
      <c r="AI275" s="14"/>
      <c r="AJ275" s="14"/>
      <c r="AK275" s="14"/>
      <c r="AL275" s="14"/>
      <c r="AM275" s="14"/>
      <c r="AN275" s="412"/>
      <c r="AO275" s="837"/>
      <c r="AP275" s="677"/>
      <c r="AQ275" s="1023"/>
      <c r="AR275" s="1024"/>
      <c r="CG275" s="179"/>
      <c r="CH275" s="181"/>
      <c r="CI275" s="182"/>
    </row>
    <row r="276" spans="1:87" ht="13.5" customHeight="1" outlineLevel="1" thickBot="1" x14ac:dyDescent="0.25">
      <c r="A276" s="368"/>
      <c r="B276" s="477" t="s">
        <v>1432</v>
      </c>
      <c r="C276" s="427"/>
      <c r="D276" s="431"/>
      <c r="E276" s="399" t="s">
        <v>538</v>
      </c>
      <c r="F276" s="436" t="s">
        <v>546</v>
      </c>
      <c r="G276" s="437"/>
      <c r="H276" s="355">
        <v>20</v>
      </c>
      <c r="I276" s="423"/>
      <c r="J276" s="354">
        <v>2</v>
      </c>
      <c r="K276" s="354">
        <v>1</v>
      </c>
      <c r="L276" s="399">
        <v>1</v>
      </c>
      <c r="M276" s="399">
        <v>1</v>
      </c>
      <c r="N276" s="354"/>
      <c r="O276" s="355">
        <v>5</v>
      </c>
      <c r="P276" s="354"/>
      <c r="Q276" s="354"/>
      <c r="R276" s="355"/>
      <c r="S276" s="354">
        <v>15</v>
      </c>
      <c r="T276" s="354"/>
      <c r="U276" s="354"/>
      <c r="V276" s="355">
        <v>15</v>
      </c>
      <c r="W276" s="354"/>
      <c r="X276" s="477">
        <v>20</v>
      </c>
      <c r="Y276" s="19"/>
      <c r="Z276" s="404"/>
      <c r="AA276" s="478"/>
      <c r="AB276" s="408"/>
      <c r="AC276" s="478"/>
      <c r="AD276" s="478"/>
      <c r="AE276" s="411"/>
      <c r="AF276" s="13"/>
      <c r="AG276" s="14"/>
      <c r="AH276" s="14"/>
      <c r="AI276" s="14"/>
      <c r="AJ276" s="14"/>
      <c r="AK276" s="14"/>
      <c r="AL276" s="14"/>
      <c r="AM276" s="14"/>
      <c r="AN276" s="412"/>
      <c r="AO276" s="837"/>
      <c r="AP276" s="677"/>
      <c r="AQ276" s="1023"/>
      <c r="AR276" s="1024"/>
      <c r="CG276" s="179"/>
      <c r="CH276" s="181"/>
      <c r="CI276" s="182"/>
    </row>
    <row r="277" spans="1:87" ht="13.5" hidden="1" customHeight="1" outlineLevel="1" thickBot="1" x14ac:dyDescent="0.25">
      <c r="A277" s="368" t="s">
        <v>582</v>
      </c>
      <c r="B277" s="477"/>
      <c r="C277" s="427"/>
      <c r="D277" s="431" t="str">
        <f>IF(E277="","",VLOOKUP(E277,BASE!$F$20:$H$25,2,FALSE))</f>
        <v/>
      </c>
      <c r="E277" s="399"/>
      <c r="F277" s="436"/>
      <c r="G277" s="437" t="str">
        <f>IF(F277="","",VLOOKUP(F277,BASE!$B$15:$C$18,2,FALSE))</f>
        <v/>
      </c>
      <c r="H277" s="355">
        <v>0</v>
      </c>
      <c r="I277" s="423">
        <f t="shared" si="54"/>
        <v>0</v>
      </c>
      <c r="J277" s="354"/>
      <c r="K277" s="354"/>
      <c r="L277" s="354"/>
      <c r="M277" s="354"/>
      <c r="N277" s="354"/>
      <c r="O277" s="355">
        <f t="shared" si="55"/>
        <v>0</v>
      </c>
      <c r="P277" s="354"/>
      <c r="Q277" s="354"/>
      <c r="R277" s="355">
        <f t="shared" si="56"/>
        <v>0</v>
      </c>
      <c r="S277" s="354"/>
      <c r="T277" s="354"/>
      <c r="U277" s="354"/>
      <c r="V277" s="355">
        <f t="shared" si="57"/>
        <v>0</v>
      </c>
      <c r="W277" s="354"/>
      <c r="X277" s="477">
        <f t="shared" si="58"/>
        <v>0</v>
      </c>
      <c r="Y277" s="19" t="str">
        <f t="shared" si="59"/>
        <v xml:space="preserve">OK </v>
      </c>
      <c r="Z277" s="404" t="str">
        <f t="shared" si="60"/>
        <v xml:space="preserve"> </v>
      </c>
      <c r="AA277" s="478">
        <f>ROUND((IF(D277=1,(BASE!$G$51*I277),IF(D277=2,(BASE!$G$52*I277),IF(D277=3,(BASE!$G$53*I277),IF(D277=4,(BASE!$G$54*I277),IF(D277=5,(BASE!$G$55*I277),IF(D277=6,(BASE!$G$56*I277),0)))))))/1000,0)*1000</f>
        <v>0</v>
      </c>
      <c r="AB277" s="408">
        <v>0</v>
      </c>
      <c r="AC277" s="478">
        <f t="shared" si="61"/>
        <v>0</v>
      </c>
      <c r="AD277" s="478">
        <f>IF(G277=3,AC277*BASE!$I$62,IF(G277=1,AC277*(BASE!$I$61),IF(G277=2,AC277*(BASE!$I$63),AC277*BASE!$I$64)))</f>
        <v>0</v>
      </c>
      <c r="AE277" s="411">
        <f>IF(I277&lt;10,0,IF(AC277&lt;=BASE!$C$3*2,BASE!$C$2,0)*(AD277/AC277))</f>
        <v>0</v>
      </c>
      <c r="AF277" s="13">
        <v>0</v>
      </c>
      <c r="AG277" s="1025">
        <v>160000000</v>
      </c>
      <c r="AH277" s="14">
        <v>0</v>
      </c>
      <c r="AI277" s="1025">
        <v>900000000</v>
      </c>
      <c r="AJ277" s="1025">
        <v>240000000</v>
      </c>
      <c r="AK277" s="1025">
        <v>90000000</v>
      </c>
      <c r="AL277" s="1025">
        <v>80000000</v>
      </c>
      <c r="AM277" s="14">
        <f>IF(I277=0,0,IF(G277=5,0,(AC277+AF277/12)*12*BASE!$C$9))</f>
        <v>0</v>
      </c>
      <c r="AN277" s="412">
        <f>IF(I277=0,0,IF(G277=5,0,(AD277+AF277+AG277)*BASE!$C$10))</f>
        <v>0</v>
      </c>
      <c r="AO277" s="1026">
        <f>+AD277+AE277+AF277+AG277+AH277+AI277+AJ277+AK277+AL277+AM277+AN277</f>
        <v>1470000000</v>
      </c>
      <c r="AP277" s="677" t="str">
        <f t="shared" si="64"/>
        <v>Sin datos</v>
      </c>
      <c r="AQ277" s="1148"/>
      <c r="AR277" s="1149"/>
      <c r="CG277" s="179">
        <v>43</v>
      </c>
      <c r="CH277" s="181">
        <v>7</v>
      </c>
      <c r="CI277" s="183" t="s">
        <v>174</v>
      </c>
    </row>
    <row r="278" spans="1:87" ht="13.5" customHeight="1" collapsed="1" thickBot="1" x14ac:dyDescent="0.25">
      <c r="A278" s="395"/>
      <c r="B278" s="1184" t="s">
        <v>1236</v>
      </c>
      <c r="C278" s="1165"/>
      <c r="D278" s="1165"/>
      <c r="E278" s="1165"/>
      <c r="F278" s="1185"/>
      <c r="G278" s="580" t="s">
        <v>167</v>
      </c>
      <c r="H278" s="581">
        <f t="shared" ref="H278:W278" si="93">SUM(H22:H277)</f>
        <v>5518</v>
      </c>
      <c r="I278" s="581">
        <f t="shared" si="93"/>
        <v>5158</v>
      </c>
      <c r="J278" s="581">
        <f t="shared" si="93"/>
        <v>1622</v>
      </c>
      <c r="K278" s="581">
        <f t="shared" si="93"/>
        <v>605</v>
      </c>
      <c r="L278" s="581">
        <f t="shared" si="93"/>
        <v>444</v>
      </c>
      <c r="M278" s="581">
        <f t="shared" si="93"/>
        <v>345</v>
      </c>
      <c r="N278" s="581">
        <f t="shared" si="93"/>
        <v>239</v>
      </c>
      <c r="O278" s="581">
        <f t="shared" si="93"/>
        <v>3255</v>
      </c>
      <c r="P278" s="581">
        <f t="shared" si="93"/>
        <v>159</v>
      </c>
      <c r="Q278" s="581">
        <f t="shared" si="93"/>
        <v>464</v>
      </c>
      <c r="R278" s="581">
        <f t="shared" si="93"/>
        <v>588</v>
      </c>
      <c r="S278" s="581">
        <f t="shared" si="93"/>
        <v>523</v>
      </c>
      <c r="T278" s="581">
        <f t="shared" si="93"/>
        <v>44</v>
      </c>
      <c r="U278" s="581">
        <f t="shared" si="93"/>
        <v>12</v>
      </c>
      <c r="V278" s="581">
        <f t="shared" si="93"/>
        <v>574</v>
      </c>
      <c r="W278" s="581">
        <f t="shared" si="93"/>
        <v>703</v>
      </c>
      <c r="X278" s="581">
        <f t="shared" ref="X278" si="94">+O278+R278+V278+W278</f>
        <v>5120</v>
      </c>
      <c r="Y278" s="581"/>
      <c r="Z278" s="185"/>
      <c r="AA278" s="185"/>
      <c r="AB278" s="185"/>
      <c r="AC278" s="185"/>
      <c r="AD278" s="185">
        <f t="shared" ref="AD278:AO278" si="95">SUM(AD22:AD277)</f>
        <v>9030482200</v>
      </c>
      <c r="AE278" s="415">
        <f t="shared" si="95"/>
        <v>33964175.366666652</v>
      </c>
      <c r="AF278" s="185">
        <f t="shared" si="95"/>
        <v>0</v>
      </c>
      <c r="AG278" s="185">
        <f t="shared" si="95"/>
        <v>658572418.51851845</v>
      </c>
      <c r="AH278" s="185">
        <f t="shared" si="95"/>
        <v>796918235</v>
      </c>
      <c r="AI278" s="185">
        <f t="shared" si="95"/>
        <v>1696918232.8237655</v>
      </c>
      <c r="AJ278" s="185">
        <f t="shared" si="95"/>
        <v>333493985.74473453</v>
      </c>
      <c r="AK278" s="185">
        <f t="shared" si="95"/>
        <v>908790720</v>
      </c>
      <c r="AL278" s="185">
        <f t="shared" si="95"/>
        <v>863070560</v>
      </c>
      <c r="AM278" s="185">
        <f t="shared" si="95"/>
        <v>50283383.040000036</v>
      </c>
      <c r="AN278" s="416">
        <f t="shared" si="95"/>
        <v>852558835.66666687</v>
      </c>
      <c r="AO278" s="841">
        <f t="shared" si="95"/>
        <v>15225052746.160351</v>
      </c>
      <c r="AP278" s="678">
        <f t="shared" si="64"/>
        <v>1.6859623228270524</v>
      </c>
      <c r="AQ278" s="441"/>
      <c r="AR278" s="404"/>
    </row>
    <row r="279" spans="1:87" ht="13.5" customHeight="1" thickBot="1" x14ac:dyDescent="0.25">
      <c r="A279" s="398"/>
      <c r="B279" s="426" t="s">
        <v>662</v>
      </c>
      <c r="C279" s="499"/>
      <c r="D279" s="500"/>
      <c r="E279" s="25"/>
      <c r="F279" s="501"/>
      <c r="G279" s="26"/>
      <c r="H279" s="25"/>
      <c r="I279" s="396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361"/>
      <c r="AA279" s="361"/>
      <c r="AB279" s="361"/>
      <c r="AC279" s="25"/>
      <c r="AD279" s="25"/>
      <c r="AE279" s="501"/>
      <c r="AF279" s="25"/>
      <c r="AG279" s="25"/>
      <c r="AH279" s="25"/>
      <c r="AI279" s="25"/>
      <c r="AJ279" s="25"/>
      <c r="AK279" s="25"/>
      <c r="AL279" s="25" t="s">
        <v>169</v>
      </c>
      <c r="AM279" s="25"/>
      <c r="AN279" s="26"/>
      <c r="AO279" s="846"/>
      <c r="AP279" s="604" t="str">
        <f t="shared" si="64"/>
        <v>Sin datos</v>
      </c>
      <c r="AQ279" s="441"/>
      <c r="AR279" s="404"/>
    </row>
    <row r="280" spans="1:87" ht="13.5" customHeight="1" outlineLevel="1" x14ac:dyDescent="0.2">
      <c r="A280" s="368" t="s">
        <v>583</v>
      </c>
      <c r="B280" s="422"/>
      <c r="C280" s="427"/>
      <c r="D280" s="433"/>
      <c r="E280" s="399"/>
      <c r="F280" s="489"/>
      <c r="G280" s="490" t="str">
        <f>IF(F280="","",VLOOKUP(F280,BASE!$B$15:$C$18,2,FALSE))</f>
        <v/>
      </c>
      <c r="H280" s="353">
        <v>0</v>
      </c>
      <c r="I280" s="428">
        <v>0</v>
      </c>
      <c r="J280" s="352"/>
      <c r="K280" s="352"/>
      <c r="L280" s="352"/>
      <c r="M280" s="352"/>
      <c r="N280" s="352"/>
      <c r="O280" s="353">
        <f t="shared" ref="O280:O311" si="96">+J280+K280+L280+M280+N280</f>
        <v>0</v>
      </c>
      <c r="P280" s="352"/>
      <c r="Q280" s="352"/>
      <c r="R280" s="353">
        <f t="shared" ref="R280:R311" si="97">+P280+Q280</f>
        <v>0</v>
      </c>
      <c r="S280" s="352"/>
      <c r="T280" s="352"/>
      <c r="U280" s="352"/>
      <c r="V280" s="353">
        <f t="shared" ref="V280:V311" si="98">+S280+T280+U280</f>
        <v>0</v>
      </c>
      <c r="W280" s="1029"/>
      <c r="X280" s="353">
        <f t="shared" ref="X280:X312" si="99">+O280+R280+V280+W280</f>
        <v>0</v>
      </c>
      <c r="Y280" s="192" t="str">
        <f t="shared" ref="Y280:Y311" si="100">IF(I280-X280=0,"OK ",IF(I280-X280&gt;0,"AJUSTE",IF(I280-X280&lt;0,"AJUSTE")))</f>
        <v xml:space="preserve">OK </v>
      </c>
      <c r="Z280" s="406" t="str">
        <f t="shared" ref="Z280:Z311" si="101">IF(H280-I280=0," ",IF(H280-I280&gt;0,"JUSTIFICAR","AJUSTE"))</f>
        <v xml:space="preserve"> </v>
      </c>
      <c r="AA280" s="193">
        <f>ROUND((IF(D280=1,(BASE!$G$51*I280),IF(D280=2,(BASE!$G$52*I280),IF(D280=3,(BASE!$G$53*I280),IF(D280=4,(BASE!$G$54*I280),IF(D280=5,(BASE!$G$55*I280),IF(D280=6,(BASE!$G$56*I280),0)))))))/1000,0)*1000</f>
        <v>0</v>
      </c>
      <c r="AB280" s="480">
        <v>0</v>
      </c>
      <c r="AC280" s="193">
        <f>AA280+AB280</f>
        <v>0</v>
      </c>
      <c r="AD280" s="491">
        <f>IF(G280=3,AC280*BASE!$I$62,IF(G280=1,AC280*(BASE!$I$61),IF(G280=2,AC280*(BASE!$I$63),AC280*BASE!$I$64)))</f>
        <v>0</v>
      </c>
      <c r="AE280" s="409">
        <f>IF(I280&lt;10,0,IF(AC280&lt;=BASE!$C$3*2,BASE!$C$2,0)*(AD280/AC280))</f>
        <v>0</v>
      </c>
      <c r="AF280" s="393">
        <v>0</v>
      </c>
      <c r="AG280" s="392">
        <f t="shared" ref="AG280:AG311" si="102">IF(I280=0,0,IF(G280=5,0,((AD280/12)+(AF280/12))/3*2))</f>
        <v>0</v>
      </c>
      <c r="AH280" s="392">
        <f t="shared" ref="AH280:AH311" si="103">ROUND((AD280/12)+(AE280/12)+(AF280/12)+(AG280/12),0)</f>
        <v>0</v>
      </c>
      <c r="AI280" s="392">
        <f t="shared" ref="AI280:AI311" si="104">((AD280/12)+(AE280/12)+(AF280/12)+(AG280/12))</f>
        <v>0</v>
      </c>
      <c r="AJ280" s="392">
        <f t="shared" ref="AJ280:AJ311" si="105">IF(G280=3,(AI280*11%),IF(G280=4,(AI280*12%),IF(G280=2,(AI280*12%),IF(G280=1,(AI280*10%),0))))</f>
        <v>0</v>
      </c>
      <c r="AK280" s="392">
        <f>IF(I280=0,0,IF(G280=5,0,(AC280+AF280/12)*12*BASE!$C$5))</f>
        <v>0</v>
      </c>
      <c r="AL280" s="392">
        <f>IF(I280=0,0,IF(G280=5,0,(AC280+AF280/12)*12*BASE!$C$7))</f>
        <v>0</v>
      </c>
      <c r="AM280" s="392">
        <f>IF(I280=0,0,IF(G280=5,0,(AC280+AF280/12)*12*BASE!$C$9))</f>
        <v>0</v>
      </c>
      <c r="AN280" s="410">
        <f>IF(I280=0,0,IF(G280=5,0,(AD280+AF280+AG280)*BASE!$C$10))</f>
        <v>0</v>
      </c>
      <c r="AO280" s="845">
        <f>+AD280+AE280+AF280+AG280+AH280+AI280+AJ280+AK280+AL280+AM280+AN280</f>
        <v>0</v>
      </c>
      <c r="AP280" s="601" t="str">
        <f t="shared" si="64"/>
        <v>Sin datos</v>
      </c>
      <c r="AQ280" s="1150" t="s">
        <v>1251</v>
      </c>
      <c r="AR280" s="1149"/>
    </row>
    <row r="281" spans="1:87" ht="13.5" customHeight="1" outlineLevel="1" x14ac:dyDescent="0.2">
      <c r="A281" s="368" t="s">
        <v>584</v>
      </c>
      <c r="B281" s="589" t="s">
        <v>1433</v>
      </c>
      <c r="C281" s="427" t="s">
        <v>535</v>
      </c>
      <c r="D281" s="434">
        <f>IF(E281="","",VLOOKUP(E281,BASE!$F$20:$H$25,2,FALSE))</f>
        <v>5</v>
      </c>
      <c r="E281" s="399" t="s">
        <v>538</v>
      </c>
      <c r="F281" s="436" t="s">
        <v>546</v>
      </c>
      <c r="G281" s="437">
        <f>IF(F281="","",VLOOKUP(F281,BASE!$B$15:$C$18,2,FALSE))</f>
        <v>3</v>
      </c>
      <c r="H281" s="520">
        <v>0</v>
      </c>
      <c r="I281" s="424">
        <v>20</v>
      </c>
      <c r="J281" s="354">
        <v>10</v>
      </c>
      <c r="K281" s="354">
        <v>5</v>
      </c>
      <c r="L281" s="354">
        <v>2</v>
      </c>
      <c r="M281" s="399">
        <v>3</v>
      </c>
      <c r="N281" s="354"/>
      <c r="O281" s="355">
        <f t="shared" si="96"/>
        <v>20</v>
      </c>
      <c r="P281" s="354"/>
      <c r="Q281" s="354"/>
      <c r="R281" s="355">
        <f t="shared" si="97"/>
        <v>0</v>
      </c>
      <c r="S281" s="354"/>
      <c r="T281" s="354"/>
      <c r="U281" s="354"/>
      <c r="V281" s="355">
        <f t="shared" si="98"/>
        <v>0</v>
      </c>
      <c r="W281" s="354"/>
      <c r="X281" s="355">
        <f t="shared" si="99"/>
        <v>20</v>
      </c>
      <c r="Y281" s="19" t="str">
        <f t="shared" si="100"/>
        <v xml:space="preserve">OK </v>
      </c>
      <c r="Z281" s="404" t="str">
        <f t="shared" si="101"/>
        <v>AJUSTE</v>
      </c>
      <c r="AA281" s="20">
        <f>ROUND((IF(D281=1,(BASE!$G$51*I281),IF(D281=2,(BASE!$G$52*I281),IF(D281=3,(BASE!$G$53*I281),IF(D281=4,(BASE!$G$54*I281),IF(D281=5,(BASE!$G$55*I281),IF(D281=6,(BASE!$G$56*I281),0)))))))/1000,0)*1000</f>
        <v>1780000</v>
      </c>
      <c r="AB281" s="481">
        <v>0</v>
      </c>
      <c r="AC281" s="20">
        <f>AA281+AB281</f>
        <v>1780000</v>
      </c>
      <c r="AD281" s="478">
        <f>IF(G281=3,AC281*BASE!$I$62,IF(G281=1,AC281*(BASE!$I$61),IF(G281=2,AC281*(BASE!$I$63),AC281*BASE!$I$64)))</f>
        <v>19046000</v>
      </c>
      <c r="AE281" s="411">
        <f>IF(I281&lt;10,0,IF(AC281&lt;=BASE!$C$3*2,BASE!$C$2,0)*(AD281/AC281))</f>
        <v>0</v>
      </c>
      <c r="AF281" s="13">
        <v>0</v>
      </c>
      <c r="AG281" s="14">
        <f t="shared" si="102"/>
        <v>1058111.1111111112</v>
      </c>
      <c r="AH281" s="14">
        <f t="shared" si="103"/>
        <v>1675343</v>
      </c>
      <c r="AI281" s="14">
        <f t="shared" si="104"/>
        <v>1675342.5925925926</v>
      </c>
      <c r="AJ281" s="14">
        <f t="shared" si="105"/>
        <v>184287.6851851852</v>
      </c>
      <c r="AK281" s="14">
        <f>IF(I281=0,0,IF(G281=5,0,(AC281+AF281/12)*12*BASE!$C$5))</f>
        <v>1815600.0000000002</v>
      </c>
      <c r="AL281" s="14">
        <f>IF(I281=0,0,IF(G281=5,0,(AC281+AF281/12)*12*BASE!$C$7))</f>
        <v>2563200</v>
      </c>
      <c r="AM281" s="14">
        <f>IF(I281=0,0,IF(G281=5,0,(AC281+AF281/12)*12*BASE!$C$9))</f>
        <v>111499.2</v>
      </c>
      <c r="AN281" s="412">
        <f>IF(I281=0,0,IF(G281=5,0,(AD281+AF281+AG281)*BASE!$C$10))</f>
        <v>1809370</v>
      </c>
      <c r="AO281" s="838">
        <f t="shared" ref="AO281:AO311" si="106">+AD281+AE281+AF281+AG281+AH281+AI281+AJ281+AK281+AL281+AM281+AN281</f>
        <v>29938753.588888891</v>
      </c>
      <c r="AP281" s="601">
        <f t="shared" si="64"/>
        <v>1.5719181764616661</v>
      </c>
      <c r="AQ281" s="1150" t="s">
        <v>1253</v>
      </c>
      <c r="AR281" s="1149"/>
    </row>
    <row r="282" spans="1:87" ht="13.5" customHeight="1" outlineLevel="1" x14ac:dyDescent="0.2">
      <c r="A282" s="368" t="s">
        <v>584</v>
      </c>
      <c r="B282" s="589"/>
      <c r="C282" s="427"/>
      <c r="D282" s="434" t="str">
        <f>IF(E282="","",VLOOKUP(E282,BASE!$F$20:$H$25,2,FALSE))</f>
        <v/>
      </c>
      <c r="E282" s="399"/>
      <c r="F282" s="436"/>
      <c r="G282" s="437" t="str">
        <f>IF(F282="","",VLOOKUP(F282,BASE!$B$15:$C$18,2,FALSE))</f>
        <v/>
      </c>
      <c r="H282" s="520">
        <v>0</v>
      </c>
      <c r="I282" s="424">
        <v>0</v>
      </c>
      <c r="J282" s="354"/>
      <c r="K282" s="354"/>
      <c r="L282" s="354"/>
      <c r="M282" s="399"/>
      <c r="N282" s="354"/>
      <c r="O282" s="355">
        <f t="shared" si="96"/>
        <v>0</v>
      </c>
      <c r="P282" s="354"/>
      <c r="Q282" s="354"/>
      <c r="R282" s="355">
        <f t="shared" si="97"/>
        <v>0</v>
      </c>
      <c r="S282" s="354"/>
      <c r="T282" s="354"/>
      <c r="U282" s="354"/>
      <c r="V282" s="355">
        <f t="shared" si="98"/>
        <v>0</v>
      </c>
      <c r="W282" s="354"/>
      <c r="X282" s="355">
        <f t="shared" si="99"/>
        <v>0</v>
      </c>
      <c r="Y282" s="19" t="str">
        <f t="shared" si="100"/>
        <v xml:space="preserve">OK </v>
      </c>
      <c r="Z282" s="404" t="str">
        <f t="shared" si="101"/>
        <v xml:space="preserve"> </v>
      </c>
      <c r="AA282" s="20">
        <f>ROUND((IF(D282=1,(BASE!$G$51*I282),IF(D282=2,(BASE!$G$52*I282),IF(D282=3,(BASE!$G$53*I282),IF(D282=4,(BASE!$G$54*I282),IF(D282=5,(BASE!$G$55*I282),IF(D282=6,(BASE!$G$56*I282),0)))))))/1000,0)*1000</f>
        <v>0</v>
      </c>
      <c r="AB282" s="481">
        <v>0</v>
      </c>
      <c r="AC282" s="20">
        <f t="shared" ref="AC282:AC295" si="107">AA282+AB282</f>
        <v>0</v>
      </c>
      <c r="AD282" s="478">
        <f>IF(G282=3,AC282*BASE!$I$62,IF(G282=1,AC282*(BASE!$I$61),IF(G282=2,AC282*(BASE!$I$63),AC282*BASE!$I$64)))</f>
        <v>0</v>
      </c>
      <c r="AE282" s="411">
        <f>IF(I282&lt;10,0,IF(AC282&lt;=BASE!$C$3*2,BASE!$C$2,0)*(AD282/AC282))</f>
        <v>0</v>
      </c>
      <c r="AF282" s="13">
        <v>0</v>
      </c>
      <c r="AG282" s="14">
        <f t="shared" si="102"/>
        <v>0</v>
      </c>
      <c r="AH282" s="14">
        <f t="shared" si="103"/>
        <v>0</v>
      </c>
      <c r="AI282" s="14">
        <f t="shared" si="104"/>
        <v>0</v>
      </c>
      <c r="AJ282" s="14">
        <f t="shared" si="105"/>
        <v>0</v>
      </c>
      <c r="AK282" s="14">
        <f>IF(I282=0,0,IF(G282=5,0,(AC282+AF282/12)*12*BASE!$C$5))</f>
        <v>0</v>
      </c>
      <c r="AL282" s="14">
        <f>IF(I282=0,0,IF(G282=5,0,(AC282+AF282/12)*12*BASE!$C$7))</f>
        <v>0</v>
      </c>
      <c r="AM282" s="14">
        <f>IF(I282=0,0,IF(G282=5,0,(AC282+AF282/12)*12*BASE!$C$9))</f>
        <v>0</v>
      </c>
      <c r="AN282" s="412">
        <f>IF(I282=0,0,IF(G282=5,0,(AD282+AF282+AG282)*BASE!$C$10))</f>
        <v>0</v>
      </c>
      <c r="AO282" s="838">
        <f t="shared" ref="AO282:AO295" si="108">+AD282+AE282+AF282+AG282+AH282+AI282+AJ282+AK282+AL282+AM282+AN282</f>
        <v>0</v>
      </c>
      <c r="AP282" s="601" t="str">
        <f t="shared" si="64"/>
        <v>Sin datos</v>
      </c>
      <c r="AQ282" s="1150" t="s">
        <v>1252</v>
      </c>
      <c r="AR282" s="1149"/>
    </row>
    <row r="283" spans="1:87" ht="13.5" customHeight="1" outlineLevel="1" x14ac:dyDescent="0.2">
      <c r="A283" s="368" t="s">
        <v>584</v>
      </c>
      <c r="B283" s="1030"/>
      <c r="C283" s="1031"/>
      <c r="D283" s="1032" t="str">
        <f>IF(E283="","",VLOOKUP(E283,BASE!$F$20:$H$25,2,FALSE))</f>
        <v/>
      </c>
      <c r="E283" s="1033"/>
      <c r="F283" s="1034"/>
      <c r="G283" s="437" t="str">
        <f>IF(F283="","",VLOOKUP(F283,BASE!$B$15:$C$18,2,FALSE))</f>
        <v/>
      </c>
      <c r="H283" s="520">
        <v>0</v>
      </c>
      <c r="I283" s="424">
        <v>0</v>
      </c>
      <c r="J283" s="354"/>
      <c r="K283" s="354"/>
      <c r="L283" s="354"/>
      <c r="M283" s="399"/>
      <c r="N283" s="354"/>
      <c r="O283" s="355">
        <f t="shared" si="96"/>
        <v>0</v>
      </c>
      <c r="P283" s="354"/>
      <c r="Q283" s="354"/>
      <c r="R283" s="355">
        <f t="shared" si="97"/>
        <v>0</v>
      </c>
      <c r="S283" s="354"/>
      <c r="T283" s="354"/>
      <c r="U283" s="354"/>
      <c r="V283" s="355">
        <f t="shared" si="98"/>
        <v>0</v>
      </c>
      <c r="W283" s="354"/>
      <c r="X283" s="355">
        <f t="shared" si="99"/>
        <v>0</v>
      </c>
      <c r="Y283" s="19" t="str">
        <f t="shared" si="100"/>
        <v xml:space="preserve">OK </v>
      </c>
      <c r="Z283" s="404" t="str">
        <f t="shared" si="101"/>
        <v xml:space="preserve"> </v>
      </c>
      <c r="AA283" s="20">
        <f>ROUND((IF(D283=1,(BASE!$G$51*I283),IF(D283=2,(BASE!$G$52*I283),IF(D283=3,(BASE!$G$53*I283),IF(D283=4,(BASE!$G$54*I283),IF(D283=5,(BASE!$G$55*I283),IF(D283=6,(BASE!$G$56*I283),0)))))))/1000,0)*1000</f>
        <v>0</v>
      </c>
      <c r="AB283" s="481">
        <v>0</v>
      </c>
      <c r="AC283" s="20">
        <f t="shared" si="107"/>
        <v>0</v>
      </c>
      <c r="AD283" s="478">
        <f>IF(G283=3,AC283*BASE!$I$62,IF(G283=1,AC283*(BASE!$I$61),IF(G283=2,AC283*(BASE!$I$63),AC283*BASE!$I$64)))</f>
        <v>0</v>
      </c>
      <c r="AE283" s="411">
        <f>IF(I283&lt;10,0,IF(AC283&lt;=BASE!$C$3*2,BASE!$C$2,0)*(AD283/AC283))</f>
        <v>0</v>
      </c>
      <c r="AF283" s="13">
        <v>0</v>
      </c>
      <c r="AG283" s="14">
        <f t="shared" si="102"/>
        <v>0</v>
      </c>
      <c r="AH283" s="14">
        <f t="shared" si="103"/>
        <v>0</v>
      </c>
      <c r="AI283" s="14">
        <f t="shared" si="104"/>
        <v>0</v>
      </c>
      <c r="AJ283" s="14">
        <f t="shared" si="105"/>
        <v>0</v>
      </c>
      <c r="AK283" s="14">
        <f>IF(I283=0,0,IF(G283=5,0,(AC283+AF283/12)*12*BASE!$C$5))</f>
        <v>0</v>
      </c>
      <c r="AL283" s="14">
        <f>IF(I283=0,0,IF(G283=5,0,(AC283+AF283/12)*12*BASE!$C$7))</f>
        <v>0</v>
      </c>
      <c r="AM283" s="14">
        <f>IF(I283=0,0,IF(G283=5,0,(AC283+AF283/12)*12*BASE!$C$9))</f>
        <v>0</v>
      </c>
      <c r="AN283" s="412">
        <f>IF(I283=0,0,IF(G283=5,0,(AD283+AF283+AG283)*BASE!$C$10))</f>
        <v>0</v>
      </c>
      <c r="AO283" s="838">
        <f t="shared" si="108"/>
        <v>0</v>
      </c>
      <c r="AP283" s="601" t="str">
        <f t="shared" si="64"/>
        <v>Sin datos</v>
      </c>
      <c r="AQ283" s="1150" t="s">
        <v>1254</v>
      </c>
      <c r="AR283" s="1149"/>
    </row>
    <row r="284" spans="1:87" ht="13.5" customHeight="1" outlineLevel="1" x14ac:dyDescent="0.2">
      <c r="A284" s="368" t="s">
        <v>584</v>
      </c>
      <c r="B284" s="589" t="s">
        <v>1450</v>
      </c>
      <c r="C284" s="1031" t="s">
        <v>535</v>
      </c>
      <c r="D284" s="1032">
        <f>IF(E284="","",VLOOKUP(E284,BASE!$F$20:$H$25,2,FALSE))</f>
        <v>5</v>
      </c>
      <c r="E284" s="1033" t="s">
        <v>538</v>
      </c>
      <c r="F284" s="1034" t="s">
        <v>546</v>
      </c>
      <c r="G284" s="437">
        <f>IF(F284="","",VLOOKUP(F284,BASE!$B$15:$C$18,2,FALSE))</f>
        <v>3</v>
      </c>
      <c r="H284" s="520">
        <v>0</v>
      </c>
      <c r="I284" s="424">
        <v>5</v>
      </c>
      <c r="J284" s="399"/>
      <c r="K284" s="354"/>
      <c r="L284" s="354"/>
      <c r="M284" s="354"/>
      <c r="N284" s="354"/>
      <c r="O284" s="355">
        <f t="shared" si="96"/>
        <v>0</v>
      </c>
      <c r="P284" s="354"/>
      <c r="Q284" s="354"/>
      <c r="R284" s="355">
        <f t="shared" si="97"/>
        <v>0</v>
      </c>
      <c r="S284" s="354">
        <v>5</v>
      </c>
      <c r="T284" s="354"/>
      <c r="U284" s="354"/>
      <c r="V284" s="355">
        <f t="shared" si="98"/>
        <v>5</v>
      </c>
      <c r="W284" s="354"/>
      <c r="X284" s="355">
        <f t="shared" si="99"/>
        <v>5</v>
      </c>
      <c r="Y284" s="19" t="str">
        <f t="shared" si="100"/>
        <v xml:space="preserve">OK </v>
      </c>
      <c r="Z284" s="404" t="str">
        <f t="shared" si="101"/>
        <v>AJUSTE</v>
      </c>
      <c r="AA284" s="20">
        <f>ROUND((IF(D284=1,(BASE!$G$51*I284),IF(D284=2,(BASE!$G$52*I284),IF(D284=3,(BASE!$G$53*I284),IF(D284=4,(BASE!$G$54*I284),IF(D284=5,(BASE!$G$55*I284),IF(D284=6,(BASE!$G$56*I284),0)))))))/1000,0)*1000</f>
        <v>445000</v>
      </c>
      <c r="AB284" s="481">
        <v>0</v>
      </c>
      <c r="AC284" s="20">
        <f t="shared" si="107"/>
        <v>445000</v>
      </c>
      <c r="AD284" s="478">
        <f>IF(G284=3,AC284*BASE!$I$62,IF(G284=1,AC284*(BASE!$I$61),IF(G284=2,AC284*(BASE!$I$63),AC284*BASE!$I$64)))</f>
        <v>4761500</v>
      </c>
      <c r="AE284" s="411">
        <f>IF(I284&lt;10,0,IF(AC284&lt;=BASE!$C$3*2,BASE!$C$2,0)*(AD284/AC284))</f>
        <v>0</v>
      </c>
      <c r="AF284" s="13">
        <v>0</v>
      </c>
      <c r="AG284" s="14">
        <f t="shared" si="102"/>
        <v>264527.77777777781</v>
      </c>
      <c r="AH284" s="14">
        <f t="shared" si="103"/>
        <v>418836</v>
      </c>
      <c r="AI284" s="14">
        <f t="shared" si="104"/>
        <v>418835.64814814815</v>
      </c>
      <c r="AJ284" s="14">
        <f t="shared" si="105"/>
        <v>46071.921296296299</v>
      </c>
      <c r="AK284" s="14">
        <f>IF(I284=0,0,IF(G284=5,0,(AC284+AF284/12)*12*BASE!$C$5))</f>
        <v>453900.00000000006</v>
      </c>
      <c r="AL284" s="14">
        <f>IF(I284=0,0,IF(G284=5,0,(AC284+AF284/12)*12*BASE!$C$7))</f>
        <v>640800</v>
      </c>
      <c r="AM284" s="14">
        <f>IF(I284=0,0,IF(G284=5,0,(AC284+AF284/12)*12*BASE!$C$9))</f>
        <v>27874.799999999999</v>
      </c>
      <c r="AN284" s="412">
        <f>IF(I284=0,0,IF(G284=5,0,(AD284+AF284+AG284)*BASE!$C$10))</f>
        <v>452342.5</v>
      </c>
      <c r="AO284" s="838">
        <f t="shared" si="108"/>
        <v>7484688.6472222228</v>
      </c>
      <c r="AP284" s="601">
        <f t="shared" si="64"/>
        <v>1.5719182289661289</v>
      </c>
      <c r="AQ284" s="1150" t="s">
        <v>1257</v>
      </c>
      <c r="AR284" s="1149"/>
    </row>
    <row r="285" spans="1:87" ht="13.5" customHeight="1" outlineLevel="1" x14ac:dyDescent="0.2">
      <c r="A285" s="368" t="s">
        <v>584</v>
      </c>
      <c r="B285" s="589" t="s">
        <v>1455</v>
      </c>
      <c r="C285" s="427" t="s">
        <v>536</v>
      </c>
      <c r="D285" s="434">
        <f>IF(E285="","",VLOOKUP(E285,BASE!$F$20:$H$25,2,FALSE))</f>
        <v>5</v>
      </c>
      <c r="E285" s="399" t="s">
        <v>538</v>
      </c>
      <c r="F285" s="436" t="s">
        <v>546</v>
      </c>
      <c r="G285" s="437">
        <f>IF(F285="","",VLOOKUP(F285,BASE!$B$15:$C$18,2,FALSE))</f>
        <v>3</v>
      </c>
      <c r="H285" s="520">
        <v>0</v>
      </c>
      <c r="I285" s="424">
        <v>4</v>
      </c>
      <c r="J285" s="399"/>
      <c r="K285" s="354"/>
      <c r="L285" s="354"/>
      <c r="M285" s="354"/>
      <c r="N285" s="354"/>
      <c r="O285" s="355">
        <f t="shared" si="96"/>
        <v>0</v>
      </c>
      <c r="P285" s="354"/>
      <c r="Q285" s="354"/>
      <c r="R285" s="355">
        <f t="shared" si="97"/>
        <v>0</v>
      </c>
      <c r="S285" s="354">
        <v>4</v>
      </c>
      <c r="T285" s="354"/>
      <c r="U285" s="354"/>
      <c r="V285" s="355">
        <f t="shared" si="98"/>
        <v>4</v>
      </c>
      <c r="W285" s="354"/>
      <c r="X285" s="355">
        <f t="shared" si="99"/>
        <v>4</v>
      </c>
      <c r="Y285" s="19" t="str">
        <f t="shared" si="100"/>
        <v xml:space="preserve">OK </v>
      </c>
      <c r="Z285" s="404" t="str">
        <f t="shared" si="101"/>
        <v>AJUSTE</v>
      </c>
      <c r="AA285" s="20">
        <f>ROUND((IF(D285=1,(BASE!$G$51*I285),IF(D285=2,(BASE!$G$52*I285),IF(D285=3,(BASE!$G$53*I285),IF(D285=4,(BASE!$G$54*I285),IF(D285=5,(BASE!$G$55*I285),IF(D285=6,(BASE!$G$56*I285),0)))))))/1000,0)*1000</f>
        <v>356000</v>
      </c>
      <c r="AB285" s="481">
        <v>0</v>
      </c>
      <c r="AC285" s="20">
        <f t="shared" si="107"/>
        <v>356000</v>
      </c>
      <c r="AD285" s="478">
        <f>IF(G285=3,AC285*BASE!$I$62,IF(G285=1,AC285*(BASE!$I$61),IF(G285=2,AC285*(BASE!$I$63),AC285*BASE!$I$64)))</f>
        <v>3809199.9999999995</v>
      </c>
      <c r="AE285" s="411">
        <f>IF(I285&lt;10,0,IF(AC285&lt;=BASE!$C$3*2,BASE!$C$2,0)*(AD285/AC285))</f>
        <v>0</v>
      </c>
      <c r="AF285" s="13">
        <v>0</v>
      </c>
      <c r="AG285" s="14">
        <f t="shared" si="102"/>
        <v>211622.22222222222</v>
      </c>
      <c r="AH285" s="14">
        <f t="shared" si="103"/>
        <v>335069</v>
      </c>
      <c r="AI285" s="14">
        <f t="shared" si="104"/>
        <v>335068.51851851848</v>
      </c>
      <c r="AJ285" s="14">
        <f t="shared" si="105"/>
        <v>36857.537037037036</v>
      </c>
      <c r="AK285" s="14">
        <f>IF(I285=0,0,IF(G285=5,0,(AC285+AF285/12)*12*BASE!$C$5))</f>
        <v>363120</v>
      </c>
      <c r="AL285" s="14">
        <f>IF(I285=0,0,IF(G285=5,0,(AC285+AF285/12)*12*BASE!$C$7))</f>
        <v>512640</v>
      </c>
      <c r="AM285" s="14">
        <f>IF(I285=0,0,IF(G285=5,0,(AC285+AF285/12)*12*BASE!$C$9))</f>
        <v>22299.84</v>
      </c>
      <c r="AN285" s="412">
        <f>IF(I285=0,0,IF(G285=5,0,(AD285+AF285+AG285)*BASE!$C$10))</f>
        <v>361873.99999999994</v>
      </c>
      <c r="AO285" s="838">
        <f t="shared" si="108"/>
        <v>5987751.1177777778</v>
      </c>
      <c r="AP285" s="601">
        <f t="shared" si="64"/>
        <v>1.5719182814705919</v>
      </c>
      <c r="AQ285" s="1150" t="s">
        <v>1256</v>
      </c>
      <c r="AR285" s="1149"/>
    </row>
    <row r="286" spans="1:87" ht="13.5" customHeight="1" outlineLevel="1" x14ac:dyDescent="0.2">
      <c r="A286" s="368" t="s">
        <v>584</v>
      </c>
      <c r="B286" s="1030"/>
      <c r="C286" s="1031"/>
      <c r="D286" s="1032" t="str">
        <f>IF(E286="","",VLOOKUP(E286,BASE!$F$20:$H$25,2,FALSE))</f>
        <v/>
      </c>
      <c r="E286" s="1033"/>
      <c r="F286" s="1034"/>
      <c r="G286" s="437" t="str">
        <f>IF(F286="","",VLOOKUP(F286,BASE!$B$15:$C$18,2,FALSE))</f>
        <v/>
      </c>
      <c r="H286" s="520">
        <v>0</v>
      </c>
      <c r="I286" s="424">
        <v>0</v>
      </c>
      <c r="J286" s="354"/>
      <c r="K286" s="354"/>
      <c r="L286" s="354"/>
      <c r="M286" s="354"/>
      <c r="N286" s="354"/>
      <c r="O286" s="355">
        <f t="shared" si="96"/>
        <v>0</v>
      </c>
      <c r="P286" s="354"/>
      <c r="Q286" s="354"/>
      <c r="R286" s="355">
        <f t="shared" si="97"/>
        <v>0</v>
      </c>
      <c r="S286" s="354"/>
      <c r="T286" s="354"/>
      <c r="U286" s="354"/>
      <c r="V286" s="355">
        <f t="shared" si="98"/>
        <v>0</v>
      </c>
      <c r="W286" s="354"/>
      <c r="X286" s="355">
        <f t="shared" si="99"/>
        <v>0</v>
      </c>
      <c r="Y286" s="19" t="str">
        <f t="shared" si="100"/>
        <v xml:space="preserve">OK </v>
      </c>
      <c r="Z286" s="404" t="str">
        <f t="shared" si="101"/>
        <v xml:space="preserve"> </v>
      </c>
      <c r="AA286" s="20">
        <f>ROUND((IF(D286=1,(BASE!$G$51*I286),IF(D286=2,(BASE!$G$52*I286),IF(D286=3,(BASE!$G$53*I286),IF(D286=4,(BASE!$G$54*I286),IF(D286=5,(BASE!$G$55*I286),IF(D286=6,(BASE!$G$56*I286),0)))))))/1000,0)*1000</f>
        <v>0</v>
      </c>
      <c r="AB286" s="481">
        <v>0</v>
      </c>
      <c r="AC286" s="20">
        <f t="shared" si="107"/>
        <v>0</v>
      </c>
      <c r="AD286" s="478">
        <f>IF(G286=3,AC286*BASE!$I$62,IF(G286=1,AC286*(BASE!$I$61),IF(G286=2,AC286*(BASE!$I$63),AC286*BASE!$I$64)))</f>
        <v>0</v>
      </c>
      <c r="AE286" s="411">
        <f>IF(I286&lt;10,0,IF(AC286&lt;=BASE!$C$3*2,BASE!$C$2,0)*(AD286/AC286))</f>
        <v>0</v>
      </c>
      <c r="AF286" s="13">
        <v>0</v>
      </c>
      <c r="AG286" s="14">
        <f t="shared" si="102"/>
        <v>0</v>
      </c>
      <c r="AH286" s="14">
        <f t="shared" si="103"/>
        <v>0</v>
      </c>
      <c r="AI286" s="14">
        <f t="shared" si="104"/>
        <v>0</v>
      </c>
      <c r="AJ286" s="14">
        <f t="shared" si="105"/>
        <v>0</v>
      </c>
      <c r="AK286" s="14">
        <f>IF(I286=0,0,IF(G286=5,0,(AC286+AF286/12)*12*BASE!$C$5))</f>
        <v>0</v>
      </c>
      <c r="AL286" s="14">
        <f>IF(I286=0,0,IF(G286=5,0,(AC286+AF286/12)*12*BASE!$C$7))</f>
        <v>0</v>
      </c>
      <c r="AM286" s="14">
        <f>IF(I286=0,0,IF(G286=5,0,(AC286+AF286/12)*12*BASE!$C$9))</f>
        <v>0</v>
      </c>
      <c r="AN286" s="412">
        <f>IF(I286=0,0,IF(G286=5,0,(AD286+AF286+AG286)*BASE!$C$10))</f>
        <v>0</v>
      </c>
      <c r="AO286" s="838">
        <f t="shared" si="108"/>
        <v>0</v>
      </c>
      <c r="AP286" s="601" t="str">
        <f t="shared" si="64"/>
        <v>Sin datos</v>
      </c>
      <c r="AQ286" s="1150" t="s">
        <v>1255</v>
      </c>
      <c r="AR286" s="1149"/>
    </row>
    <row r="287" spans="1:87" ht="13.5" customHeight="1" outlineLevel="1" x14ac:dyDescent="0.2">
      <c r="A287" s="368" t="s">
        <v>584</v>
      </c>
      <c r="B287" s="1030" t="s">
        <v>1449</v>
      </c>
      <c r="C287" s="1031" t="s">
        <v>536</v>
      </c>
      <c r="D287" s="1032">
        <f>IF(E287="","",VLOOKUP(E287,BASE!$F$20:$H$25,2,FALSE))</f>
        <v>5</v>
      </c>
      <c r="E287" s="1033" t="s">
        <v>538</v>
      </c>
      <c r="F287" s="1034" t="s">
        <v>546</v>
      </c>
      <c r="G287" s="437">
        <f>IF(F287="","",VLOOKUP(F287,BASE!$B$15:$C$18,2,FALSE))</f>
        <v>3</v>
      </c>
      <c r="H287" s="520">
        <v>0</v>
      </c>
      <c r="I287" s="424">
        <v>20</v>
      </c>
      <c r="J287" s="399">
        <v>6</v>
      </c>
      <c r="K287" s="354">
        <v>2</v>
      </c>
      <c r="L287" s="354">
        <v>2</v>
      </c>
      <c r="M287" s="399">
        <v>10</v>
      </c>
      <c r="N287" s="399"/>
      <c r="O287" s="355">
        <f t="shared" si="96"/>
        <v>20</v>
      </c>
      <c r="P287" s="354"/>
      <c r="Q287" s="354"/>
      <c r="R287" s="355">
        <f t="shared" si="97"/>
        <v>0</v>
      </c>
      <c r="S287" s="354"/>
      <c r="T287" s="354"/>
      <c r="U287" s="354"/>
      <c r="V287" s="355">
        <f t="shared" si="98"/>
        <v>0</v>
      </c>
      <c r="W287" s="354"/>
      <c r="X287" s="355">
        <f t="shared" si="99"/>
        <v>20</v>
      </c>
      <c r="Y287" s="19" t="str">
        <f t="shared" si="100"/>
        <v xml:space="preserve">OK </v>
      </c>
      <c r="Z287" s="404" t="str">
        <f t="shared" si="101"/>
        <v>AJUSTE</v>
      </c>
      <c r="AA287" s="20">
        <f>ROUND((IF(D287=1,(BASE!$G$51*I287),IF(D287=2,(BASE!$G$52*I287),IF(D287=3,(BASE!$G$53*I287),IF(D287=4,(BASE!$G$54*I287),IF(D287=5,(BASE!$G$55*I287),IF(D287=6,(BASE!$G$56*I287),0)))))))/1000,0)*1000</f>
        <v>1780000</v>
      </c>
      <c r="AB287" s="481">
        <v>0</v>
      </c>
      <c r="AC287" s="20">
        <f t="shared" si="107"/>
        <v>1780000</v>
      </c>
      <c r="AD287" s="478">
        <f>IF(G287=3,AC287*BASE!$I$62,IF(G287=1,AC287*(BASE!$I$61),IF(G287=2,AC287*(BASE!$I$63),AC287*BASE!$I$64)))</f>
        <v>19046000</v>
      </c>
      <c r="AE287" s="411">
        <f>IF(I287&lt;10,0,IF(AC287&lt;=BASE!$C$3*2,BASE!$C$2,0)*(AD287/AC287))</f>
        <v>0</v>
      </c>
      <c r="AF287" s="13">
        <v>0</v>
      </c>
      <c r="AG287" s="14">
        <f t="shared" si="102"/>
        <v>1058111.1111111112</v>
      </c>
      <c r="AH287" s="14">
        <f t="shared" si="103"/>
        <v>1675343</v>
      </c>
      <c r="AI287" s="14">
        <f t="shared" si="104"/>
        <v>1675342.5925925926</v>
      </c>
      <c r="AJ287" s="14">
        <f t="shared" si="105"/>
        <v>184287.6851851852</v>
      </c>
      <c r="AK287" s="14">
        <f>IF(I287=0,0,IF(G287=5,0,(AC287+AF287/12)*12*BASE!$C$5))</f>
        <v>1815600.0000000002</v>
      </c>
      <c r="AL287" s="14">
        <f>IF(I287=0,0,IF(G287=5,0,(AC287+AF287/12)*12*BASE!$C$7))</f>
        <v>2563200</v>
      </c>
      <c r="AM287" s="14">
        <f>IF(I287=0,0,IF(G287=5,0,(AC287+AF287/12)*12*BASE!$C$9))</f>
        <v>111499.2</v>
      </c>
      <c r="AN287" s="412">
        <f>IF(I287=0,0,IF(G287=5,0,(AD287+AF287+AG287)*BASE!$C$10))</f>
        <v>1809370</v>
      </c>
      <c r="AO287" s="838">
        <f t="shared" si="108"/>
        <v>29938753.588888891</v>
      </c>
      <c r="AP287" s="601">
        <f t="shared" si="64"/>
        <v>1.5719181764616661</v>
      </c>
      <c r="AQ287" s="1150" t="s">
        <v>1457</v>
      </c>
      <c r="AR287" s="1149"/>
    </row>
    <row r="288" spans="1:87" ht="13.5" customHeight="1" outlineLevel="1" x14ac:dyDescent="0.2">
      <c r="A288" s="368" t="s">
        <v>584</v>
      </c>
      <c r="B288" s="589" t="s">
        <v>1451</v>
      </c>
      <c r="C288" s="427" t="s">
        <v>1318</v>
      </c>
      <c r="D288" s="434">
        <f>IF(E288="","",VLOOKUP(E288,BASE!$F$20:$H$25,2,FALSE))</f>
        <v>4</v>
      </c>
      <c r="E288" s="399" t="s">
        <v>539</v>
      </c>
      <c r="F288" s="436" t="s">
        <v>546</v>
      </c>
      <c r="G288" s="437">
        <f>IF(F288="","",VLOOKUP(F288,BASE!$B$15:$C$18,2,FALSE))</f>
        <v>3</v>
      </c>
      <c r="H288" s="520">
        <v>0</v>
      </c>
      <c r="I288" s="1058">
        <v>20</v>
      </c>
      <c r="J288" s="354">
        <v>4</v>
      </c>
      <c r="K288" s="354">
        <v>2</v>
      </c>
      <c r="L288" s="354">
        <v>2</v>
      </c>
      <c r="M288" s="354"/>
      <c r="N288" s="354"/>
      <c r="O288" s="355">
        <f t="shared" si="96"/>
        <v>8</v>
      </c>
      <c r="P288" s="354">
        <v>12</v>
      </c>
      <c r="Q288" s="354"/>
      <c r="R288" s="355">
        <f t="shared" si="97"/>
        <v>12</v>
      </c>
      <c r="S288" s="354"/>
      <c r="T288" s="354"/>
      <c r="U288" s="354"/>
      <c r="V288" s="355">
        <f t="shared" si="98"/>
        <v>0</v>
      </c>
      <c r="W288" s="354"/>
      <c r="X288" s="355">
        <f t="shared" si="99"/>
        <v>20</v>
      </c>
      <c r="Y288" s="19" t="str">
        <f t="shared" si="100"/>
        <v xml:space="preserve">OK </v>
      </c>
      <c r="Z288" s="404" t="str">
        <f t="shared" si="101"/>
        <v>AJUSTE</v>
      </c>
      <c r="AA288" s="20">
        <f>ROUND((IF(D288=1,(BASE!$G$51*I288),IF(D288=2,(BASE!$G$52*I288),IF(D288=3,(BASE!$G$53*I288),IF(D288=4,(BASE!$G$54*I288),IF(D288=5,(BASE!$G$55*I288),IF(D288=6,(BASE!$G$56*I288),0)))))))/1000,0)*1000</f>
        <v>2228000</v>
      </c>
      <c r="AB288" s="481">
        <v>0</v>
      </c>
      <c r="AC288" s="20">
        <f t="shared" si="107"/>
        <v>2228000</v>
      </c>
      <c r="AD288" s="478">
        <f>IF(G288=3,AC288*BASE!$I$62,IF(G288=1,AC288*(BASE!$I$61),IF(G288=2,AC288*(BASE!$I$63),AC288*BASE!$I$64)))</f>
        <v>23839600</v>
      </c>
      <c r="AE288" s="411">
        <f>IF(I288&lt;10,0,IF(AC288&lt;=BASE!$C$3*2,BASE!$C$2,0)*(AD288/AC288))</f>
        <v>0</v>
      </c>
      <c r="AF288" s="13">
        <v>0</v>
      </c>
      <c r="AG288" s="14">
        <f t="shared" si="102"/>
        <v>1324422.2222222222</v>
      </c>
      <c r="AH288" s="14">
        <f t="shared" si="103"/>
        <v>2097002</v>
      </c>
      <c r="AI288" s="14">
        <f t="shared" si="104"/>
        <v>2097001.8518518517</v>
      </c>
      <c r="AJ288" s="14">
        <f t="shared" si="105"/>
        <v>230670.20370370368</v>
      </c>
      <c r="AK288" s="14">
        <f>IF(I288=0,0,IF(G288=5,0,(AC288+AF288/12)*12*BASE!$C$5))</f>
        <v>2272560</v>
      </c>
      <c r="AL288" s="14">
        <f>IF(I288=0,0,IF(G288=5,0,(AC288+AF288/12)*12*BASE!$C$7))</f>
        <v>3208320</v>
      </c>
      <c r="AM288" s="14">
        <f>IF(I288=0,0,IF(G288=5,0,(AC288+AF288/12)*12*BASE!$C$9))</f>
        <v>139561.91999999998</v>
      </c>
      <c r="AN288" s="412">
        <f>IF(I288=0,0,IF(G288=5,0,(AD288+AF288+AG288)*BASE!$C$10))</f>
        <v>2264762</v>
      </c>
      <c r="AO288" s="838">
        <f t="shared" si="108"/>
        <v>37473900.197777778</v>
      </c>
      <c r="AP288" s="601">
        <f t="shared" si="64"/>
        <v>1.571918161285331</v>
      </c>
      <c r="AQ288" s="1148"/>
      <c r="AR288" s="1149"/>
    </row>
    <row r="289" spans="1:44" ht="13.5" customHeight="1" outlineLevel="1" x14ac:dyDescent="0.2">
      <c r="A289" s="368" t="s">
        <v>584</v>
      </c>
      <c r="B289" s="589" t="s">
        <v>1434</v>
      </c>
      <c r="C289" s="427" t="s">
        <v>542</v>
      </c>
      <c r="D289" s="434">
        <f>IF(E289="","",VLOOKUP(E289,BASE!$F$20:$H$25,2,FALSE))</f>
        <v>3</v>
      </c>
      <c r="E289" s="399" t="s">
        <v>540</v>
      </c>
      <c r="F289" s="436" t="s">
        <v>546</v>
      </c>
      <c r="G289" s="437">
        <f>IF(F289="","",VLOOKUP(F289,BASE!$B$15:$C$18,2,FALSE))</f>
        <v>3</v>
      </c>
      <c r="H289" s="520">
        <v>0</v>
      </c>
      <c r="I289" s="424">
        <v>20</v>
      </c>
      <c r="J289" s="354">
        <v>12</v>
      </c>
      <c r="K289" s="354">
        <v>4</v>
      </c>
      <c r="L289" s="354">
        <v>4</v>
      </c>
      <c r="M289" s="354"/>
      <c r="N289" s="354"/>
      <c r="O289" s="355">
        <f t="shared" si="96"/>
        <v>20</v>
      </c>
      <c r="P289" s="354"/>
      <c r="Q289" s="354"/>
      <c r="R289" s="355">
        <f t="shared" si="97"/>
        <v>0</v>
      </c>
      <c r="S289" s="354"/>
      <c r="T289" s="354"/>
      <c r="U289" s="354"/>
      <c r="V289" s="355">
        <f t="shared" si="98"/>
        <v>0</v>
      </c>
      <c r="W289" s="354"/>
      <c r="X289" s="355">
        <f t="shared" si="99"/>
        <v>20</v>
      </c>
      <c r="Y289" s="19" t="str">
        <f t="shared" si="100"/>
        <v xml:space="preserve">OK </v>
      </c>
      <c r="Z289" s="404" t="str">
        <f t="shared" si="101"/>
        <v>AJUSTE</v>
      </c>
      <c r="AA289" s="20">
        <f>ROUND((IF(D289=1,(BASE!$G$51*I289),IF(D289=2,(BASE!$G$52*I289),IF(D289=3,(BASE!$G$53*I289),IF(D289=4,(BASE!$G$54*I289),IF(D289=5,(BASE!$G$55*I289),IF(D289=6,(BASE!$G$56*I289),0)))))))/1000,0)*1000</f>
        <v>2736000</v>
      </c>
      <c r="AB289" s="481">
        <v>0</v>
      </c>
      <c r="AC289" s="20">
        <f t="shared" si="107"/>
        <v>2736000</v>
      </c>
      <c r="AD289" s="478">
        <f>IF(G289=3,AC289*BASE!$I$62,IF(G289=1,AC289*(BASE!$I$61),IF(G289=2,AC289*(BASE!$I$63),AC289*BASE!$I$64)))</f>
        <v>29275199.999999996</v>
      </c>
      <c r="AE289" s="411">
        <f>IF(I289&lt;10,0,IF(AC289&lt;=BASE!$C$3*2,BASE!$C$2,0)*(AD289/AC289))</f>
        <v>0</v>
      </c>
      <c r="AF289" s="13">
        <v>0</v>
      </c>
      <c r="AG289" s="14">
        <f t="shared" si="102"/>
        <v>1626399.9999999998</v>
      </c>
      <c r="AH289" s="14">
        <f t="shared" si="103"/>
        <v>2575133</v>
      </c>
      <c r="AI289" s="14">
        <f t="shared" si="104"/>
        <v>2575133.333333333</v>
      </c>
      <c r="AJ289" s="14">
        <f t="shared" si="105"/>
        <v>283264.66666666663</v>
      </c>
      <c r="AK289" s="14">
        <f>IF(I289=0,0,IF(G289=5,0,(AC289+AF289/12)*12*BASE!$C$5))</f>
        <v>2790720</v>
      </c>
      <c r="AL289" s="14">
        <f>IF(I289=0,0,IF(G289=5,0,(AC289+AF289/12)*12*BASE!$C$7))</f>
        <v>3939840</v>
      </c>
      <c r="AM289" s="14">
        <f>IF(I289=0,0,IF(G289=5,0,(AC289+AF289/12)*12*BASE!$C$9))</f>
        <v>171383.04000000001</v>
      </c>
      <c r="AN289" s="412">
        <f>IF(I289=0,0,IF(G289=5,0,(AD289+AF289+AG289)*BASE!$C$10))</f>
        <v>2781143.9999999995</v>
      </c>
      <c r="AO289" s="838">
        <f t="shared" si="108"/>
        <v>46018218.039999992</v>
      </c>
      <c r="AP289" s="601">
        <f t="shared" si="64"/>
        <v>1.5719181436847569</v>
      </c>
      <c r="AQ289" s="1148"/>
      <c r="AR289" s="1149"/>
    </row>
    <row r="290" spans="1:44" ht="13.5" customHeight="1" outlineLevel="1" x14ac:dyDescent="0.2">
      <c r="A290" s="368" t="s">
        <v>584</v>
      </c>
      <c r="B290" s="589" t="s">
        <v>1452</v>
      </c>
      <c r="C290" s="427" t="s">
        <v>542</v>
      </c>
      <c r="D290" s="434">
        <f>IF(E290="","",VLOOKUP(E290,BASE!$F$20:$H$25,2,FALSE))</f>
        <v>3</v>
      </c>
      <c r="E290" s="399" t="s">
        <v>540</v>
      </c>
      <c r="F290" s="436" t="s">
        <v>546</v>
      </c>
      <c r="G290" s="437">
        <f>IF(F290="","",VLOOKUP(F290,BASE!$B$15:$C$18,2,FALSE))</f>
        <v>3</v>
      </c>
      <c r="H290" s="520">
        <v>0</v>
      </c>
      <c r="I290" s="1058">
        <v>20</v>
      </c>
      <c r="J290" s="354"/>
      <c r="K290" s="354"/>
      <c r="L290" s="354"/>
      <c r="M290" s="354"/>
      <c r="N290" s="354"/>
      <c r="O290" s="355">
        <f t="shared" si="96"/>
        <v>0</v>
      </c>
      <c r="P290" s="354"/>
      <c r="Q290" s="354"/>
      <c r="R290" s="355">
        <f t="shared" si="97"/>
        <v>0</v>
      </c>
      <c r="S290" s="354"/>
      <c r="T290" s="354"/>
      <c r="U290" s="354"/>
      <c r="V290" s="355">
        <f t="shared" si="98"/>
        <v>0</v>
      </c>
      <c r="W290" s="354"/>
      <c r="X290" s="355">
        <f t="shared" si="99"/>
        <v>0</v>
      </c>
      <c r="Y290" s="19" t="str">
        <f t="shared" si="100"/>
        <v>AJUSTE</v>
      </c>
      <c r="Z290" s="404" t="str">
        <f t="shared" si="101"/>
        <v>AJUSTE</v>
      </c>
      <c r="AA290" s="20">
        <f>ROUND((IF(D290=1,(BASE!$G$51*I290),IF(D290=2,(BASE!$G$52*I290),IF(D290=3,(BASE!$G$53*I290),IF(D290=4,(BASE!$G$54*I290),IF(D290=5,(BASE!$G$55*I290),IF(D290=6,(BASE!$G$56*I290),0)))))))/1000,0)*1000</f>
        <v>2736000</v>
      </c>
      <c r="AB290" s="481">
        <v>0</v>
      </c>
      <c r="AC290" s="20">
        <f t="shared" si="107"/>
        <v>2736000</v>
      </c>
      <c r="AD290" s="478">
        <f>IF(G290=3,AC290*BASE!$I$62,IF(G290=1,AC290*(BASE!$I$61),IF(G290=2,AC290*(BASE!$I$63),AC290*BASE!$I$64)))</f>
        <v>29275199.999999996</v>
      </c>
      <c r="AE290" s="411">
        <f>IF(I290&lt;10,0,IF(AC290&lt;=BASE!$C$3*2,BASE!$C$2,0)*(AD290/AC290))</f>
        <v>0</v>
      </c>
      <c r="AF290" s="13">
        <v>0</v>
      </c>
      <c r="AG290" s="14">
        <f t="shared" si="102"/>
        <v>1626399.9999999998</v>
      </c>
      <c r="AH290" s="14">
        <f t="shared" si="103"/>
        <v>2575133</v>
      </c>
      <c r="AI290" s="14">
        <f t="shared" si="104"/>
        <v>2575133.333333333</v>
      </c>
      <c r="AJ290" s="14">
        <f t="shared" si="105"/>
        <v>283264.66666666663</v>
      </c>
      <c r="AK290" s="14">
        <f>IF(I290=0,0,IF(G290=5,0,(AC290+AF290/12)*12*BASE!$C$5))</f>
        <v>2790720</v>
      </c>
      <c r="AL290" s="14">
        <f>IF(I290=0,0,IF(G290=5,0,(AC290+AF290/12)*12*BASE!$C$7))</f>
        <v>3939840</v>
      </c>
      <c r="AM290" s="14">
        <f>IF(I290=0,0,IF(G290=5,0,(AC290+AF290/12)*12*BASE!$C$9))</f>
        <v>171383.04000000001</v>
      </c>
      <c r="AN290" s="412">
        <f>IF(I290=0,0,IF(G290=5,0,(AD290+AF290+AG290)*BASE!$C$10))</f>
        <v>2781143.9999999995</v>
      </c>
      <c r="AO290" s="838">
        <f t="shared" si="108"/>
        <v>46018218.039999992</v>
      </c>
      <c r="AP290" s="601">
        <f t="shared" si="64"/>
        <v>1.5719181436847569</v>
      </c>
      <c r="AQ290" s="1151" t="s">
        <v>1456</v>
      </c>
      <c r="AR290" s="1152"/>
    </row>
    <row r="291" spans="1:44" ht="13.5" customHeight="1" outlineLevel="1" x14ac:dyDescent="0.2">
      <c r="A291" s="368" t="s">
        <v>584</v>
      </c>
      <c r="B291" s="589" t="s">
        <v>1435</v>
      </c>
      <c r="C291" s="427"/>
      <c r="D291" s="434">
        <f>IF(E291="","",VLOOKUP(E291,BASE!$F$20:$H$25,2,FALSE))</f>
        <v>3</v>
      </c>
      <c r="E291" s="399" t="s">
        <v>540</v>
      </c>
      <c r="F291" s="436" t="s">
        <v>546</v>
      </c>
      <c r="G291" s="437">
        <f>IF(F291="","",VLOOKUP(F291,BASE!$B$15:$C$18,2,FALSE))</f>
        <v>3</v>
      </c>
      <c r="H291" s="520">
        <v>0</v>
      </c>
      <c r="I291" s="1058">
        <v>20</v>
      </c>
      <c r="J291" s="399">
        <v>6</v>
      </c>
      <c r="K291" s="399">
        <v>2</v>
      </c>
      <c r="L291" s="399">
        <v>2</v>
      </c>
      <c r="M291" s="354"/>
      <c r="N291" s="354"/>
      <c r="O291" s="355">
        <f t="shared" si="96"/>
        <v>10</v>
      </c>
      <c r="P291" s="354">
        <v>10</v>
      </c>
      <c r="Q291" s="354"/>
      <c r="R291" s="355">
        <f t="shared" si="97"/>
        <v>10</v>
      </c>
      <c r="S291" s="354"/>
      <c r="T291" s="354"/>
      <c r="U291" s="354"/>
      <c r="V291" s="355">
        <f t="shared" si="98"/>
        <v>0</v>
      </c>
      <c r="W291" s="354"/>
      <c r="X291" s="355">
        <f t="shared" si="99"/>
        <v>20</v>
      </c>
      <c r="Y291" s="19" t="str">
        <f t="shared" si="100"/>
        <v xml:space="preserve">OK </v>
      </c>
      <c r="Z291" s="404" t="str">
        <f t="shared" si="101"/>
        <v>AJUSTE</v>
      </c>
      <c r="AA291" s="20">
        <f>ROUND((IF(D291=1,(BASE!$G$51*I291),IF(D291=2,(BASE!$G$52*I291),IF(D291=3,(BASE!$G$53*I291),IF(D291=4,(BASE!$G$54*I291),IF(D291=5,(BASE!$G$55*I291),IF(D291=6,(BASE!$G$56*I291),0)))))))/1000,0)*1000</f>
        <v>2736000</v>
      </c>
      <c r="AB291" s="481">
        <v>0</v>
      </c>
      <c r="AC291" s="20">
        <f t="shared" si="107"/>
        <v>2736000</v>
      </c>
      <c r="AD291" s="478">
        <f>IF(G291=3,AC291*BASE!$I$62,IF(G291=1,AC291*(BASE!$I$61),IF(G291=2,AC291*(BASE!$I$63),AC291*BASE!$I$64)))</f>
        <v>29275199.999999996</v>
      </c>
      <c r="AE291" s="411">
        <f>IF(I291&lt;10,0,IF(AC291&lt;=BASE!$C$3*2,BASE!$C$2,0)*(AD291/AC291))</f>
        <v>0</v>
      </c>
      <c r="AF291" s="13">
        <v>0</v>
      </c>
      <c r="AG291" s="14">
        <f t="shared" si="102"/>
        <v>1626399.9999999998</v>
      </c>
      <c r="AH291" s="14">
        <f t="shared" si="103"/>
        <v>2575133</v>
      </c>
      <c r="AI291" s="14">
        <f t="shared" si="104"/>
        <v>2575133.333333333</v>
      </c>
      <c r="AJ291" s="14">
        <f t="shared" si="105"/>
        <v>283264.66666666663</v>
      </c>
      <c r="AK291" s="14">
        <f>IF(I291=0,0,IF(G291=5,0,(AC291+AF291/12)*12*BASE!$C$5))</f>
        <v>2790720</v>
      </c>
      <c r="AL291" s="14">
        <f>IF(I291=0,0,IF(G291=5,0,(AC291+AF291/12)*12*BASE!$C$7))</f>
        <v>3939840</v>
      </c>
      <c r="AM291" s="14">
        <f>IF(I291=0,0,IF(G291=5,0,(AC291+AF291/12)*12*BASE!$C$9))</f>
        <v>171383.04000000001</v>
      </c>
      <c r="AN291" s="412">
        <f>IF(I291=0,0,IF(G291=5,0,(AD291+AF291+AG291)*BASE!$C$10))</f>
        <v>2781143.9999999995</v>
      </c>
      <c r="AO291" s="838">
        <f t="shared" si="108"/>
        <v>46018218.039999992</v>
      </c>
      <c r="AP291" s="601">
        <f t="shared" si="64"/>
        <v>1.5719181436847569</v>
      </c>
      <c r="AQ291" s="1151" t="s">
        <v>1456</v>
      </c>
      <c r="AR291" s="1152"/>
    </row>
    <row r="292" spans="1:44" ht="13.5" customHeight="1" outlineLevel="1" x14ac:dyDescent="0.2">
      <c r="A292" s="368" t="s">
        <v>584</v>
      </c>
      <c r="B292" s="589" t="s">
        <v>1436</v>
      </c>
      <c r="C292" s="427" t="s">
        <v>535</v>
      </c>
      <c r="D292" s="434">
        <f>IF(E292="","",VLOOKUP(E292,BASE!$F$20:$H$25,2,FALSE))</f>
        <v>5</v>
      </c>
      <c r="E292" s="399" t="s">
        <v>538</v>
      </c>
      <c r="F292" s="436" t="s">
        <v>546</v>
      </c>
      <c r="G292" s="437">
        <f>IF(F292="","",VLOOKUP(F292,BASE!$B$15:$C$18,2,FALSE))</f>
        <v>3</v>
      </c>
      <c r="H292" s="520">
        <v>0</v>
      </c>
      <c r="I292" s="424">
        <v>20</v>
      </c>
      <c r="J292" s="399">
        <v>10</v>
      </c>
      <c r="K292" s="399">
        <v>2</v>
      </c>
      <c r="L292" s="399">
        <v>2</v>
      </c>
      <c r="M292" s="399">
        <v>2</v>
      </c>
      <c r="N292" s="399">
        <v>4</v>
      </c>
      <c r="O292" s="355">
        <f t="shared" si="96"/>
        <v>20</v>
      </c>
      <c r="P292" s="354"/>
      <c r="Q292" s="354"/>
      <c r="R292" s="355">
        <f t="shared" si="97"/>
        <v>0</v>
      </c>
      <c r="S292" s="354"/>
      <c r="T292" s="354"/>
      <c r="U292" s="354"/>
      <c r="V292" s="355">
        <f t="shared" si="98"/>
        <v>0</v>
      </c>
      <c r="W292" s="354"/>
      <c r="X292" s="355">
        <f t="shared" si="99"/>
        <v>20</v>
      </c>
      <c r="Y292" s="19" t="str">
        <f t="shared" si="100"/>
        <v xml:space="preserve">OK </v>
      </c>
      <c r="Z292" s="404" t="str">
        <f t="shared" si="101"/>
        <v>AJUSTE</v>
      </c>
      <c r="AA292" s="20">
        <f>ROUND((IF(D292=1,(BASE!$G$51*I292),IF(D292=2,(BASE!$G$52*I292),IF(D292=3,(BASE!$G$53*I292),IF(D292=4,(BASE!$G$54*I292),IF(D292=5,(BASE!$G$55*I292),IF(D292=6,(BASE!$G$56*I292),0)))))))/1000,0)*1000</f>
        <v>1780000</v>
      </c>
      <c r="AB292" s="481">
        <v>0</v>
      </c>
      <c r="AC292" s="20">
        <f t="shared" si="107"/>
        <v>1780000</v>
      </c>
      <c r="AD292" s="478">
        <f>IF(G292=3,AC292*BASE!$I$62,IF(G292=1,AC292*(BASE!$I$61),IF(G292=2,AC292*(BASE!$I$63),AC292*BASE!$I$64)))</f>
        <v>19046000</v>
      </c>
      <c r="AE292" s="411">
        <f>IF(I292&lt;10,0,IF(AC292&lt;=BASE!$C$3*2,BASE!$C$2,0)*(AD292/AC292))</f>
        <v>0</v>
      </c>
      <c r="AF292" s="13">
        <v>0</v>
      </c>
      <c r="AG292" s="14">
        <f t="shared" si="102"/>
        <v>1058111.1111111112</v>
      </c>
      <c r="AH292" s="14">
        <f t="shared" si="103"/>
        <v>1675343</v>
      </c>
      <c r="AI292" s="14">
        <f t="shared" si="104"/>
        <v>1675342.5925925926</v>
      </c>
      <c r="AJ292" s="14">
        <f t="shared" si="105"/>
        <v>184287.6851851852</v>
      </c>
      <c r="AK292" s="14">
        <f>IF(I292=0,0,IF(G292=5,0,(AC292+AF292/12)*12*BASE!$C$5))</f>
        <v>1815600.0000000002</v>
      </c>
      <c r="AL292" s="14">
        <f>IF(I292=0,0,IF(G292=5,0,(AC292+AF292/12)*12*BASE!$C$7))</f>
        <v>2563200</v>
      </c>
      <c r="AM292" s="14">
        <f>IF(I292=0,0,IF(G292=5,0,(AC292+AF292/12)*12*BASE!$C$9))</f>
        <v>111499.2</v>
      </c>
      <c r="AN292" s="412">
        <f>IF(I292=0,0,IF(G292=5,0,(AD292+AF292+AG292)*BASE!$C$10))</f>
        <v>1809370</v>
      </c>
      <c r="AO292" s="838">
        <f t="shared" si="108"/>
        <v>29938753.588888891</v>
      </c>
      <c r="AP292" s="601">
        <f t="shared" si="64"/>
        <v>1.5719181764616661</v>
      </c>
      <c r="AQ292" s="1148"/>
      <c r="AR292" s="1149"/>
    </row>
    <row r="293" spans="1:44" ht="13.5" customHeight="1" outlineLevel="1" x14ac:dyDescent="0.2">
      <c r="A293" s="368" t="s">
        <v>584</v>
      </c>
      <c r="B293" s="1030"/>
      <c r="C293" s="427"/>
      <c r="D293" s="434" t="str">
        <f>IF(E293="","",VLOOKUP(E293,BASE!$F$20:$H$25,2,FALSE))</f>
        <v/>
      </c>
      <c r="E293" s="399"/>
      <c r="F293" s="436"/>
      <c r="G293" s="437" t="str">
        <f>IF(F293="","",VLOOKUP(F293,BASE!$B$15:$C$18,2,FALSE))</f>
        <v/>
      </c>
      <c r="H293" s="520">
        <v>0</v>
      </c>
      <c r="I293" s="424">
        <v>0</v>
      </c>
      <c r="J293" s="354"/>
      <c r="K293" s="354"/>
      <c r="L293" s="354"/>
      <c r="M293" s="354"/>
      <c r="N293" s="354"/>
      <c r="O293" s="355">
        <f t="shared" si="96"/>
        <v>0</v>
      </c>
      <c r="P293" s="354"/>
      <c r="Q293" s="354"/>
      <c r="R293" s="355">
        <f t="shared" si="97"/>
        <v>0</v>
      </c>
      <c r="S293" s="354"/>
      <c r="T293" s="354"/>
      <c r="U293" s="354"/>
      <c r="V293" s="355">
        <f t="shared" si="98"/>
        <v>0</v>
      </c>
      <c r="W293" s="354"/>
      <c r="X293" s="355">
        <f t="shared" si="99"/>
        <v>0</v>
      </c>
      <c r="Y293" s="19" t="str">
        <f t="shared" si="100"/>
        <v xml:space="preserve">OK </v>
      </c>
      <c r="Z293" s="404" t="str">
        <f t="shared" si="101"/>
        <v xml:space="preserve"> </v>
      </c>
      <c r="AA293" s="20">
        <f>ROUND((IF(D293=1,(BASE!$G$51*I293),IF(D293=2,(BASE!$G$52*I293),IF(D293=3,(BASE!$G$53*I293),IF(D293=4,(BASE!$G$54*I293),IF(D293=5,(BASE!$G$55*I293),IF(D293=6,(BASE!$G$56*I293),0)))))))/1000,0)*1000</f>
        <v>0</v>
      </c>
      <c r="AB293" s="481">
        <v>0</v>
      </c>
      <c r="AC293" s="20">
        <f t="shared" si="107"/>
        <v>0</v>
      </c>
      <c r="AD293" s="478">
        <f>IF(G293=3,AC293*BASE!$I$62,IF(G293=1,AC293*(BASE!$I$61),IF(G293=2,AC293*(BASE!$I$63),AC293*BASE!$I$64)))</f>
        <v>0</v>
      </c>
      <c r="AE293" s="411">
        <f>IF(I293&lt;10,0,IF(AC293&lt;=BASE!$C$3*2,BASE!$C$2,0)*(AD293/AC293))</f>
        <v>0</v>
      </c>
      <c r="AF293" s="13">
        <v>0</v>
      </c>
      <c r="AG293" s="14">
        <f t="shared" si="102"/>
        <v>0</v>
      </c>
      <c r="AH293" s="14">
        <f t="shared" si="103"/>
        <v>0</v>
      </c>
      <c r="AI293" s="14">
        <f t="shared" si="104"/>
        <v>0</v>
      </c>
      <c r="AJ293" s="14">
        <f t="shared" si="105"/>
        <v>0</v>
      </c>
      <c r="AK293" s="14">
        <f>IF(I293=0,0,IF(G293=5,0,(AC293+AF293/12)*12*BASE!$C$5))</f>
        <v>0</v>
      </c>
      <c r="AL293" s="14">
        <f>IF(I293=0,0,IF(G293=5,0,(AC293+AF293/12)*12*BASE!$C$7))</f>
        <v>0</v>
      </c>
      <c r="AM293" s="14">
        <f>IF(I293=0,0,IF(G293=5,0,(AC293+AF293/12)*12*BASE!$C$9))</f>
        <v>0</v>
      </c>
      <c r="AN293" s="412">
        <f>IF(I293=0,0,IF(G293=5,0,(AD293+AF293+AG293)*BASE!$C$10))</f>
        <v>0</v>
      </c>
      <c r="AO293" s="838">
        <f t="shared" si="108"/>
        <v>0</v>
      </c>
      <c r="AP293" s="601" t="str">
        <f t="shared" si="64"/>
        <v>Sin datos</v>
      </c>
      <c r="AQ293" s="1148"/>
      <c r="AR293" s="1149"/>
    </row>
    <row r="294" spans="1:44" ht="13.5" customHeight="1" outlineLevel="1" x14ac:dyDescent="0.2">
      <c r="A294" s="368" t="s">
        <v>584</v>
      </c>
      <c r="B294" s="589" t="s">
        <v>1365</v>
      </c>
      <c r="C294" s="427" t="s">
        <v>542</v>
      </c>
      <c r="D294" s="434">
        <f>IF(E294="","",VLOOKUP(E294,BASE!$F$20:$H$25,2,FALSE))</f>
        <v>3</v>
      </c>
      <c r="E294" s="399" t="s">
        <v>540</v>
      </c>
      <c r="F294" s="436" t="s">
        <v>546</v>
      </c>
      <c r="G294" s="437">
        <f>IF(F294="","",VLOOKUP(F294,BASE!$B$15:$C$18,2,FALSE))</f>
        <v>3</v>
      </c>
      <c r="H294" s="520">
        <v>0</v>
      </c>
      <c r="I294" s="424">
        <v>10</v>
      </c>
      <c r="J294" s="354"/>
      <c r="K294" s="354"/>
      <c r="L294" s="354"/>
      <c r="M294" s="354"/>
      <c r="N294" s="354"/>
      <c r="O294" s="355">
        <f t="shared" si="96"/>
        <v>0</v>
      </c>
      <c r="P294" s="354"/>
      <c r="Q294" s="354"/>
      <c r="R294" s="355">
        <f t="shared" si="97"/>
        <v>0</v>
      </c>
      <c r="S294" s="354">
        <v>10</v>
      </c>
      <c r="T294" s="354"/>
      <c r="U294" s="354"/>
      <c r="V294" s="355">
        <f t="shared" si="98"/>
        <v>10</v>
      </c>
      <c r="W294" s="354"/>
      <c r="X294" s="355">
        <f t="shared" si="99"/>
        <v>10</v>
      </c>
      <c r="Y294" s="19" t="str">
        <f t="shared" si="100"/>
        <v xml:space="preserve">OK </v>
      </c>
      <c r="Z294" s="404" t="str">
        <f t="shared" si="101"/>
        <v>AJUSTE</v>
      </c>
      <c r="AA294" s="20">
        <f>ROUND((IF(D294=1,(BASE!$G$51*I294),IF(D294=2,(BASE!$G$52*I294),IF(D294=3,(BASE!$G$53*I294),IF(D294=4,(BASE!$G$54*I294),IF(D294=5,(BASE!$G$55*I294),IF(D294=6,(BASE!$G$56*I294),0)))))))/1000,0)*1000</f>
        <v>1368000</v>
      </c>
      <c r="AB294" s="481">
        <v>0</v>
      </c>
      <c r="AC294" s="20">
        <f t="shared" si="107"/>
        <v>1368000</v>
      </c>
      <c r="AD294" s="478">
        <f>IF(G294=3,AC294*BASE!$I$62,IF(G294=1,AC294*(BASE!$I$61),IF(G294=2,AC294*(BASE!$I$63),AC294*BASE!$I$64)))</f>
        <v>14637599.999999998</v>
      </c>
      <c r="AE294" s="411">
        <f>IF(I294&lt;10,0,IF(AC294&lt;=BASE!$C$3*2,BASE!$C$2,0)*(AD294/AC294))</f>
        <v>943857.7</v>
      </c>
      <c r="AF294" s="13">
        <v>0</v>
      </c>
      <c r="AG294" s="14">
        <f t="shared" si="102"/>
        <v>813199.99999999988</v>
      </c>
      <c r="AH294" s="14">
        <f t="shared" si="103"/>
        <v>1366221</v>
      </c>
      <c r="AI294" s="14">
        <f t="shared" si="104"/>
        <v>1366221.4749999999</v>
      </c>
      <c r="AJ294" s="14">
        <f t="shared" si="105"/>
        <v>150284.36224999998</v>
      </c>
      <c r="AK294" s="14">
        <f>IF(I294=0,0,IF(G294=5,0,(AC294+AF294/12)*12*BASE!$C$5))</f>
        <v>1395360</v>
      </c>
      <c r="AL294" s="14">
        <f>IF(I294=0,0,IF(G294=5,0,(AC294+AF294/12)*12*BASE!$C$7))</f>
        <v>1969920</v>
      </c>
      <c r="AM294" s="14">
        <f>IF(I294=0,0,IF(G294=5,0,(AC294+AF294/12)*12*BASE!$C$9))</f>
        <v>85691.520000000004</v>
      </c>
      <c r="AN294" s="412">
        <f>IF(I294=0,0,IF(G294=5,0,(AD294+AF294+AG294)*BASE!$C$10))</f>
        <v>1390571.9999999998</v>
      </c>
      <c r="AO294" s="838">
        <f t="shared" si="108"/>
        <v>24118928.057249997</v>
      </c>
      <c r="AP294" s="601">
        <f t="shared" si="64"/>
        <v>1.6477378844380226</v>
      </c>
      <c r="AQ294" s="1148"/>
      <c r="AR294" s="1149"/>
    </row>
    <row r="295" spans="1:44" ht="13.5" customHeight="1" outlineLevel="1" x14ac:dyDescent="0.2">
      <c r="A295" s="368" t="s">
        <v>584</v>
      </c>
      <c r="B295" s="589" t="s">
        <v>1366</v>
      </c>
      <c r="C295" s="427" t="s">
        <v>536</v>
      </c>
      <c r="D295" s="434">
        <f>IF(E295="","",VLOOKUP(E295,BASE!$F$20:$H$25,2,FALSE))</f>
        <v>4</v>
      </c>
      <c r="E295" s="399" t="s">
        <v>539</v>
      </c>
      <c r="F295" s="436" t="s">
        <v>546</v>
      </c>
      <c r="G295" s="437">
        <f>IF(F295="","",VLOOKUP(F295,BASE!$B$15:$C$18,2,FALSE))</f>
        <v>3</v>
      </c>
      <c r="H295" s="520">
        <v>0</v>
      </c>
      <c r="I295" s="424">
        <v>10</v>
      </c>
      <c r="J295" s="354"/>
      <c r="K295" s="354"/>
      <c r="L295" s="354"/>
      <c r="M295" s="354"/>
      <c r="N295" s="354"/>
      <c r="O295" s="355">
        <f t="shared" si="96"/>
        <v>0</v>
      </c>
      <c r="P295" s="354"/>
      <c r="Q295" s="354"/>
      <c r="R295" s="355">
        <f t="shared" si="97"/>
        <v>0</v>
      </c>
      <c r="S295" s="354">
        <v>10</v>
      </c>
      <c r="T295" s="354"/>
      <c r="U295" s="354"/>
      <c r="V295" s="355">
        <f t="shared" si="98"/>
        <v>10</v>
      </c>
      <c r="W295" s="354"/>
      <c r="X295" s="355">
        <f t="shared" si="99"/>
        <v>10</v>
      </c>
      <c r="Y295" s="19" t="str">
        <f t="shared" si="100"/>
        <v xml:space="preserve">OK </v>
      </c>
      <c r="Z295" s="404" t="str">
        <f t="shared" si="101"/>
        <v>AJUSTE</v>
      </c>
      <c r="AA295" s="20">
        <f>ROUND((IF(D295=1,(BASE!$G$51*I295),IF(D295=2,(BASE!$G$52*I295),IF(D295=3,(BASE!$G$53*I295),IF(D295=4,(BASE!$G$54*I295),IF(D295=5,(BASE!$G$55*I295),IF(D295=6,(BASE!$G$56*I295),0)))))))/1000,0)*1000</f>
        <v>1114000</v>
      </c>
      <c r="AB295" s="481">
        <v>0</v>
      </c>
      <c r="AC295" s="20">
        <f t="shared" si="107"/>
        <v>1114000</v>
      </c>
      <c r="AD295" s="478">
        <f>IF(G295=3,AC295*BASE!$I$62,IF(G295=1,AC295*(BASE!$I$61),IF(G295=2,AC295*(BASE!$I$63),AC295*BASE!$I$64)))</f>
        <v>11919800</v>
      </c>
      <c r="AE295" s="411">
        <f>IF(I295&lt;10,0,IF(AC295&lt;=BASE!$C$3*2,BASE!$C$2,0)*(AD295/AC295))</f>
        <v>943857.7</v>
      </c>
      <c r="AF295" s="13">
        <v>0</v>
      </c>
      <c r="AG295" s="14">
        <f t="shared" si="102"/>
        <v>662211.11111111112</v>
      </c>
      <c r="AH295" s="14">
        <f t="shared" si="103"/>
        <v>1127156</v>
      </c>
      <c r="AI295" s="14">
        <f t="shared" si="104"/>
        <v>1127155.7342592592</v>
      </c>
      <c r="AJ295" s="14">
        <f t="shared" si="105"/>
        <v>123987.13076851852</v>
      </c>
      <c r="AK295" s="14">
        <f>IF(I295=0,0,IF(G295=5,0,(AC295+AF295/12)*12*BASE!$C$5))</f>
        <v>1136280</v>
      </c>
      <c r="AL295" s="14">
        <f>IF(I295=0,0,IF(G295=5,0,(AC295+AF295/12)*12*BASE!$C$7))</f>
        <v>1604160</v>
      </c>
      <c r="AM295" s="14">
        <f>IF(I295=0,0,IF(G295=5,0,(AC295+AF295/12)*12*BASE!$C$9))</f>
        <v>69780.959999999992</v>
      </c>
      <c r="AN295" s="412">
        <f>IF(I295=0,0,IF(G295=5,0,(AD295+AF295+AG295)*BASE!$C$10))</f>
        <v>1132381</v>
      </c>
      <c r="AO295" s="838">
        <f t="shared" si="108"/>
        <v>19846769.63613889</v>
      </c>
      <c r="AP295" s="601">
        <f t="shared" si="64"/>
        <v>1.6650253893638223</v>
      </c>
      <c r="AQ295" s="1148"/>
      <c r="AR295" s="1149"/>
    </row>
    <row r="296" spans="1:44" ht="13.5" customHeight="1" outlineLevel="1" x14ac:dyDescent="0.2">
      <c r="A296" s="368" t="s">
        <v>585</v>
      </c>
      <c r="B296" s="589" t="s">
        <v>1367</v>
      </c>
      <c r="C296" s="427" t="s">
        <v>536</v>
      </c>
      <c r="D296" s="434">
        <f>IF(E296="","",VLOOKUP(E296,BASE!$F$20:$H$25,2,FALSE))</f>
        <v>4</v>
      </c>
      <c r="E296" s="399" t="s">
        <v>539</v>
      </c>
      <c r="F296" s="436" t="s">
        <v>546</v>
      </c>
      <c r="G296" s="437">
        <f>IF(F296="","",VLOOKUP(F296,BASE!$B$15:$C$18,2,FALSE))</f>
        <v>3</v>
      </c>
      <c r="H296" s="520">
        <v>0</v>
      </c>
      <c r="I296" s="424">
        <v>10</v>
      </c>
      <c r="J296" s="354"/>
      <c r="K296" s="354"/>
      <c r="L296" s="354"/>
      <c r="M296" s="354"/>
      <c r="N296" s="354"/>
      <c r="O296" s="355">
        <f t="shared" si="96"/>
        <v>0</v>
      </c>
      <c r="P296" s="354"/>
      <c r="Q296" s="354"/>
      <c r="R296" s="355">
        <f t="shared" si="97"/>
        <v>0</v>
      </c>
      <c r="S296" s="354">
        <v>10</v>
      </c>
      <c r="T296" s="354"/>
      <c r="U296" s="354"/>
      <c r="V296" s="355">
        <f t="shared" si="98"/>
        <v>10</v>
      </c>
      <c r="W296" s="354"/>
      <c r="X296" s="355">
        <f t="shared" si="99"/>
        <v>10</v>
      </c>
      <c r="Y296" s="19" t="str">
        <f t="shared" si="100"/>
        <v xml:space="preserve">OK </v>
      </c>
      <c r="Z296" s="404" t="str">
        <f t="shared" si="101"/>
        <v>AJUSTE</v>
      </c>
      <c r="AA296" s="20">
        <f>ROUND((IF(D296=1,(BASE!$G$51*I296),IF(D296=2,(BASE!$G$52*I296),IF(D296=3,(BASE!$G$53*I296),IF(D296=4,(BASE!$G$54*I296),IF(D296=5,(BASE!$G$55*I296),IF(D296=6,(BASE!$G$56*I296),0)))))))/1000,0)*1000</f>
        <v>1114000</v>
      </c>
      <c r="AB296" s="481">
        <v>0</v>
      </c>
      <c r="AC296" s="20">
        <f t="shared" ref="AC296:AC311" si="109">AA296+AB296</f>
        <v>1114000</v>
      </c>
      <c r="AD296" s="478">
        <f>IF(G296=3,AC296*BASE!$I$62,IF(G296=1,AC296*(BASE!$I$61),IF(G296=2,AC296*(BASE!$I$63),AC296*BASE!$I$64)))</f>
        <v>11919800</v>
      </c>
      <c r="AE296" s="411">
        <f>IF(I296&lt;10,0,IF(AC296&lt;=BASE!$C$3*2,BASE!$C$2,0)*(AD296/AC296))</f>
        <v>943857.7</v>
      </c>
      <c r="AF296" s="13">
        <v>0</v>
      </c>
      <c r="AG296" s="14">
        <f t="shared" si="102"/>
        <v>662211.11111111112</v>
      </c>
      <c r="AH296" s="14">
        <f t="shared" si="103"/>
        <v>1127156</v>
      </c>
      <c r="AI296" s="14">
        <f t="shared" si="104"/>
        <v>1127155.7342592592</v>
      </c>
      <c r="AJ296" s="14">
        <f t="shared" si="105"/>
        <v>123987.13076851852</v>
      </c>
      <c r="AK296" s="14">
        <f>IF(I296=0,0,IF(G296=5,0,(AC296+AF296/12)*12*BASE!$C$5))</f>
        <v>1136280</v>
      </c>
      <c r="AL296" s="14">
        <f>IF(I296=0,0,IF(G296=5,0,(AC296+AF296/12)*12*BASE!$C$7))</f>
        <v>1604160</v>
      </c>
      <c r="AM296" s="14">
        <f>IF(I296=0,0,IF(G296=5,0,(AC296+AF296/12)*12*BASE!$C$9))</f>
        <v>69780.959999999992</v>
      </c>
      <c r="AN296" s="412">
        <f>IF(I296=0,0,IF(G296=5,0,(AD296+AF296+AG296)*BASE!$C$10))</f>
        <v>1132381</v>
      </c>
      <c r="AO296" s="838">
        <f t="shared" si="106"/>
        <v>19846769.63613889</v>
      </c>
      <c r="AP296" s="601">
        <f t="shared" si="64"/>
        <v>1.6650253893638223</v>
      </c>
      <c r="AQ296" s="1148"/>
      <c r="AR296" s="1149"/>
    </row>
    <row r="297" spans="1:44" ht="13.5" customHeight="1" outlineLevel="1" x14ac:dyDescent="0.2">
      <c r="A297" s="368" t="s">
        <v>586</v>
      </c>
      <c r="B297" s="589" t="s">
        <v>1439</v>
      </c>
      <c r="C297" s="427" t="s">
        <v>534</v>
      </c>
      <c r="D297" s="434">
        <f>IF(E297="","",VLOOKUP(E297,BASE!$F$20:$H$25,2,FALSE))</f>
        <v>1</v>
      </c>
      <c r="E297" s="399" t="s">
        <v>168</v>
      </c>
      <c r="F297" s="436" t="s">
        <v>546</v>
      </c>
      <c r="G297" s="437">
        <f>IF(F297="","",VLOOKUP(F297,BASE!$B$15:$C$18,2,FALSE))</f>
        <v>3</v>
      </c>
      <c r="H297" s="520">
        <v>0</v>
      </c>
      <c r="I297" s="424">
        <v>40</v>
      </c>
      <c r="J297" s="354"/>
      <c r="K297" s="354"/>
      <c r="L297" s="354"/>
      <c r="M297" s="354"/>
      <c r="N297" s="354"/>
      <c r="O297" s="355">
        <f t="shared" si="96"/>
        <v>0</v>
      </c>
      <c r="P297" s="354">
        <v>10</v>
      </c>
      <c r="Q297" s="354">
        <v>30</v>
      </c>
      <c r="R297" s="355">
        <f t="shared" si="97"/>
        <v>40</v>
      </c>
      <c r="S297" s="354"/>
      <c r="T297" s="354"/>
      <c r="U297" s="354"/>
      <c r="V297" s="355">
        <f t="shared" si="98"/>
        <v>0</v>
      </c>
      <c r="W297" s="354"/>
      <c r="X297" s="355">
        <f t="shared" si="99"/>
        <v>40</v>
      </c>
      <c r="Y297" s="19" t="str">
        <f t="shared" si="100"/>
        <v xml:space="preserve">OK </v>
      </c>
      <c r="Z297" s="404" t="str">
        <f t="shared" si="101"/>
        <v>AJUSTE</v>
      </c>
      <c r="AA297" s="20">
        <v>2368000</v>
      </c>
      <c r="AB297" s="481">
        <v>0</v>
      </c>
      <c r="AC297" s="20">
        <f t="shared" si="109"/>
        <v>2368000</v>
      </c>
      <c r="AD297" s="478">
        <f>IF(G297=3,AC297*BASE!$I$62,IF(G297=1,AC297*(BASE!$I$61),IF(G297=2,AC297*(BASE!$I$63),AC297*BASE!$I$64)))</f>
        <v>25337600</v>
      </c>
      <c r="AE297" s="411">
        <f>IF(I297&lt;10,0,IF(AC297&lt;=BASE!$C$3*2,BASE!$C$2,0)*(AD297/AC297))</f>
        <v>0</v>
      </c>
      <c r="AF297" s="13">
        <v>0</v>
      </c>
      <c r="AG297" s="14">
        <f t="shared" si="102"/>
        <v>1407644.4444444443</v>
      </c>
      <c r="AH297" s="14">
        <f t="shared" si="103"/>
        <v>2228770</v>
      </c>
      <c r="AI297" s="14">
        <f t="shared" si="104"/>
        <v>2228770.3703703703</v>
      </c>
      <c r="AJ297" s="14">
        <f t="shared" si="105"/>
        <v>245164.74074074073</v>
      </c>
      <c r="AK297" s="14">
        <f>IF(I297=0,0,IF(G297=5,0,(AC297+AF297/12)*12*BASE!$C$5))</f>
        <v>2415360</v>
      </c>
      <c r="AL297" s="14">
        <f>IF(I297=0,0,IF(G297=5,0,(AC297+AF297/12)*12*BASE!$C$7))</f>
        <v>3409920</v>
      </c>
      <c r="AM297" s="14">
        <f>IF(I297=0,0,IF(G297=5,0,(AC297+AF297/12)*12*BASE!$C$9))</f>
        <v>148331.51999999999</v>
      </c>
      <c r="AN297" s="412">
        <f>IF(I297=0,0,IF(G297=5,0,(AD297+AF297+AG297)*BASE!$C$10))</f>
        <v>2407072</v>
      </c>
      <c r="AO297" s="838">
        <f t="shared" si="106"/>
        <v>39828633.075555556</v>
      </c>
      <c r="AP297" s="601">
        <f t="shared" si="64"/>
        <v>1.5719181404535376</v>
      </c>
      <c r="AQ297" s="1148"/>
      <c r="AR297" s="1149"/>
    </row>
    <row r="298" spans="1:44" ht="13.5" customHeight="1" outlineLevel="1" x14ac:dyDescent="0.2">
      <c r="A298" s="368" t="s">
        <v>587</v>
      </c>
      <c r="B298" s="1030" t="s">
        <v>1439</v>
      </c>
      <c r="C298" s="427" t="s">
        <v>534</v>
      </c>
      <c r="D298" s="434">
        <f>IF(E298="","",VLOOKUP(E298,BASE!$F$20:$H$25,2,FALSE))</f>
        <v>1</v>
      </c>
      <c r="E298" s="399" t="s">
        <v>168</v>
      </c>
      <c r="F298" s="436" t="s">
        <v>546</v>
      </c>
      <c r="G298" s="437">
        <f>IF(F298="","",VLOOKUP(F298,BASE!$B$15:$C$18,2,FALSE))</f>
        <v>3</v>
      </c>
      <c r="H298" s="520">
        <v>0</v>
      </c>
      <c r="I298" s="424">
        <v>40</v>
      </c>
      <c r="J298" s="354"/>
      <c r="K298" s="354"/>
      <c r="L298" s="354"/>
      <c r="M298" s="354"/>
      <c r="N298" s="354"/>
      <c r="O298" s="355">
        <f t="shared" si="96"/>
        <v>0</v>
      </c>
      <c r="P298" s="354">
        <v>10</v>
      </c>
      <c r="Q298" s="354">
        <v>30</v>
      </c>
      <c r="R298" s="355">
        <f t="shared" si="97"/>
        <v>40</v>
      </c>
      <c r="S298" s="354"/>
      <c r="T298" s="354"/>
      <c r="U298" s="354"/>
      <c r="V298" s="355">
        <f t="shared" si="98"/>
        <v>0</v>
      </c>
      <c r="W298" s="354"/>
      <c r="X298" s="355">
        <f t="shared" si="99"/>
        <v>40</v>
      </c>
      <c r="Y298" s="19" t="str">
        <f t="shared" si="100"/>
        <v xml:space="preserve">OK </v>
      </c>
      <c r="Z298" s="404" t="str">
        <f t="shared" si="101"/>
        <v>AJUSTE</v>
      </c>
      <c r="AA298" s="20">
        <v>2368000</v>
      </c>
      <c r="AB298" s="481">
        <v>0</v>
      </c>
      <c r="AC298" s="20">
        <f t="shared" si="109"/>
        <v>2368000</v>
      </c>
      <c r="AD298" s="478">
        <f>IF(G298=3,AC298*BASE!$I$62,IF(G298=1,AC298*(BASE!$I$61),IF(G298=2,AC298*(BASE!$I$63),AC298*BASE!$I$64)))</f>
        <v>25337600</v>
      </c>
      <c r="AE298" s="411">
        <f>IF(I298&lt;10,0,IF(AC298&lt;=BASE!$C$3*2,BASE!$C$2,0)*(AD298/AC298))</f>
        <v>0</v>
      </c>
      <c r="AF298" s="13">
        <v>0</v>
      </c>
      <c r="AG298" s="14">
        <f t="shared" si="102"/>
        <v>1407644.4444444443</v>
      </c>
      <c r="AH298" s="14">
        <f t="shared" si="103"/>
        <v>2228770</v>
      </c>
      <c r="AI298" s="14">
        <f t="shared" si="104"/>
        <v>2228770.3703703703</v>
      </c>
      <c r="AJ298" s="14">
        <f t="shared" si="105"/>
        <v>245164.74074074073</v>
      </c>
      <c r="AK298" s="14">
        <f>IF(I298=0,0,IF(G298=5,0,(AC298+AF298/12)*12*BASE!$C$5))</f>
        <v>2415360</v>
      </c>
      <c r="AL298" s="14">
        <f>IF(I298=0,0,IF(G298=5,0,(AC298+AF298/12)*12*BASE!$C$7))</f>
        <v>3409920</v>
      </c>
      <c r="AM298" s="14">
        <f>IF(I298=0,0,IF(G298=5,0,(AC298+AF298/12)*12*BASE!$C$9))</f>
        <v>148331.51999999999</v>
      </c>
      <c r="AN298" s="412">
        <f>IF(I298=0,0,IF(G298=5,0,(AD298+AF298+AG298)*BASE!$C$10))</f>
        <v>2407072</v>
      </c>
      <c r="AO298" s="838">
        <f t="shared" si="106"/>
        <v>39828633.075555556</v>
      </c>
      <c r="AP298" s="601">
        <f t="shared" si="64"/>
        <v>1.5719181404535376</v>
      </c>
      <c r="AQ298" s="1148"/>
      <c r="AR298" s="1149"/>
    </row>
    <row r="299" spans="1:44" ht="13.5" customHeight="1" outlineLevel="1" x14ac:dyDescent="0.2">
      <c r="A299" s="368" t="s">
        <v>588</v>
      </c>
      <c r="B299" s="589" t="s">
        <v>1440</v>
      </c>
      <c r="C299" s="427" t="s">
        <v>536</v>
      </c>
      <c r="D299" s="434">
        <f>IF(E299="","",VLOOKUP(E299,BASE!$F$20:$H$25,2,FALSE))</f>
        <v>5</v>
      </c>
      <c r="E299" s="399" t="s">
        <v>538</v>
      </c>
      <c r="F299" s="436" t="s">
        <v>546</v>
      </c>
      <c r="G299" s="437">
        <f>IF(F299="","",VLOOKUP(F299,BASE!$B$15:$C$18,2,FALSE))</f>
        <v>3</v>
      </c>
      <c r="H299" s="520">
        <v>0</v>
      </c>
      <c r="I299" s="1058">
        <v>40</v>
      </c>
      <c r="J299" s="354">
        <v>15</v>
      </c>
      <c r="K299" s="354">
        <v>3</v>
      </c>
      <c r="L299" s="354">
        <v>3</v>
      </c>
      <c r="M299" s="399">
        <v>2</v>
      </c>
      <c r="N299" s="399"/>
      <c r="O299" s="355">
        <f t="shared" si="96"/>
        <v>23</v>
      </c>
      <c r="P299" s="399">
        <v>10</v>
      </c>
      <c r="Q299" s="399">
        <v>5</v>
      </c>
      <c r="R299" s="355">
        <f t="shared" si="97"/>
        <v>15</v>
      </c>
      <c r="S299" s="354"/>
      <c r="T299" s="354"/>
      <c r="U299" s="354"/>
      <c r="V299" s="355">
        <f t="shared" si="98"/>
        <v>0</v>
      </c>
      <c r="W299" s="354">
        <v>2</v>
      </c>
      <c r="X299" s="355">
        <f t="shared" si="99"/>
        <v>40</v>
      </c>
      <c r="Y299" s="19" t="str">
        <f t="shared" si="100"/>
        <v xml:space="preserve">OK </v>
      </c>
      <c r="Z299" s="404" t="str">
        <f t="shared" si="101"/>
        <v>AJUSTE</v>
      </c>
      <c r="AA299" s="20">
        <f>ROUND((IF(D299=1,(BASE!$G$51*I299),IF(D299=2,(BASE!$G$52*I299),IF(D299=3,(BASE!$G$53*I299),IF(D299=4,(BASE!$G$54*I299),IF(D299=5,(BASE!$G$55*I299),IF(D299=6,(BASE!$G$56*I299),0)))))))/1000,0)*1000</f>
        <v>3560000</v>
      </c>
      <c r="AB299" s="481">
        <v>0</v>
      </c>
      <c r="AC299" s="20">
        <f t="shared" si="109"/>
        <v>3560000</v>
      </c>
      <c r="AD299" s="478">
        <f>IF(G299=3,AC299*BASE!$I$62,IF(G299=1,AC299*(BASE!$I$61),IF(G299=2,AC299*(BASE!$I$63),AC299*BASE!$I$64)))</f>
        <v>38092000</v>
      </c>
      <c r="AE299" s="411">
        <f>IF(I299&lt;10,0,IF(AC299&lt;=BASE!$C$3*2,BASE!$C$2,0)*(AD299/AC299))</f>
        <v>0</v>
      </c>
      <c r="AF299" s="13">
        <v>0</v>
      </c>
      <c r="AG299" s="14">
        <f t="shared" si="102"/>
        <v>2116222.2222222225</v>
      </c>
      <c r="AH299" s="14">
        <f t="shared" si="103"/>
        <v>3350685</v>
      </c>
      <c r="AI299" s="14">
        <f t="shared" si="104"/>
        <v>3350685.1851851852</v>
      </c>
      <c r="AJ299" s="14">
        <f t="shared" si="105"/>
        <v>368575.37037037039</v>
      </c>
      <c r="AK299" s="14">
        <f>IF(I299=0,0,IF(G299=5,0,(AC299+AF299/12)*12*BASE!$C$5))</f>
        <v>3631200.0000000005</v>
      </c>
      <c r="AL299" s="14">
        <f>IF(I299=0,0,IF(G299=5,0,(AC299+AF299/12)*12*BASE!$C$7))</f>
        <v>5126400</v>
      </c>
      <c r="AM299" s="14">
        <f>IF(I299=0,0,IF(G299=5,0,(AC299+AF299/12)*12*BASE!$C$9))</f>
        <v>222998.39999999999</v>
      </c>
      <c r="AN299" s="412">
        <f>IF(I299=0,0,IF(G299=5,0,(AD299+AF299+AG299)*BASE!$C$10))</f>
        <v>3618740</v>
      </c>
      <c r="AO299" s="838">
        <f t="shared" si="106"/>
        <v>59877506.177777782</v>
      </c>
      <c r="AP299" s="601">
        <f t="shared" si="64"/>
        <v>1.5719181502094346</v>
      </c>
      <c r="AQ299" s="1150" t="s">
        <v>1460</v>
      </c>
      <c r="AR299" s="1149"/>
    </row>
    <row r="300" spans="1:44" ht="13.5" customHeight="1" outlineLevel="1" x14ac:dyDescent="0.2">
      <c r="A300" s="368" t="s">
        <v>589</v>
      </c>
      <c r="B300" s="589" t="s">
        <v>1453</v>
      </c>
      <c r="C300" s="427" t="s">
        <v>536</v>
      </c>
      <c r="D300" s="434">
        <f>IF(E300="","",VLOOKUP(E300,BASE!$F$20:$H$25,2,FALSE))</f>
        <v>4</v>
      </c>
      <c r="E300" s="399" t="s">
        <v>539</v>
      </c>
      <c r="F300" s="436" t="s">
        <v>546</v>
      </c>
      <c r="G300" s="437">
        <f>IF(F300="","",VLOOKUP(F300,BASE!$B$15:$C$18,2,FALSE))</f>
        <v>3</v>
      </c>
      <c r="H300" s="520">
        <v>0</v>
      </c>
      <c r="I300" s="424">
        <v>10</v>
      </c>
      <c r="J300" s="354">
        <v>2</v>
      </c>
      <c r="K300" s="354">
        <v>1</v>
      </c>
      <c r="L300" s="354">
        <v>1</v>
      </c>
      <c r="M300" s="399">
        <v>1</v>
      </c>
      <c r="N300" s="354"/>
      <c r="O300" s="355">
        <f t="shared" si="96"/>
        <v>5</v>
      </c>
      <c r="P300" s="354"/>
      <c r="Q300" s="354"/>
      <c r="R300" s="355">
        <f t="shared" si="97"/>
        <v>0</v>
      </c>
      <c r="S300" s="354"/>
      <c r="T300" s="354">
        <v>5</v>
      </c>
      <c r="U300" s="354"/>
      <c r="V300" s="355">
        <f t="shared" si="98"/>
        <v>5</v>
      </c>
      <c r="W300" s="354"/>
      <c r="X300" s="355">
        <f t="shared" si="99"/>
        <v>10</v>
      </c>
      <c r="Y300" s="19" t="str">
        <f t="shared" si="100"/>
        <v xml:space="preserve">OK </v>
      </c>
      <c r="Z300" s="404" t="str">
        <f t="shared" si="101"/>
        <v>AJUSTE</v>
      </c>
      <c r="AA300" s="20">
        <f>ROUND((IF(D300=1,(BASE!$G$51*I300),IF(D300=2,(BASE!$G$52*I300),IF(D300=3,(BASE!$G$53*I300),IF(D300=4,(BASE!$G$54*I300),IF(D300=5,(BASE!$G$55*I300),IF(D300=6,(BASE!$G$56*I300),0)))))))/1000,0)*1000</f>
        <v>1114000</v>
      </c>
      <c r="AB300" s="481">
        <v>0</v>
      </c>
      <c r="AC300" s="20">
        <f t="shared" si="109"/>
        <v>1114000</v>
      </c>
      <c r="AD300" s="478">
        <f>IF(G300=3,AC300*BASE!$I$62,IF(G300=1,AC300*(BASE!$I$61),IF(G300=2,AC300*(BASE!$I$63),AC300*BASE!$I$64)))</f>
        <v>11919800</v>
      </c>
      <c r="AE300" s="411">
        <f>IF(I300&lt;10,0,IF(AC300&lt;=BASE!$C$3*2,BASE!$C$2,0)*(AD300/AC300))</f>
        <v>943857.7</v>
      </c>
      <c r="AF300" s="13">
        <v>0</v>
      </c>
      <c r="AG300" s="14">
        <f t="shared" si="102"/>
        <v>662211.11111111112</v>
      </c>
      <c r="AH300" s="14">
        <f t="shared" si="103"/>
        <v>1127156</v>
      </c>
      <c r="AI300" s="14">
        <f t="shared" si="104"/>
        <v>1127155.7342592592</v>
      </c>
      <c r="AJ300" s="14">
        <f t="shared" si="105"/>
        <v>123987.13076851852</v>
      </c>
      <c r="AK300" s="14">
        <f>IF(I300=0,0,IF(G300=5,0,(AC300+AF300/12)*12*BASE!$C$5))</f>
        <v>1136280</v>
      </c>
      <c r="AL300" s="14">
        <f>IF(I300=0,0,IF(G300=5,0,(AC300+AF300/12)*12*BASE!$C$7))</f>
        <v>1604160</v>
      </c>
      <c r="AM300" s="14">
        <f>IF(I300=0,0,IF(G300=5,0,(AC300+AF300/12)*12*BASE!$C$9))</f>
        <v>69780.959999999992</v>
      </c>
      <c r="AN300" s="412">
        <f>IF(I300=0,0,IF(G300=5,0,(AD300+AF300+AG300)*BASE!$C$10))</f>
        <v>1132381</v>
      </c>
      <c r="AO300" s="838">
        <f t="shared" si="106"/>
        <v>19846769.63613889</v>
      </c>
      <c r="AP300" s="601">
        <f t="shared" si="64"/>
        <v>1.6650253893638223</v>
      </c>
      <c r="AQ300" s="1148"/>
      <c r="AR300" s="1149"/>
    </row>
    <row r="301" spans="1:44" ht="13.5" customHeight="1" outlineLevel="1" x14ac:dyDescent="0.2">
      <c r="A301" s="368" t="s">
        <v>590</v>
      </c>
      <c r="B301" s="589" t="s">
        <v>1441</v>
      </c>
      <c r="C301" s="427" t="s">
        <v>542</v>
      </c>
      <c r="D301" s="434">
        <f>IF(E301="","",VLOOKUP(E301,BASE!$F$20:$H$25,2,FALSE))</f>
        <v>2</v>
      </c>
      <c r="E301" s="399" t="s">
        <v>541</v>
      </c>
      <c r="F301" s="436" t="s">
        <v>863</v>
      </c>
      <c r="G301" s="437">
        <f>IF(F301="","",VLOOKUP(F301,BASE!$B$15:$C$18,2,FALSE))</f>
        <v>4</v>
      </c>
      <c r="H301" s="520">
        <v>0</v>
      </c>
      <c r="I301" s="424">
        <v>40</v>
      </c>
      <c r="J301" s="354">
        <v>2</v>
      </c>
      <c r="K301" s="354">
        <v>1</v>
      </c>
      <c r="L301" s="354">
        <v>1</v>
      </c>
      <c r="M301" s="399">
        <v>1</v>
      </c>
      <c r="N301" s="354"/>
      <c r="O301" s="355">
        <f t="shared" si="96"/>
        <v>5</v>
      </c>
      <c r="P301" s="399">
        <v>10</v>
      </c>
      <c r="Q301" s="399">
        <v>25</v>
      </c>
      <c r="R301" s="355">
        <f t="shared" si="97"/>
        <v>35</v>
      </c>
      <c r="S301" s="354"/>
      <c r="T301" s="354"/>
      <c r="U301" s="354"/>
      <c r="V301" s="355">
        <f t="shared" si="98"/>
        <v>0</v>
      </c>
      <c r="W301" s="354"/>
      <c r="X301" s="355">
        <f t="shared" si="99"/>
        <v>40</v>
      </c>
      <c r="Y301" s="19" t="str">
        <f t="shared" si="100"/>
        <v xml:space="preserve">OK </v>
      </c>
      <c r="Z301" s="404" t="str">
        <f t="shared" si="101"/>
        <v>AJUSTE</v>
      </c>
      <c r="AA301" s="20">
        <f>ROUND((IF(D301=1,(BASE!$G$51*I301),IF(D301=2,(BASE!$G$52*I301),IF(D301=3,(BASE!$G$53*I301),IF(D301=4,(BASE!$G$54*I301),IF(D301=5,(BASE!$G$55*I301),IF(D301=6,(BASE!$G$56*I301),0)))))))/1000,0)*1000</f>
        <v>8016000</v>
      </c>
      <c r="AB301" s="481">
        <v>0</v>
      </c>
      <c r="AC301" s="20">
        <f t="shared" si="109"/>
        <v>8016000</v>
      </c>
      <c r="AD301" s="478">
        <f>IF(G301=3,AC301*BASE!$I$62,IF(G301=1,AC301*(BASE!$I$61),IF(G301=2,AC301*(BASE!$I$63),AC301*BASE!$I$64)))</f>
        <v>91115200</v>
      </c>
      <c r="AE301" s="411">
        <f>IF(I301&lt;10,0,IF(AC301&lt;=BASE!$C$3*2,BASE!$C$2,0)*(AD301/AC301))</f>
        <v>0</v>
      </c>
      <c r="AF301" s="13">
        <v>0</v>
      </c>
      <c r="AG301" s="14">
        <f t="shared" si="102"/>
        <v>5061955.555555555</v>
      </c>
      <c r="AH301" s="14">
        <f t="shared" si="103"/>
        <v>8014763</v>
      </c>
      <c r="AI301" s="14">
        <f t="shared" si="104"/>
        <v>8014762.9629629627</v>
      </c>
      <c r="AJ301" s="14">
        <f t="shared" si="105"/>
        <v>961771.5555555555</v>
      </c>
      <c r="AK301" s="14">
        <f>IF(I301=0,0,IF(G301=5,0,(AC301+AF301/12)*12*BASE!$C$5))</f>
        <v>8176320.0000000009</v>
      </c>
      <c r="AL301" s="14">
        <f>IF(I301=0,0,IF(G301=5,0,(AC301+AF301/12)*12*BASE!$C$7))</f>
        <v>11543040</v>
      </c>
      <c r="AM301" s="14">
        <f>IF(I301=0,0,IF(G301=5,0,(AC301+AF301/12)*12*BASE!$C$9))</f>
        <v>502122.23999999999</v>
      </c>
      <c r="AN301" s="412">
        <f>IF(I301=0,0,IF(G301=5,0,(AD301+AF301+AG301)*BASE!$C$10))</f>
        <v>8655944</v>
      </c>
      <c r="AO301" s="838">
        <f t="shared" si="106"/>
        <v>142045879.31407404</v>
      </c>
      <c r="AP301" s="601">
        <f t="shared" si="64"/>
        <v>1.5589701752734344</v>
      </c>
      <c r="AQ301" s="1148"/>
      <c r="AR301" s="1149"/>
    </row>
    <row r="302" spans="1:44" ht="13.5" customHeight="1" outlineLevel="1" x14ac:dyDescent="0.2">
      <c r="A302" s="368" t="s">
        <v>591</v>
      </c>
      <c r="B302" s="589" t="s">
        <v>1442</v>
      </c>
      <c r="C302" s="427" t="s">
        <v>536</v>
      </c>
      <c r="D302" s="434">
        <f>IF(E302="","",VLOOKUP(E302,BASE!$F$20:$H$25,2,FALSE))</f>
        <v>3</v>
      </c>
      <c r="E302" s="399" t="s">
        <v>540</v>
      </c>
      <c r="F302" s="436" t="s">
        <v>546</v>
      </c>
      <c r="G302" s="437">
        <f>IF(F302="","",VLOOKUP(F302,BASE!$B$15:$C$18,2,FALSE))</f>
        <v>3</v>
      </c>
      <c r="H302" s="520">
        <v>0</v>
      </c>
      <c r="I302" s="424">
        <v>20</v>
      </c>
      <c r="J302" s="399">
        <v>10</v>
      </c>
      <c r="K302" s="399">
        <v>2</v>
      </c>
      <c r="L302" s="399">
        <v>2</v>
      </c>
      <c r="M302" s="399">
        <v>2</v>
      </c>
      <c r="N302" s="399">
        <v>4</v>
      </c>
      <c r="O302" s="355">
        <f t="shared" si="96"/>
        <v>20</v>
      </c>
      <c r="P302" s="354"/>
      <c r="Q302" s="354"/>
      <c r="R302" s="355">
        <f t="shared" si="97"/>
        <v>0</v>
      </c>
      <c r="S302" s="354"/>
      <c r="T302" s="354"/>
      <c r="U302" s="354"/>
      <c r="V302" s="355">
        <f t="shared" si="98"/>
        <v>0</v>
      </c>
      <c r="W302" s="354"/>
      <c r="X302" s="355">
        <f t="shared" si="99"/>
        <v>20</v>
      </c>
      <c r="Y302" s="19" t="str">
        <f t="shared" si="100"/>
        <v xml:space="preserve">OK </v>
      </c>
      <c r="Z302" s="404" t="str">
        <f t="shared" si="101"/>
        <v>AJUSTE</v>
      </c>
      <c r="AA302" s="20">
        <f>ROUND((IF(D302=1,(BASE!$G$51*I302),IF(D302=2,(BASE!$G$52*I302),IF(D302=3,(BASE!$G$53*I302),IF(D302=4,(BASE!$G$54*I302),IF(D302=5,(BASE!$G$55*I302),IF(D302=6,(BASE!$G$56*I302),0)))))))/1000,0)*1000</f>
        <v>2736000</v>
      </c>
      <c r="AB302" s="481">
        <v>0</v>
      </c>
      <c r="AC302" s="20">
        <f t="shared" si="109"/>
        <v>2736000</v>
      </c>
      <c r="AD302" s="478">
        <f>IF(G302=3,AC302*BASE!$I$62,IF(G302=1,AC302*(BASE!$I$61),IF(G302=2,AC302*(BASE!$I$63),AC302*BASE!$I$64)))</f>
        <v>29275199.999999996</v>
      </c>
      <c r="AE302" s="411">
        <f>IF(I302&lt;10,0,IF(AC302&lt;=BASE!$C$3*2,BASE!$C$2,0)*(AD302/AC302))</f>
        <v>0</v>
      </c>
      <c r="AF302" s="13">
        <v>0</v>
      </c>
      <c r="AG302" s="14">
        <f t="shared" si="102"/>
        <v>1626399.9999999998</v>
      </c>
      <c r="AH302" s="14">
        <f t="shared" si="103"/>
        <v>2575133</v>
      </c>
      <c r="AI302" s="14">
        <f t="shared" si="104"/>
        <v>2575133.333333333</v>
      </c>
      <c r="AJ302" s="14">
        <f t="shared" si="105"/>
        <v>283264.66666666663</v>
      </c>
      <c r="AK302" s="14">
        <f>IF(I302=0,0,IF(G302=5,0,(AC302+AF302/12)*12*BASE!$C$5))</f>
        <v>2790720</v>
      </c>
      <c r="AL302" s="14">
        <f>IF(I302=0,0,IF(G302=5,0,(AC302+AF302/12)*12*BASE!$C$7))</f>
        <v>3939840</v>
      </c>
      <c r="AM302" s="14">
        <f>IF(I302=0,0,IF(G302=5,0,(AC302+AF302/12)*12*BASE!$C$9))</f>
        <v>171383.04000000001</v>
      </c>
      <c r="AN302" s="412">
        <f>IF(I302=0,0,IF(G302=5,0,(AD302+AF302+AG302)*BASE!$C$10))</f>
        <v>2781143.9999999995</v>
      </c>
      <c r="AO302" s="838">
        <f t="shared" si="106"/>
        <v>46018218.039999992</v>
      </c>
      <c r="AP302" s="601">
        <f t="shared" si="64"/>
        <v>1.5719181436847569</v>
      </c>
      <c r="AQ302" s="1150" t="s">
        <v>1459</v>
      </c>
      <c r="AR302" s="1149"/>
    </row>
    <row r="303" spans="1:44" ht="13.5" customHeight="1" outlineLevel="1" x14ac:dyDescent="0.2">
      <c r="A303" s="368" t="s">
        <v>592</v>
      </c>
      <c r="B303" s="589" t="s">
        <v>1443</v>
      </c>
      <c r="C303" s="427" t="s">
        <v>536</v>
      </c>
      <c r="D303" s="434">
        <f>IF(E303="","",VLOOKUP(E303,BASE!$F$20:$H$25,2,FALSE))</f>
        <v>4</v>
      </c>
      <c r="E303" s="399" t="s">
        <v>539</v>
      </c>
      <c r="F303" s="436" t="s">
        <v>546</v>
      </c>
      <c r="G303" s="437">
        <f>IF(F303="","",VLOOKUP(F303,BASE!$B$15:$C$18,2,FALSE))</f>
        <v>3</v>
      </c>
      <c r="H303" s="520">
        <v>0</v>
      </c>
      <c r="I303" s="424">
        <v>20</v>
      </c>
      <c r="J303" s="399">
        <v>10</v>
      </c>
      <c r="K303" s="399">
        <v>2</v>
      </c>
      <c r="L303" s="399">
        <v>2</v>
      </c>
      <c r="M303" s="399">
        <v>2</v>
      </c>
      <c r="N303" s="399">
        <v>4</v>
      </c>
      <c r="O303" s="355">
        <f t="shared" si="96"/>
        <v>20</v>
      </c>
      <c r="P303" s="354"/>
      <c r="Q303" s="354"/>
      <c r="R303" s="355">
        <f t="shared" si="97"/>
        <v>0</v>
      </c>
      <c r="S303" s="354"/>
      <c r="T303" s="354"/>
      <c r="U303" s="354"/>
      <c r="V303" s="355">
        <f t="shared" si="98"/>
        <v>0</v>
      </c>
      <c r="W303" s="354"/>
      <c r="X303" s="355">
        <f t="shared" si="99"/>
        <v>20</v>
      </c>
      <c r="Y303" s="19" t="str">
        <f t="shared" si="100"/>
        <v xml:space="preserve">OK </v>
      </c>
      <c r="Z303" s="404" t="str">
        <f t="shared" si="101"/>
        <v>AJUSTE</v>
      </c>
      <c r="AA303" s="20">
        <f>ROUND((IF(D303=1,(BASE!$G$51*I303),IF(D303=2,(BASE!$G$52*I303),IF(D303=3,(BASE!$G$53*I303),IF(D303=4,(BASE!$G$54*I303),IF(D303=5,(BASE!$G$55*I303),IF(D303=6,(BASE!$G$56*I303),0)))))))/1000,0)*1000</f>
        <v>2228000</v>
      </c>
      <c r="AB303" s="481">
        <v>0</v>
      </c>
      <c r="AC303" s="20">
        <f t="shared" si="109"/>
        <v>2228000</v>
      </c>
      <c r="AD303" s="478">
        <f>IF(G303=3,AC303*BASE!$I$62,IF(G303=1,AC303*(BASE!$I$61),IF(G303=2,AC303*(BASE!$I$63),AC303*BASE!$I$64)))</f>
        <v>23839600</v>
      </c>
      <c r="AE303" s="411">
        <f>IF(I303&lt;10,0,IF(AC303&lt;=BASE!$C$3*2,BASE!$C$2,0)*(AD303/AC303))</f>
        <v>0</v>
      </c>
      <c r="AF303" s="13">
        <v>0</v>
      </c>
      <c r="AG303" s="14">
        <f t="shared" si="102"/>
        <v>1324422.2222222222</v>
      </c>
      <c r="AH303" s="14">
        <f t="shared" si="103"/>
        <v>2097002</v>
      </c>
      <c r="AI303" s="14">
        <f t="shared" si="104"/>
        <v>2097001.8518518517</v>
      </c>
      <c r="AJ303" s="14">
        <f t="shared" si="105"/>
        <v>230670.20370370368</v>
      </c>
      <c r="AK303" s="14">
        <f>IF(I303=0,0,IF(G303=5,0,(AC303+AF303/12)*12*BASE!$C$5))</f>
        <v>2272560</v>
      </c>
      <c r="AL303" s="14">
        <f>IF(I303=0,0,IF(G303=5,0,(AC303+AF303/12)*12*BASE!$C$7))</f>
        <v>3208320</v>
      </c>
      <c r="AM303" s="14">
        <f>IF(I303=0,0,IF(G303=5,0,(AC303+AF303/12)*12*BASE!$C$9))</f>
        <v>139561.91999999998</v>
      </c>
      <c r="AN303" s="412">
        <f>IF(I303=0,0,IF(G303=5,0,(AD303+AF303+AG303)*BASE!$C$10))</f>
        <v>2264762</v>
      </c>
      <c r="AO303" s="838">
        <f t="shared" si="106"/>
        <v>37473900.197777778</v>
      </c>
      <c r="AP303" s="601">
        <f t="shared" si="64"/>
        <v>1.571918161285331</v>
      </c>
      <c r="AQ303" s="1150" t="s">
        <v>1458</v>
      </c>
      <c r="AR303" s="1149"/>
    </row>
    <row r="304" spans="1:44" ht="13.5" customHeight="1" outlineLevel="1" x14ac:dyDescent="0.2">
      <c r="A304" s="368" t="s">
        <v>593</v>
      </c>
      <c r="B304" s="589" t="s">
        <v>1444</v>
      </c>
      <c r="C304" s="427" t="s">
        <v>536</v>
      </c>
      <c r="D304" s="434">
        <f>IF(E304="","",VLOOKUP(E304,BASE!$F$20:$H$25,2,FALSE))</f>
        <v>4</v>
      </c>
      <c r="E304" s="399" t="s">
        <v>539</v>
      </c>
      <c r="F304" s="436" t="s">
        <v>546</v>
      </c>
      <c r="G304" s="437">
        <f>IF(F304="","",VLOOKUP(F304,BASE!$B$15:$C$18,2,FALSE))</f>
        <v>3</v>
      </c>
      <c r="H304" s="520">
        <v>0</v>
      </c>
      <c r="I304" s="424">
        <v>5</v>
      </c>
      <c r="J304" s="399">
        <v>2</v>
      </c>
      <c r="K304" s="399">
        <v>1</v>
      </c>
      <c r="L304" s="399">
        <v>1</v>
      </c>
      <c r="M304" s="399">
        <v>1</v>
      </c>
      <c r="N304" s="354"/>
      <c r="O304" s="355">
        <f t="shared" si="96"/>
        <v>5</v>
      </c>
      <c r="P304" s="354"/>
      <c r="Q304" s="354"/>
      <c r="R304" s="355">
        <f t="shared" si="97"/>
        <v>0</v>
      </c>
      <c r="S304" s="354"/>
      <c r="T304" s="354"/>
      <c r="U304" s="354"/>
      <c r="V304" s="355">
        <f t="shared" si="98"/>
        <v>0</v>
      </c>
      <c r="W304" s="354"/>
      <c r="X304" s="355">
        <f t="shared" si="99"/>
        <v>5</v>
      </c>
      <c r="Y304" s="19" t="str">
        <f t="shared" si="100"/>
        <v xml:space="preserve">OK </v>
      </c>
      <c r="Z304" s="404" t="str">
        <f t="shared" si="101"/>
        <v>AJUSTE</v>
      </c>
      <c r="AA304" s="20">
        <f>ROUND((IF(D304=1,(BASE!$G$51*I304),IF(D304=2,(BASE!$G$52*I304),IF(D304=3,(BASE!$G$53*I304),IF(D304=4,(BASE!$G$54*I304),IF(D304=5,(BASE!$G$55*I304),IF(D304=6,(BASE!$G$56*I304),0)))))))/1000,0)*1000</f>
        <v>557000</v>
      </c>
      <c r="AB304" s="481">
        <v>0</v>
      </c>
      <c r="AC304" s="20">
        <f t="shared" si="109"/>
        <v>557000</v>
      </c>
      <c r="AD304" s="478">
        <f>IF(G304=3,AC304*BASE!$I$62,IF(G304=1,AC304*(BASE!$I$61),IF(G304=2,AC304*(BASE!$I$63),AC304*BASE!$I$64)))</f>
        <v>5959900</v>
      </c>
      <c r="AE304" s="411">
        <f>IF(I304&lt;10,0,IF(AC304&lt;=BASE!$C$3*2,BASE!$C$2,0)*(AD304/AC304))</f>
        <v>0</v>
      </c>
      <c r="AF304" s="13">
        <v>0</v>
      </c>
      <c r="AG304" s="14">
        <f t="shared" si="102"/>
        <v>331105.55555555556</v>
      </c>
      <c r="AH304" s="14">
        <f t="shared" si="103"/>
        <v>524250</v>
      </c>
      <c r="AI304" s="14">
        <f t="shared" si="104"/>
        <v>524250.46296296292</v>
      </c>
      <c r="AJ304" s="14">
        <f t="shared" si="105"/>
        <v>57667.55092592592</v>
      </c>
      <c r="AK304" s="14">
        <f>IF(I304=0,0,IF(G304=5,0,(AC304+AF304/12)*12*BASE!$C$5))</f>
        <v>568140</v>
      </c>
      <c r="AL304" s="14">
        <f>IF(I304=0,0,IF(G304=5,0,(AC304+AF304/12)*12*BASE!$C$7))</f>
        <v>802080</v>
      </c>
      <c r="AM304" s="14">
        <f>IF(I304=0,0,IF(G304=5,0,(AC304+AF304/12)*12*BASE!$C$9))</f>
        <v>34890.479999999996</v>
      </c>
      <c r="AN304" s="412">
        <f>IF(I304=0,0,IF(G304=5,0,(AD304+AF304+AG304)*BASE!$C$10))</f>
        <v>566190.5</v>
      </c>
      <c r="AO304" s="838">
        <f t="shared" si="106"/>
        <v>9368474.5494444445</v>
      </c>
      <c r="AP304" s="601">
        <f t="shared" si="64"/>
        <v>1.571918077391306</v>
      </c>
      <c r="AQ304" s="1148"/>
      <c r="AR304" s="1149"/>
    </row>
    <row r="305" spans="1:44" ht="13.5" customHeight="1" outlineLevel="1" x14ac:dyDescent="0.2">
      <c r="A305" s="368" t="s">
        <v>594</v>
      </c>
      <c r="B305" s="589" t="s">
        <v>1454</v>
      </c>
      <c r="C305" s="427"/>
      <c r="D305" s="434" t="str">
        <f>IF(E305="","",VLOOKUP(E305,BASE!$F$20:$H$25,2,FALSE))</f>
        <v/>
      </c>
      <c r="E305" s="399"/>
      <c r="F305" s="436"/>
      <c r="G305" s="437" t="str">
        <f>IF(F305="","",VLOOKUP(F305,BASE!$B$15:$C$18,2,FALSE))</f>
        <v/>
      </c>
      <c r="H305" s="520"/>
      <c r="I305" s="424">
        <v>0.01</v>
      </c>
      <c r="J305" s="354"/>
      <c r="K305" s="354"/>
      <c r="L305" s="354"/>
      <c r="M305" s="354"/>
      <c r="N305" s="354"/>
      <c r="O305" s="355">
        <f t="shared" si="96"/>
        <v>0</v>
      </c>
      <c r="P305" s="354"/>
      <c r="Q305" s="354"/>
      <c r="R305" s="355">
        <f t="shared" si="97"/>
        <v>0</v>
      </c>
      <c r="S305" s="354"/>
      <c r="T305" s="354"/>
      <c r="U305" s="354"/>
      <c r="V305" s="355">
        <f t="shared" si="98"/>
        <v>0</v>
      </c>
      <c r="W305" s="354"/>
      <c r="X305" s="355">
        <f t="shared" si="99"/>
        <v>0</v>
      </c>
      <c r="Y305" s="19" t="str">
        <f t="shared" si="100"/>
        <v>AJUSTE</v>
      </c>
      <c r="Z305" s="404" t="str">
        <f t="shared" si="101"/>
        <v>AJUSTE</v>
      </c>
      <c r="AA305" s="20">
        <v>1000</v>
      </c>
      <c r="AB305" s="481">
        <v>405000</v>
      </c>
      <c r="AC305" s="20">
        <f t="shared" si="109"/>
        <v>406000</v>
      </c>
      <c r="AD305" s="478">
        <f>IF(G305=3,AC305*BASE!$I$62,IF(G305=1,AC305*(BASE!$I$61),IF(G305=2,AC305*(BASE!$I$63),AC305*BASE!$I$64)))</f>
        <v>4614866.666666667</v>
      </c>
      <c r="AE305" s="411">
        <f>IF(I305&lt;10,0,IF(AC305&lt;=BASE!$C$3*2,BASE!$C$2,0)*(AD305/AC305))</f>
        <v>0</v>
      </c>
      <c r="AF305" s="13">
        <v>0</v>
      </c>
      <c r="AG305" s="14">
        <f t="shared" si="102"/>
        <v>256381.48148148149</v>
      </c>
      <c r="AH305" s="14">
        <f t="shared" si="103"/>
        <v>405937</v>
      </c>
      <c r="AI305" s="14">
        <f t="shared" si="104"/>
        <v>405937.34567901236</v>
      </c>
      <c r="AJ305" s="14">
        <f t="shared" si="105"/>
        <v>0</v>
      </c>
      <c r="AK305" s="14">
        <f>IF(I305=0,0,IF(G305=5,0,(AC305+AF305/12)*12*BASE!$C$5))</f>
        <v>414120.00000000006</v>
      </c>
      <c r="AL305" s="14">
        <f>IF(I305=0,0,IF(G305=5,0,(AC305+AF305/12)*12*BASE!$C$7))</f>
        <v>584640</v>
      </c>
      <c r="AM305" s="14">
        <f>IF(I305=0,0,IF(G305=5,0,(AC305+AF305/12)*12*BASE!$C$9))</f>
        <v>25431.84</v>
      </c>
      <c r="AN305" s="412">
        <f>IF(I305=0,0,IF(G305=5,0,(AD305+AF305+AG305)*BASE!$C$10))</f>
        <v>438412.33333333331</v>
      </c>
      <c r="AO305" s="838">
        <f t="shared" si="106"/>
        <v>7145726.6671604933</v>
      </c>
      <c r="AP305" s="601">
        <f t="shared" si="64"/>
        <v>1.5484145444058679</v>
      </c>
      <c r="AQ305" s="1148"/>
      <c r="AR305" s="1149"/>
    </row>
    <row r="306" spans="1:44" ht="13.5" customHeight="1" outlineLevel="1" x14ac:dyDescent="0.2">
      <c r="A306" s="368" t="s">
        <v>595</v>
      </c>
      <c r="B306" s="589" t="s">
        <v>1464</v>
      </c>
      <c r="C306" s="427"/>
      <c r="D306" s="434">
        <f>IF(E306="","",VLOOKUP(E306,BASE!$F$20:$H$25,2,FALSE))</f>
        <v>6</v>
      </c>
      <c r="E306" s="399" t="s">
        <v>537</v>
      </c>
      <c r="F306" s="436" t="s">
        <v>546</v>
      </c>
      <c r="G306" s="437">
        <f>IF(F306="","",VLOOKUP(F306,BASE!$B$15:$C$18,2,FALSE))</f>
        <v>3</v>
      </c>
      <c r="H306" s="520">
        <v>0</v>
      </c>
      <c r="I306" s="424">
        <v>20</v>
      </c>
      <c r="J306" s="354"/>
      <c r="K306" s="354"/>
      <c r="L306" s="354"/>
      <c r="M306" s="354"/>
      <c r="N306" s="354"/>
      <c r="O306" s="355">
        <f t="shared" si="96"/>
        <v>0</v>
      </c>
      <c r="P306" s="354"/>
      <c r="Q306" s="354"/>
      <c r="R306" s="355">
        <f t="shared" si="97"/>
        <v>0</v>
      </c>
      <c r="S306" s="354"/>
      <c r="T306" s="354"/>
      <c r="U306" s="354"/>
      <c r="V306" s="355">
        <f t="shared" si="98"/>
        <v>0</v>
      </c>
      <c r="W306" s="354"/>
      <c r="X306" s="355">
        <f t="shared" si="99"/>
        <v>0</v>
      </c>
      <c r="Y306" s="19" t="str">
        <f t="shared" si="100"/>
        <v>AJUSTE</v>
      </c>
      <c r="Z306" s="404" t="str">
        <f t="shared" si="101"/>
        <v>AJUSTE</v>
      </c>
      <c r="AA306" s="20">
        <f>ROUND((IF(D306=1,(BASE!$G$51*I306),IF(D306=2,(BASE!$G$52*I306),IF(D306=3,(BASE!$G$53*I306),IF(D306=4,(BASE!$G$54*I306),IF(D306=5,(BASE!$G$55*I306),IF(D306=6,(BASE!$G$56*I306),0)))))))/1000,0)*1000</f>
        <v>1400000</v>
      </c>
      <c r="AB306" s="481">
        <v>0</v>
      </c>
      <c r="AC306" s="20">
        <f t="shared" si="109"/>
        <v>1400000</v>
      </c>
      <c r="AD306" s="478">
        <f>IF(G306=3,AC306*BASE!$I$62,IF(G306=1,AC306*(BASE!$I$61),IF(G306=2,AC306*(BASE!$I$63),AC306*BASE!$I$64)))</f>
        <v>14979999.999999998</v>
      </c>
      <c r="AE306" s="411">
        <f>IF(I306&lt;10,0,IF(AC306&lt;=BASE!$C$3*2,BASE!$C$2,0)*(AD306/AC306))</f>
        <v>943857.7</v>
      </c>
      <c r="AF306" s="13">
        <v>0</v>
      </c>
      <c r="AG306" s="14">
        <f t="shared" si="102"/>
        <v>832222.22222222213</v>
      </c>
      <c r="AH306" s="14">
        <f t="shared" si="103"/>
        <v>1396340</v>
      </c>
      <c r="AI306" s="14">
        <f t="shared" si="104"/>
        <v>1396339.9935185185</v>
      </c>
      <c r="AJ306" s="14">
        <f t="shared" si="105"/>
        <v>153597.39928703703</v>
      </c>
      <c r="AK306" s="14">
        <f>IF(I306=0,0,IF(G306=5,0,(AC306+AF306/12)*12*BASE!$C$5))</f>
        <v>1428000</v>
      </c>
      <c r="AL306" s="14">
        <f>IF(I306=0,0,IF(G306=5,0,(AC306+AF306/12)*12*BASE!$C$7))</f>
        <v>2016000</v>
      </c>
      <c r="AM306" s="14">
        <f>IF(I306=0,0,IF(G306=5,0,(AC306+AF306/12)*12*BASE!$C$9))</f>
        <v>87696</v>
      </c>
      <c r="AN306" s="412">
        <f>IF(I306=0,0,IF(G306=5,0,(AD306+AF306+AG306)*BASE!$C$10))</f>
        <v>1423099.9999999998</v>
      </c>
      <c r="AO306" s="838">
        <f t="shared" si="106"/>
        <v>24657153.315027777</v>
      </c>
      <c r="AP306" s="601">
        <f t="shared" ref="AP306:AP350" si="110">IFERROR(AO306/AD306,"Sin datos")</f>
        <v>1.6460048941941108</v>
      </c>
      <c r="AQ306" s="1148"/>
      <c r="AR306" s="1149"/>
    </row>
    <row r="307" spans="1:44" ht="13.5" customHeight="1" outlineLevel="1" x14ac:dyDescent="0.2">
      <c r="A307" s="368" t="s">
        <v>596</v>
      </c>
      <c r="B307" s="424"/>
      <c r="C307" s="427"/>
      <c r="D307" s="434" t="str">
        <f>IF(E307="","",VLOOKUP(E307,BASE!$F$20:$H$25,2,FALSE))</f>
        <v/>
      </c>
      <c r="E307" s="399"/>
      <c r="F307" s="436"/>
      <c r="G307" s="437" t="str">
        <f>IF(F307="","",VLOOKUP(F307,BASE!$B$15:$C$18,2,FALSE))</f>
        <v/>
      </c>
      <c r="H307" s="520">
        <v>0</v>
      </c>
      <c r="I307" s="424">
        <v>0</v>
      </c>
      <c r="J307" s="354"/>
      <c r="K307" s="354"/>
      <c r="L307" s="354"/>
      <c r="M307" s="354"/>
      <c r="N307" s="354"/>
      <c r="O307" s="355">
        <f t="shared" si="96"/>
        <v>0</v>
      </c>
      <c r="P307" s="354"/>
      <c r="Q307" s="354"/>
      <c r="R307" s="355">
        <f t="shared" si="97"/>
        <v>0</v>
      </c>
      <c r="S307" s="354"/>
      <c r="T307" s="354"/>
      <c r="U307" s="354"/>
      <c r="V307" s="355">
        <f t="shared" si="98"/>
        <v>0</v>
      </c>
      <c r="W307" s="354"/>
      <c r="X307" s="355">
        <f t="shared" si="99"/>
        <v>0</v>
      </c>
      <c r="Y307" s="19" t="str">
        <f t="shared" si="100"/>
        <v xml:space="preserve">OK </v>
      </c>
      <c r="Z307" s="404" t="str">
        <f t="shared" si="101"/>
        <v xml:space="preserve"> </v>
      </c>
      <c r="AA307" s="20">
        <f>ROUND((IF(D307=1,(BASE!$G$51*I307),IF(D307=2,(BASE!$G$52*I307),IF(D307=3,(BASE!$G$53*I307),IF(D307=4,(BASE!$G$54*I307),IF(D307=5,(BASE!$G$55*I307),IF(D307=6,(BASE!$G$56*I307),0)))))))/1000,0)*1000</f>
        <v>0</v>
      </c>
      <c r="AB307" s="481">
        <v>0</v>
      </c>
      <c r="AC307" s="20">
        <f t="shared" si="109"/>
        <v>0</v>
      </c>
      <c r="AD307" s="478">
        <f>IF(G307=3,AC307*BASE!$I$62,IF(G307=1,AC307*(BASE!$I$61),IF(G307=2,AC307*(BASE!$I$63),AC307*BASE!$I$64)))</f>
        <v>0</v>
      </c>
      <c r="AE307" s="411">
        <f>IF(I307&lt;10,0,IF(AC307&lt;=BASE!$C$3*2,BASE!$C$2,0)*(AD307/AC307))</f>
        <v>0</v>
      </c>
      <c r="AF307" s="13">
        <v>0</v>
      </c>
      <c r="AG307" s="14">
        <f t="shared" si="102"/>
        <v>0</v>
      </c>
      <c r="AH307" s="14">
        <f t="shared" si="103"/>
        <v>0</v>
      </c>
      <c r="AI307" s="14">
        <f t="shared" si="104"/>
        <v>0</v>
      </c>
      <c r="AJ307" s="14">
        <f t="shared" si="105"/>
        <v>0</v>
      </c>
      <c r="AK307" s="14">
        <f>IF(I307=0,0,IF(G307=5,0,(AC307+AF307/12)*12*BASE!$C$5))</f>
        <v>0</v>
      </c>
      <c r="AL307" s="14">
        <f>IF(I307=0,0,IF(G307=5,0,(AC307+AF307/12)*12*BASE!$C$7))</f>
        <v>0</v>
      </c>
      <c r="AM307" s="14">
        <f>IF(I307=0,0,IF(G307=5,0,(AC307+AF307/12)*12*BASE!$C$9))</f>
        <v>0</v>
      </c>
      <c r="AN307" s="412">
        <f>IF(I307=0,0,IF(G307=5,0,(AD307+AF307+AG307)*BASE!$C$10))</f>
        <v>0</v>
      </c>
      <c r="AO307" s="838">
        <f t="shared" si="106"/>
        <v>0</v>
      </c>
      <c r="AP307" s="601" t="str">
        <f t="shared" si="110"/>
        <v>Sin datos</v>
      </c>
      <c r="AQ307" s="1148"/>
      <c r="AR307" s="1149"/>
    </row>
    <row r="308" spans="1:44" ht="13.5" customHeight="1" outlineLevel="1" x14ac:dyDescent="0.2">
      <c r="A308" s="368" t="s">
        <v>597</v>
      </c>
      <c r="B308" s="424"/>
      <c r="C308" s="427"/>
      <c r="D308" s="434" t="str">
        <f>IF(E308="","",VLOOKUP(E308,BASE!$F$20:$H$25,2,FALSE))</f>
        <v/>
      </c>
      <c r="E308" s="399"/>
      <c r="F308" s="436"/>
      <c r="G308" s="437" t="str">
        <f>IF(F308="","",VLOOKUP(F308,BASE!$B$15:$C$18,2,FALSE))</f>
        <v/>
      </c>
      <c r="H308" s="520">
        <v>0</v>
      </c>
      <c r="I308" s="424">
        <v>0</v>
      </c>
      <c r="J308" s="354"/>
      <c r="K308" s="354"/>
      <c r="L308" s="354"/>
      <c r="M308" s="354"/>
      <c r="N308" s="354"/>
      <c r="O308" s="355">
        <f t="shared" si="96"/>
        <v>0</v>
      </c>
      <c r="P308" s="354"/>
      <c r="Q308" s="354"/>
      <c r="R308" s="355">
        <f t="shared" si="97"/>
        <v>0</v>
      </c>
      <c r="S308" s="354"/>
      <c r="T308" s="354"/>
      <c r="U308" s="354"/>
      <c r="V308" s="355">
        <f t="shared" si="98"/>
        <v>0</v>
      </c>
      <c r="W308" s="354"/>
      <c r="X308" s="355">
        <f t="shared" si="99"/>
        <v>0</v>
      </c>
      <c r="Y308" s="19" t="str">
        <f t="shared" si="100"/>
        <v xml:space="preserve">OK </v>
      </c>
      <c r="Z308" s="404" t="str">
        <f t="shared" si="101"/>
        <v xml:space="preserve"> </v>
      </c>
      <c r="AA308" s="20">
        <f>ROUND((IF(D308=1,(BASE!$G$51*I308),IF(D308=2,(BASE!$G$52*I308),IF(D308=3,(BASE!$G$53*I308),IF(D308=4,(BASE!$G$54*I308),IF(D308=5,(BASE!$G$55*I308),IF(D308=6,(BASE!$G$56*I308),0)))))))/1000,0)*1000</f>
        <v>0</v>
      </c>
      <c r="AB308" s="481">
        <v>0</v>
      </c>
      <c r="AC308" s="20">
        <f t="shared" si="109"/>
        <v>0</v>
      </c>
      <c r="AD308" s="478">
        <f>IF(G308=3,AC308*BASE!$I$62,IF(G308=1,AC308*(BASE!$I$61),IF(G308=2,AC308*(BASE!$I$63),AC308*BASE!$I$64)))</f>
        <v>0</v>
      </c>
      <c r="AE308" s="411">
        <f>IF(I308&lt;10,0,IF(AC308&lt;=BASE!$C$3*2,BASE!$C$2,0)*(AD308/AC308))</f>
        <v>0</v>
      </c>
      <c r="AF308" s="13">
        <v>0</v>
      </c>
      <c r="AG308" s="14">
        <f t="shared" si="102"/>
        <v>0</v>
      </c>
      <c r="AH308" s="14">
        <f t="shared" si="103"/>
        <v>0</v>
      </c>
      <c r="AI308" s="14">
        <f t="shared" si="104"/>
        <v>0</v>
      </c>
      <c r="AJ308" s="14">
        <f t="shared" si="105"/>
        <v>0</v>
      </c>
      <c r="AK308" s="14">
        <f>IF(I308=0,0,IF(G308=5,0,(AC308+AF308/12)*12*BASE!$C$5))</f>
        <v>0</v>
      </c>
      <c r="AL308" s="14">
        <f>IF(I308=0,0,IF(G308=5,0,(AC308+AF308/12)*12*BASE!$C$7))</f>
        <v>0</v>
      </c>
      <c r="AM308" s="14">
        <f>IF(I308=0,0,IF(G308=5,0,(AC308+AF308/12)*12*BASE!$C$9))</f>
        <v>0</v>
      </c>
      <c r="AN308" s="412">
        <f>IF(I308=0,0,IF(G308=5,0,(AD308+AF308+AG308)*BASE!$C$10))</f>
        <v>0</v>
      </c>
      <c r="AO308" s="838">
        <f t="shared" si="106"/>
        <v>0</v>
      </c>
      <c r="AP308" s="601" t="str">
        <f t="shared" si="110"/>
        <v>Sin datos</v>
      </c>
      <c r="AQ308" s="1148"/>
      <c r="AR308" s="1149"/>
    </row>
    <row r="309" spans="1:44" ht="13.5" customHeight="1" outlineLevel="1" x14ac:dyDescent="0.2">
      <c r="A309" s="368" t="s">
        <v>598</v>
      </c>
      <c r="B309" s="424"/>
      <c r="C309" s="427"/>
      <c r="D309" s="434" t="str">
        <f>IF(E309="","",VLOOKUP(E309,BASE!$F$20:$H$25,2,FALSE))</f>
        <v/>
      </c>
      <c r="E309" s="399"/>
      <c r="F309" s="436"/>
      <c r="G309" s="437" t="str">
        <f>IF(F309="","",VLOOKUP(F309,BASE!$B$15:$C$18,2,FALSE))</f>
        <v/>
      </c>
      <c r="H309" s="520">
        <v>0</v>
      </c>
      <c r="I309" s="424">
        <v>0</v>
      </c>
      <c r="J309" s="354"/>
      <c r="K309" s="354"/>
      <c r="L309" s="354"/>
      <c r="M309" s="354"/>
      <c r="N309" s="354"/>
      <c r="O309" s="355">
        <f t="shared" si="96"/>
        <v>0</v>
      </c>
      <c r="P309" s="354"/>
      <c r="Q309" s="354"/>
      <c r="R309" s="355">
        <f t="shared" si="97"/>
        <v>0</v>
      </c>
      <c r="S309" s="354"/>
      <c r="T309" s="354"/>
      <c r="U309" s="354"/>
      <c r="V309" s="355">
        <f t="shared" si="98"/>
        <v>0</v>
      </c>
      <c r="W309" s="354"/>
      <c r="X309" s="355">
        <f t="shared" si="99"/>
        <v>0</v>
      </c>
      <c r="Y309" s="19" t="str">
        <f t="shared" si="100"/>
        <v xml:space="preserve">OK </v>
      </c>
      <c r="Z309" s="404" t="str">
        <f t="shared" si="101"/>
        <v xml:space="preserve"> </v>
      </c>
      <c r="AA309" s="20">
        <f>ROUND((IF(D309=1,(BASE!$G$51*I309),IF(D309=2,(BASE!$G$52*I309),IF(D309=3,(BASE!$G$53*I309),IF(D309=4,(BASE!$G$54*I309),IF(D309=5,(BASE!$G$55*I309),IF(D309=6,(BASE!$G$56*I309),0)))))))/1000,0)*1000</f>
        <v>0</v>
      </c>
      <c r="AB309" s="481">
        <v>0</v>
      </c>
      <c r="AC309" s="20">
        <f t="shared" si="109"/>
        <v>0</v>
      </c>
      <c r="AD309" s="478">
        <f>IF(G309=3,AC309*BASE!$I$62,IF(G309=1,AC309*(BASE!$I$61),IF(G309=2,AC309*(BASE!$I$63),AC309*BASE!$I$64)))</f>
        <v>0</v>
      </c>
      <c r="AE309" s="411">
        <f>IF(I309&lt;10,0,IF(AC309&lt;=BASE!$C$3*2,BASE!$C$2,0)*(AD309/AC309))</f>
        <v>0</v>
      </c>
      <c r="AF309" s="13">
        <v>0</v>
      </c>
      <c r="AG309" s="14">
        <f t="shared" si="102"/>
        <v>0</v>
      </c>
      <c r="AH309" s="14">
        <f t="shared" si="103"/>
        <v>0</v>
      </c>
      <c r="AI309" s="14">
        <f t="shared" si="104"/>
        <v>0</v>
      </c>
      <c r="AJ309" s="14">
        <f t="shared" si="105"/>
        <v>0</v>
      </c>
      <c r="AK309" s="14">
        <f>IF(I309=0,0,IF(G309=5,0,(AC309+AF309/12)*12*BASE!$C$5))</f>
        <v>0</v>
      </c>
      <c r="AL309" s="14">
        <f>IF(I309=0,0,IF(G309=5,0,(AC309+AF309/12)*12*BASE!$C$7))</f>
        <v>0</v>
      </c>
      <c r="AM309" s="14">
        <f>IF(I309=0,0,IF(G309=5,0,(AC309+AF309/12)*12*BASE!$C$9))</f>
        <v>0</v>
      </c>
      <c r="AN309" s="412">
        <f>IF(I309=0,0,IF(G309=5,0,(AD309+AF309+AG309)*BASE!$C$10))</f>
        <v>0</v>
      </c>
      <c r="AO309" s="838">
        <f t="shared" si="106"/>
        <v>0</v>
      </c>
      <c r="AP309" s="601" t="str">
        <f t="shared" si="110"/>
        <v>Sin datos</v>
      </c>
      <c r="AQ309" s="1148"/>
      <c r="AR309" s="1149"/>
    </row>
    <row r="310" spans="1:44" ht="13.5" customHeight="1" outlineLevel="1" x14ac:dyDescent="0.2">
      <c r="A310" s="368" t="s">
        <v>599</v>
      </c>
      <c r="B310" s="424"/>
      <c r="C310" s="427"/>
      <c r="D310" s="434" t="str">
        <f>IF(E310="","",VLOOKUP(E310,BASE!$F$20:$H$25,2,FALSE))</f>
        <v/>
      </c>
      <c r="E310" s="399"/>
      <c r="F310" s="436"/>
      <c r="G310" s="437" t="str">
        <f>IF(F310="","",VLOOKUP(F310,BASE!$B$15:$C$18,2,FALSE))</f>
        <v/>
      </c>
      <c r="H310" s="520">
        <v>0</v>
      </c>
      <c r="I310" s="424">
        <v>0</v>
      </c>
      <c r="J310" s="354"/>
      <c r="K310" s="354"/>
      <c r="L310" s="354"/>
      <c r="M310" s="354"/>
      <c r="N310" s="354"/>
      <c r="O310" s="355">
        <f t="shared" si="96"/>
        <v>0</v>
      </c>
      <c r="P310" s="354"/>
      <c r="Q310" s="354"/>
      <c r="R310" s="355">
        <f t="shared" si="97"/>
        <v>0</v>
      </c>
      <c r="S310" s="354"/>
      <c r="T310" s="354"/>
      <c r="U310" s="354"/>
      <c r="V310" s="355">
        <f t="shared" si="98"/>
        <v>0</v>
      </c>
      <c r="W310" s="354"/>
      <c r="X310" s="355">
        <f t="shared" si="99"/>
        <v>0</v>
      </c>
      <c r="Y310" s="19" t="str">
        <f t="shared" si="100"/>
        <v xml:space="preserve">OK </v>
      </c>
      <c r="Z310" s="404" t="str">
        <f t="shared" si="101"/>
        <v xml:space="preserve"> </v>
      </c>
      <c r="AA310" s="20">
        <f>ROUND((IF(D310=1,(BASE!$G$51*I310),IF(D310=2,(BASE!$G$52*I310),IF(D310=3,(BASE!$G$53*I310),IF(D310=4,(BASE!$G$54*I310),IF(D310=5,(BASE!$G$55*I310),IF(D310=6,(BASE!$G$56*I310),0)))))))/1000,0)*1000</f>
        <v>0</v>
      </c>
      <c r="AB310" s="481">
        <v>0</v>
      </c>
      <c r="AC310" s="20">
        <f t="shared" si="109"/>
        <v>0</v>
      </c>
      <c r="AD310" s="478">
        <f>IF(G310=3,AC310*BASE!$I$62,IF(G310=1,AC310*(BASE!$I$61),IF(G310=2,AC310*(BASE!$I$63),AC310*BASE!$I$64)))</f>
        <v>0</v>
      </c>
      <c r="AE310" s="411">
        <f>IF(I310&lt;10,0,IF(AC310&lt;=BASE!$C$3*2,BASE!$C$2,0)*(AD310/AC310))</f>
        <v>0</v>
      </c>
      <c r="AF310" s="13">
        <v>0</v>
      </c>
      <c r="AG310" s="14">
        <f t="shared" si="102"/>
        <v>0</v>
      </c>
      <c r="AH310" s="14">
        <f t="shared" si="103"/>
        <v>0</v>
      </c>
      <c r="AI310" s="14">
        <f t="shared" si="104"/>
        <v>0</v>
      </c>
      <c r="AJ310" s="14">
        <f t="shared" si="105"/>
        <v>0</v>
      </c>
      <c r="AK310" s="14">
        <f>IF(I310=0,0,IF(G310=5,0,(AC310+AF310/12)*12*BASE!$C$5))</f>
        <v>0</v>
      </c>
      <c r="AL310" s="14">
        <f>IF(I310=0,0,IF(G310=5,0,(AC310+AF310/12)*12*BASE!$C$7))</f>
        <v>0</v>
      </c>
      <c r="AM310" s="14">
        <f>IF(I310=0,0,IF(G310=5,0,(AC310+AF310/12)*12*BASE!$C$9))</f>
        <v>0</v>
      </c>
      <c r="AN310" s="412">
        <f>IF(I310=0,0,IF(G310=5,0,(AD310+AF310+AG310)*BASE!$C$10))</f>
        <v>0</v>
      </c>
      <c r="AO310" s="838">
        <f t="shared" si="106"/>
        <v>0</v>
      </c>
      <c r="AP310" s="601" t="str">
        <f t="shared" si="110"/>
        <v>Sin datos</v>
      </c>
      <c r="AQ310" s="1148"/>
      <c r="AR310" s="1149"/>
    </row>
    <row r="311" spans="1:44" ht="13.5" customHeight="1" outlineLevel="1" thickBot="1" x14ac:dyDescent="0.25">
      <c r="A311" s="368" t="s">
        <v>600</v>
      </c>
      <c r="B311" s="425"/>
      <c r="C311" s="493"/>
      <c r="D311" s="432" t="str">
        <f>IF(E311="","",VLOOKUP(E311,BASE!$F$20:$H$25,2,FALSE))</f>
        <v/>
      </c>
      <c r="E311" s="401"/>
      <c r="F311" s="494"/>
      <c r="G311" s="438" t="str">
        <f>IF(F311="","",VLOOKUP(F311,BASE!$B$15:$C$18,2,FALSE))</f>
        <v/>
      </c>
      <c r="H311" s="526">
        <v>0</v>
      </c>
      <c r="I311" s="425">
        <v>0</v>
      </c>
      <c r="J311" s="356"/>
      <c r="K311" s="356"/>
      <c r="L311" s="356"/>
      <c r="M311" s="356"/>
      <c r="N311" s="356"/>
      <c r="O311" s="357">
        <f t="shared" si="96"/>
        <v>0</v>
      </c>
      <c r="P311" s="356"/>
      <c r="Q311" s="356"/>
      <c r="R311" s="357">
        <f t="shared" si="97"/>
        <v>0</v>
      </c>
      <c r="S311" s="356"/>
      <c r="T311" s="356"/>
      <c r="U311" s="356"/>
      <c r="V311" s="357">
        <f t="shared" si="98"/>
        <v>0</v>
      </c>
      <c r="W311" s="356"/>
      <c r="X311" s="357">
        <f t="shared" si="99"/>
        <v>0</v>
      </c>
      <c r="Y311" s="21" t="str">
        <f t="shared" si="100"/>
        <v xml:space="preserve">OK </v>
      </c>
      <c r="Z311" s="405" t="str">
        <f t="shared" si="101"/>
        <v xml:space="preserve"> </v>
      </c>
      <c r="AA311" s="22">
        <f>ROUND((IF(D311=1,(BASE!$G$51*I311),IF(D311=2,(BASE!$G$52*I311),IF(D311=3,(BASE!$G$53*I311),IF(D311=4,(BASE!$G$54*I311),IF(D311=5,(BASE!$G$55*I311),IF(D311=6,(BASE!$G$56*I311),0)))))))/1000,0)*1000</f>
        <v>0</v>
      </c>
      <c r="AB311" s="482">
        <v>0</v>
      </c>
      <c r="AC311" s="22">
        <f t="shared" si="109"/>
        <v>0</v>
      </c>
      <c r="AD311" s="479">
        <f>IF(G311=3,AC311*BASE!$I$62,IF(G311=1,AC311*(BASE!$I$61),IF(G311=2,AC311*(BASE!$I$63),AC311*BASE!$I$64)))</f>
        <v>0</v>
      </c>
      <c r="AE311" s="413">
        <f>IF(I311&lt;10,0,IF(AC311&lt;=BASE!$C$3*2,BASE!$C$2,0)*(AD311/AC311))</f>
        <v>0</v>
      </c>
      <c r="AF311" s="15">
        <v>0</v>
      </c>
      <c r="AG311" s="394">
        <f t="shared" si="102"/>
        <v>0</v>
      </c>
      <c r="AH311" s="394">
        <f t="shared" si="103"/>
        <v>0</v>
      </c>
      <c r="AI311" s="394">
        <f t="shared" si="104"/>
        <v>0</v>
      </c>
      <c r="AJ311" s="394">
        <f t="shared" si="105"/>
        <v>0</v>
      </c>
      <c r="AK311" s="394">
        <f>IF(I311=0,0,IF(G311=5,0,(AC311+AF311/12)*12*BASE!$C$5))</f>
        <v>0</v>
      </c>
      <c r="AL311" s="394">
        <f>IF(I311=0,0,IF(G311=5,0,(AC311+AF311/12)*12*BASE!$C$7))</f>
        <v>0</v>
      </c>
      <c r="AM311" s="394">
        <f>IF(I311=0,0,IF(G311=5,0,(AC311+AF311/12)*12*BASE!$C$9))</f>
        <v>0</v>
      </c>
      <c r="AN311" s="414">
        <f>IF(I311=0,0,IF(G311=5,0,(AD311+AF311+AG311)*BASE!$C$10))</f>
        <v>0</v>
      </c>
      <c r="AO311" s="840">
        <f t="shared" si="106"/>
        <v>0</v>
      </c>
      <c r="AP311" s="601" t="str">
        <f t="shared" si="110"/>
        <v>Sin datos</v>
      </c>
      <c r="AQ311" s="1148"/>
      <c r="AR311" s="1149"/>
    </row>
    <row r="312" spans="1:44" ht="13.5" thickBot="1" x14ac:dyDescent="0.25">
      <c r="A312" s="440"/>
      <c r="B312" s="1184" t="s">
        <v>1235</v>
      </c>
      <c r="C312" s="1165"/>
      <c r="D312" s="1165"/>
      <c r="E312" s="1165"/>
      <c r="F312" s="1185"/>
      <c r="G312" s="486" t="s">
        <v>167</v>
      </c>
      <c r="H312" s="495">
        <f t="shared" ref="H312:N312" si="111">SUM(H280:H311)</f>
        <v>0</v>
      </c>
      <c r="I312" s="495">
        <f t="shared" si="111"/>
        <v>414.01</v>
      </c>
      <c r="J312" s="495">
        <f t="shared" si="111"/>
        <v>89</v>
      </c>
      <c r="K312" s="495">
        <f t="shared" si="111"/>
        <v>27</v>
      </c>
      <c r="L312" s="495">
        <f t="shared" si="111"/>
        <v>24</v>
      </c>
      <c r="M312" s="495">
        <f t="shared" si="111"/>
        <v>24</v>
      </c>
      <c r="N312" s="495">
        <f t="shared" si="111"/>
        <v>12</v>
      </c>
      <c r="O312" s="495">
        <f t="shared" ref="O312:W312" si="112">SUM(O280:O311)</f>
        <v>176</v>
      </c>
      <c r="P312" s="495">
        <f t="shared" si="112"/>
        <v>62</v>
      </c>
      <c r="Q312" s="495">
        <f t="shared" si="112"/>
        <v>90</v>
      </c>
      <c r="R312" s="495">
        <f t="shared" si="112"/>
        <v>152</v>
      </c>
      <c r="S312" s="495">
        <f t="shared" si="112"/>
        <v>39</v>
      </c>
      <c r="T312" s="495">
        <f t="shared" si="112"/>
        <v>5</v>
      </c>
      <c r="U312" s="495">
        <f t="shared" si="112"/>
        <v>0</v>
      </c>
      <c r="V312" s="495">
        <f t="shared" si="112"/>
        <v>44</v>
      </c>
      <c r="W312" s="495">
        <f t="shared" si="112"/>
        <v>2</v>
      </c>
      <c r="X312" s="495">
        <f t="shared" si="99"/>
        <v>374</v>
      </c>
      <c r="Y312" s="495"/>
      <c r="Z312" s="496"/>
      <c r="AA312" s="496"/>
      <c r="AB312" s="496"/>
      <c r="AC312" s="502"/>
      <c r="AD312" s="496">
        <f>SUM(AD280:AD311)</f>
        <v>486322866.66666669</v>
      </c>
      <c r="AE312" s="497">
        <f t="shared" ref="AE312:AO312" si="113">SUM(AE280:AE311)</f>
        <v>4719288.5</v>
      </c>
      <c r="AF312" s="496">
        <f t="shared" si="113"/>
        <v>0</v>
      </c>
      <c r="AG312" s="496">
        <f t="shared" si="113"/>
        <v>27017937.037037045</v>
      </c>
      <c r="AH312" s="496">
        <f t="shared" si="113"/>
        <v>43171674</v>
      </c>
      <c r="AI312" s="496">
        <f t="shared" si="113"/>
        <v>43171674.350308642</v>
      </c>
      <c r="AJ312" s="496">
        <f t="shared" si="113"/>
        <v>4784378.7001388883</v>
      </c>
      <c r="AK312" s="496">
        <f t="shared" si="113"/>
        <v>45824520</v>
      </c>
      <c r="AL312" s="496">
        <f t="shared" si="113"/>
        <v>64693440</v>
      </c>
      <c r="AM312" s="496">
        <f t="shared" si="113"/>
        <v>2814164.6399999997</v>
      </c>
      <c r="AN312" s="498">
        <f t="shared" si="113"/>
        <v>46200672.333333336</v>
      </c>
      <c r="AO312" s="847">
        <f t="shared" si="113"/>
        <v>768720616.22748458</v>
      </c>
      <c r="AP312" s="602">
        <f t="shared" si="110"/>
        <v>1.5806795627283916</v>
      </c>
      <c r="AQ312" s="391"/>
      <c r="AR312" s="391"/>
    </row>
    <row r="313" spans="1:44" ht="13.5" customHeight="1" thickBot="1" x14ac:dyDescent="0.25">
      <c r="A313" s="396"/>
      <c r="B313" s="426" t="s">
        <v>663</v>
      </c>
      <c r="C313" s="499"/>
      <c r="D313" s="500"/>
      <c r="E313" s="25"/>
      <c r="F313" s="501"/>
      <c r="G313" s="26"/>
      <c r="H313" s="25"/>
      <c r="I313" s="396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361"/>
      <c r="AA313" s="361"/>
      <c r="AB313" s="361"/>
      <c r="AC313" s="25"/>
      <c r="AD313" s="25"/>
      <c r="AE313" s="501"/>
      <c r="AF313" s="25"/>
      <c r="AG313" s="25"/>
      <c r="AH313" s="25"/>
      <c r="AI313" s="25"/>
      <c r="AJ313" s="25"/>
      <c r="AK313" s="25"/>
      <c r="AL313" s="25"/>
      <c r="AM313" s="25"/>
      <c r="AN313" s="26"/>
      <c r="AO313" s="846"/>
      <c r="AP313" s="604" t="str">
        <f t="shared" si="110"/>
        <v>Sin datos</v>
      </c>
      <c r="AQ313" s="391"/>
      <c r="AR313" s="391"/>
    </row>
    <row r="314" spans="1:44" ht="13.5" customHeight="1" outlineLevel="1" x14ac:dyDescent="0.2">
      <c r="A314" s="368" t="s">
        <v>601</v>
      </c>
      <c r="B314" s="422"/>
      <c r="C314" s="427"/>
      <c r="D314" s="430" t="str">
        <f>IF(E314="","",VLOOKUP(E314,BASE!$F$20:$H$25,2,FALSE))</f>
        <v/>
      </c>
      <c r="E314" s="399"/>
      <c r="F314" s="489"/>
      <c r="G314" s="490" t="str">
        <f>IF(F314="","",VLOOKUP(F314,BASE!$B$15:$C$18,2,FALSE))</f>
        <v/>
      </c>
      <c r="H314" s="353">
        <v>0</v>
      </c>
      <c r="I314" s="428">
        <v>0</v>
      </c>
      <c r="J314" s="352"/>
      <c r="K314" s="352"/>
      <c r="L314" s="352"/>
      <c r="M314" s="352"/>
      <c r="N314" s="352"/>
      <c r="O314" s="353">
        <f t="shared" ref="O314:O332" si="114">+J314+K314+L314+M314+N314</f>
        <v>0</v>
      </c>
      <c r="P314" s="352"/>
      <c r="Q314" s="352"/>
      <c r="R314" s="353">
        <f t="shared" ref="R314:R332" si="115">+P314+Q314</f>
        <v>0</v>
      </c>
      <c r="S314" s="352"/>
      <c r="T314" s="352"/>
      <c r="U314" s="352"/>
      <c r="V314" s="353">
        <f t="shared" ref="V314:V332" si="116">+S314+T314+U314</f>
        <v>0</v>
      </c>
      <c r="W314" s="352"/>
      <c r="X314" s="353">
        <f t="shared" ref="X314:X333" si="117">+O314+R314+V314+W314</f>
        <v>0</v>
      </c>
      <c r="Y314" s="192" t="str">
        <f t="shared" ref="Y314:Y332" si="118">IF(I314-X314=0,"OK ",IF(I314-X314&gt;0,"AJUSTE",IF(I314-X314&lt;0,"AJUSTE")))</f>
        <v xml:space="preserve">OK </v>
      </c>
      <c r="Z314" s="406" t="str">
        <f t="shared" ref="Z314:Z332" si="119">IF(H314-I314=0," ",IF(H314-I314&gt;0,"JUSTIFICAR","AJUSTE"))</f>
        <v xml:space="preserve"> </v>
      </c>
      <c r="AA314" s="193">
        <f>ROUND((IF(D314=1,(BASE!$G$51*I314),IF(D314=2,(BASE!$G$52*I314),IF(D314=3,(BASE!$G$53*I314),IF(D314=4,(BASE!$G$54*I314),IF(D314=5,(BASE!$G$55*I314),IF(D314=6,(BASE!$G$56*I314),0)))))))/1000,0)*1000</f>
        <v>0</v>
      </c>
      <c r="AB314" s="480">
        <v>0</v>
      </c>
      <c r="AC314" s="193">
        <f t="shared" ref="AC314:AC332" si="120">AA314+AB314</f>
        <v>0</v>
      </c>
      <c r="AD314" s="491">
        <f>IF(G314=3,AC314*BASE!$I$62,IF(G314=1,AC314*(BASE!$I$61),IF(G314=2,AC314*(BASE!$I$63),AC314*BASE!$I$64)))/2</f>
        <v>0</v>
      </c>
      <c r="AE314" s="409">
        <f>IF(I314&lt;10,0,IF(AC314&lt;=BASE!$C$3*2,BASE!$C$2,0)*(AD314/AC314))</f>
        <v>0</v>
      </c>
      <c r="AF314" s="393">
        <v>0</v>
      </c>
      <c r="AG314" s="392">
        <f t="shared" ref="AG314:AG332" si="121">IF(I314=0,0,IF(G314=5,0,((AD314/12)+(AF314/12))/3*2))</f>
        <v>0</v>
      </c>
      <c r="AH314" s="392">
        <f>ROUND((AD314/12)+(AE314/12)+(AF314/12)+(AG314/12),0)</f>
        <v>0</v>
      </c>
      <c r="AI314" s="392">
        <f>((AD314/12)+(AE314/12)+(AF314/12)+(AG314/12))</f>
        <v>0</v>
      </c>
      <c r="AJ314" s="392">
        <f t="shared" ref="AJ314:AJ332" si="122">IF(G314=3,(AI314*11%),IF(G314=4,(AI314*12%),IF(G314=2,(AI314*12%),IF(G314=1,(AI314*10%),0))))</f>
        <v>0</v>
      </c>
      <c r="AK314" s="392">
        <f>IF(I314=0,0,IF(G314=5,0,(AC314+AF314/12)*12*BASE!$C$5))/2</f>
        <v>0</v>
      </c>
      <c r="AL314" s="392">
        <f>IF(I314=0,0,IF(G314=5,0,(AC314+AE314/12+AF314/12)*12*BASE!$C$7))/2</f>
        <v>0</v>
      </c>
      <c r="AM314" s="392">
        <f>IF(I314=0,0,IF(G314=5,0,(AC314+AF314/12)*12*BASE!$C$9))/2</f>
        <v>0</v>
      </c>
      <c r="AN314" s="410">
        <f>IF(I314=0,0,IF(G314=5,0,(AD314+AF314+AG314)*BASE!$C$10))/2</f>
        <v>0</v>
      </c>
      <c r="AO314" s="844">
        <f>+AD314+AE314+AF314+AG314+AH314+AI314+AJ314+AK314+AL314+AM314+AN314</f>
        <v>0</v>
      </c>
      <c r="AP314" s="601" t="str">
        <f t="shared" si="110"/>
        <v>Sin datos</v>
      </c>
      <c r="AQ314" s="1148"/>
      <c r="AR314" s="1149"/>
    </row>
    <row r="315" spans="1:44" ht="13.5" customHeight="1" outlineLevel="1" x14ac:dyDescent="0.2">
      <c r="A315" s="368" t="s">
        <v>602</v>
      </c>
      <c r="B315" s="424"/>
      <c r="C315" s="427"/>
      <c r="D315" s="431" t="str">
        <f>IF(E315="","",VLOOKUP(E315,BASE!$F$20:$H$25,2,FALSE))</f>
        <v/>
      </c>
      <c r="E315" s="399"/>
      <c r="F315" s="436"/>
      <c r="G315" s="437" t="str">
        <f>IF(F315="","",VLOOKUP(F315,BASE!$B$15:$C$18,2,FALSE))</f>
        <v/>
      </c>
      <c r="H315" s="520">
        <v>0</v>
      </c>
      <c r="I315" s="424">
        <v>0</v>
      </c>
      <c r="J315" s="354"/>
      <c r="K315" s="354"/>
      <c r="L315" s="354"/>
      <c r="M315" s="354"/>
      <c r="N315" s="354"/>
      <c r="O315" s="355">
        <f t="shared" si="114"/>
        <v>0</v>
      </c>
      <c r="P315" s="354"/>
      <c r="Q315" s="354"/>
      <c r="R315" s="355">
        <f t="shared" si="115"/>
        <v>0</v>
      </c>
      <c r="S315" s="354"/>
      <c r="T315" s="354"/>
      <c r="U315" s="354"/>
      <c r="V315" s="355">
        <f t="shared" si="116"/>
        <v>0</v>
      </c>
      <c r="W315" s="354"/>
      <c r="X315" s="355">
        <f t="shared" si="117"/>
        <v>0</v>
      </c>
      <c r="Y315" s="19" t="str">
        <f t="shared" si="118"/>
        <v xml:space="preserve">OK </v>
      </c>
      <c r="Z315" s="404" t="str">
        <f t="shared" si="119"/>
        <v xml:space="preserve"> </v>
      </c>
      <c r="AA315" s="20">
        <f>ROUND((IF(D315=1,(BASE!$G$51*I315),IF(D315=2,(BASE!$G$52*I315),IF(D315=3,(BASE!$G$53*I315),IF(D315=4,(BASE!$G$54*I315),IF(D315=5,(BASE!$G$55*I315),IF(D315=6,(BASE!$G$56*I315),0)))))))/1000,0)*1000</f>
        <v>0</v>
      </c>
      <c r="AB315" s="481">
        <v>0</v>
      </c>
      <c r="AC315" s="20">
        <f t="shared" si="120"/>
        <v>0</v>
      </c>
      <c r="AD315" s="478">
        <f>IF(G315=3,AC315*BASE!$I$62,IF(G315=1,AC315*(BASE!$I$61),IF(G315=2,AC315*(BASE!$I$63),AC315*BASE!$I$64)))/2</f>
        <v>0</v>
      </c>
      <c r="AE315" s="411">
        <f>IF(I315&lt;10,0,IF(AC315&lt;=BASE!$C$3*2,BASE!$C$2,0)*(AD315/AC315))</f>
        <v>0</v>
      </c>
      <c r="AF315" s="13">
        <v>0</v>
      </c>
      <c r="AG315" s="14">
        <f t="shared" si="121"/>
        <v>0</v>
      </c>
      <c r="AH315" s="14">
        <f t="shared" ref="AH315:AH332" si="123">ROUND((AD315/12)+(AE315/12)+(AF315/12)+(AG315/12),0)</f>
        <v>0</v>
      </c>
      <c r="AI315" s="14">
        <f t="shared" ref="AI315:AI332" si="124">((AD315/12)+(AE315/12)+(AF315/12)+(AG315/12))</f>
        <v>0</v>
      </c>
      <c r="AJ315" s="14">
        <f t="shared" si="122"/>
        <v>0</v>
      </c>
      <c r="AK315" s="14">
        <f>IF(I315=0,0,IF(G315=5,0,(AC315+AF315/12)*12*BASE!$C$5))/2</f>
        <v>0</v>
      </c>
      <c r="AL315" s="14">
        <f>IF(I315=0,0,IF(G315=5,0,(AC315+AE315/12+AF315/12)*12*BASE!$C$7))/2</f>
        <v>0</v>
      </c>
      <c r="AM315" s="14">
        <f>IF(I315=0,0,IF(G315=5,0,(AC315+AF315/12)*12*BASE!$C$9))/2</f>
        <v>0</v>
      </c>
      <c r="AN315" s="412">
        <f>IF(I315=0,0,IF(G315=5,0,(AD315+AF315+AG315)*BASE!$C$10))/2</f>
        <v>0</v>
      </c>
      <c r="AO315" s="837">
        <f t="shared" ref="AO315:AO332" si="125">+AD315+AE315+AF315+AG315+AH315+AI315+AJ315+AK315+AL315+AM315+AN315</f>
        <v>0</v>
      </c>
      <c r="AP315" s="601" t="str">
        <f t="shared" si="110"/>
        <v>Sin datos</v>
      </c>
      <c r="AQ315" s="1148"/>
      <c r="AR315" s="1149"/>
    </row>
    <row r="316" spans="1:44" ht="13.5" customHeight="1" outlineLevel="1" x14ac:dyDescent="0.2">
      <c r="A316" s="368" t="s">
        <v>603</v>
      </c>
      <c r="B316" s="424"/>
      <c r="C316" s="427"/>
      <c r="D316" s="431" t="str">
        <f>IF(E316="","",VLOOKUP(E316,BASE!$F$20:$H$25,2,FALSE))</f>
        <v/>
      </c>
      <c r="E316" s="399"/>
      <c r="F316" s="436"/>
      <c r="G316" s="437" t="str">
        <f>IF(F316="","",VLOOKUP(F316,BASE!$B$15:$C$18,2,FALSE))</f>
        <v/>
      </c>
      <c r="H316" s="520">
        <v>0</v>
      </c>
      <c r="I316" s="424">
        <v>0</v>
      </c>
      <c r="J316" s="354"/>
      <c r="K316" s="354"/>
      <c r="L316" s="354"/>
      <c r="M316" s="354"/>
      <c r="N316" s="354"/>
      <c r="O316" s="355">
        <f t="shared" si="114"/>
        <v>0</v>
      </c>
      <c r="P316" s="354"/>
      <c r="Q316" s="354"/>
      <c r="R316" s="355">
        <f t="shared" si="115"/>
        <v>0</v>
      </c>
      <c r="S316" s="354"/>
      <c r="T316" s="354"/>
      <c r="U316" s="354"/>
      <c r="V316" s="355">
        <f t="shared" si="116"/>
        <v>0</v>
      </c>
      <c r="W316" s="354"/>
      <c r="X316" s="355">
        <f t="shared" si="117"/>
        <v>0</v>
      </c>
      <c r="Y316" s="19" t="str">
        <f t="shared" si="118"/>
        <v xml:space="preserve">OK </v>
      </c>
      <c r="Z316" s="404" t="str">
        <f t="shared" si="119"/>
        <v xml:space="preserve"> </v>
      </c>
      <c r="AA316" s="20">
        <f>ROUND((IF(D316=1,(BASE!$G$51*I316),IF(D316=2,(BASE!$G$52*I316),IF(D316=3,(BASE!$G$53*I316),IF(D316=4,(BASE!$G$54*I316),IF(D316=5,(BASE!$G$55*I316),IF(D316=6,(BASE!$G$56*I316),0)))))))/1000,0)*1000</f>
        <v>0</v>
      </c>
      <c r="AB316" s="481">
        <v>0</v>
      </c>
      <c r="AC316" s="20">
        <f t="shared" si="120"/>
        <v>0</v>
      </c>
      <c r="AD316" s="478">
        <f>IF(G316=3,AC316*BASE!$I$62,IF(G316=1,AC316*(BASE!$I$61),IF(G316=2,AC316*(BASE!$I$63),AC316*BASE!$I$64)))/2</f>
        <v>0</v>
      </c>
      <c r="AE316" s="411">
        <f>IF(I316&lt;10,0,IF(AC316&lt;=BASE!$C$3*2,BASE!$C$2,0)*(AD316/AC316))</f>
        <v>0</v>
      </c>
      <c r="AF316" s="13">
        <v>0</v>
      </c>
      <c r="AG316" s="14">
        <f t="shared" si="121"/>
        <v>0</v>
      </c>
      <c r="AH316" s="14">
        <f t="shared" si="123"/>
        <v>0</v>
      </c>
      <c r="AI316" s="14">
        <f t="shared" si="124"/>
        <v>0</v>
      </c>
      <c r="AJ316" s="14">
        <f t="shared" si="122"/>
        <v>0</v>
      </c>
      <c r="AK316" s="14">
        <f>IF(I316=0,0,IF(G316=5,0,(AC316+AF316/12)*12*BASE!$C$5))/2</f>
        <v>0</v>
      </c>
      <c r="AL316" s="14">
        <f>IF(I316=0,0,IF(G316=5,0,(AC316+AE316/12+AF316/12)*12*BASE!$C$7))/2</f>
        <v>0</v>
      </c>
      <c r="AM316" s="14">
        <f>IF(I316=0,0,IF(G316=5,0,(AC316+AF316/12)*12*BASE!$C$9))/2</f>
        <v>0</v>
      </c>
      <c r="AN316" s="412">
        <f>IF(I316=0,0,IF(G316=5,0,(AD316+AF316+AG316)*BASE!$C$10))/2</f>
        <v>0</v>
      </c>
      <c r="AO316" s="837">
        <f t="shared" si="125"/>
        <v>0</v>
      </c>
      <c r="AP316" s="601" t="str">
        <f t="shared" si="110"/>
        <v>Sin datos</v>
      </c>
      <c r="AQ316" s="1148"/>
      <c r="AR316" s="1149"/>
    </row>
    <row r="317" spans="1:44" ht="13.5" customHeight="1" outlineLevel="1" x14ac:dyDescent="0.2">
      <c r="A317" s="368" t="s">
        <v>604</v>
      </c>
      <c r="B317" s="424"/>
      <c r="C317" s="427"/>
      <c r="D317" s="431" t="str">
        <f>IF(E317="","",VLOOKUP(E317,BASE!$F$20:$H$25,2,FALSE))</f>
        <v/>
      </c>
      <c r="E317" s="399"/>
      <c r="F317" s="436"/>
      <c r="G317" s="437" t="str">
        <f>IF(F317="","",VLOOKUP(F317,BASE!$B$15:$C$18,2,FALSE))</f>
        <v/>
      </c>
      <c r="H317" s="520">
        <v>0</v>
      </c>
      <c r="I317" s="424">
        <v>0</v>
      </c>
      <c r="J317" s="354"/>
      <c r="K317" s="354"/>
      <c r="L317" s="354"/>
      <c r="M317" s="354"/>
      <c r="N317" s="354"/>
      <c r="O317" s="355">
        <f t="shared" si="114"/>
        <v>0</v>
      </c>
      <c r="P317" s="354"/>
      <c r="Q317" s="354"/>
      <c r="R317" s="355">
        <f t="shared" si="115"/>
        <v>0</v>
      </c>
      <c r="S317" s="354"/>
      <c r="T317" s="354"/>
      <c r="U317" s="354"/>
      <c r="V317" s="355">
        <f t="shared" si="116"/>
        <v>0</v>
      </c>
      <c r="W317" s="354"/>
      <c r="X317" s="355">
        <f t="shared" si="117"/>
        <v>0</v>
      </c>
      <c r="Y317" s="19" t="str">
        <f t="shared" si="118"/>
        <v xml:space="preserve">OK </v>
      </c>
      <c r="Z317" s="404" t="str">
        <f t="shared" si="119"/>
        <v xml:space="preserve"> </v>
      </c>
      <c r="AA317" s="20">
        <f>ROUND((IF(D317=1,(BASE!$G$51*I317),IF(D317=2,(BASE!$G$52*I317),IF(D317=3,(BASE!$G$53*I317),IF(D317=4,(BASE!$G$54*I317),IF(D317=5,(BASE!$G$55*I317),IF(D317=6,(BASE!$G$56*I317),0)))))))/1000,0)*1000</f>
        <v>0</v>
      </c>
      <c r="AB317" s="481">
        <v>0</v>
      </c>
      <c r="AC317" s="20">
        <f t="shared" si="120"/>
        <v>0</v>
      </c>
      <c r="AD317" s="478">
        <f>IF(G317=3,AC317*BASE!$I$62,IF(G317=1,AC317*(BASE!$I$61),IF(G317=2,AC317*(BASE!$I$63),AC317*BASE!$I$64)))/2</f>
        <v>0</v>
      </c>
      <c r="AE317" s="411">
        <f>IF(I317&lt;10,0,IF(AC317&lt;=BASE!$C$3*2,BASE!$C$2,0)*(AD317/AC317))</f>
        <v>0</v>
      </c>
      <c r="AF317" s="13">
        <v>0</v>
      </c>
      <c r="AG317" s="14">
        <f t="shared" si="121"/>
        <v>0</v>
      </c>
      <c r="AH317" s="14">
        <f t="shared" si="123"/>
        <v>0</v>
      </c>
      <c r="AI317" s="14">
        <f t="shared" si="124"/>
        <v>0</v>
      </c>
      <c r="AJ317" s="14">
        <f t="shared" si="122"/>
        <v>0</v>
      </c>
      <c r="AK317" s="14">
        <f>IF(I317=0,0,IF(G317=5,0,(AC317+AF317/12)*12*BASE!$C$5))/2</f>
        <v>0</v>
      </c>
      <c r="AL317" s="14">
        <f>IF(I317=0,0,IF(G317=5,0,(AC317+AE317/12+AF317/12)*12*BASE!$C$7))/2</f>
        <v>0</v>
      </c>
      <c r="AM317" s="14">
        <f>IF(I317=0,0,IF(G317=5,0,(AC317+AF317/12)*12*BASE!$C$9))/2</f>
        <v>0</v>
      </c>
      <c r="AN317" s="412">
        <f>IF(I317=0,0,IF(G317=5,0,(AD317+AF317+AG317)*BASE!$C$10))/2</f>
        <v>0</v>
      </c>
      <c r="AO317" s="837">
        <f t="shared" si="125"/>
        <v>0</v>
      </c>
      <c r="AP317" s="601" t="str">
        <f t="shared" si="110"/>
        <v>Sin datos</v>
      </c>
      <c r="AQ317" s="1148"/>
      <c r="AR317" s="1149"/>
    </row>
    <row r="318" spans="1:44" ht="13.5" customHeight="1" outlineLevel="1" x14ac:dyDescent="0.2">
      <c r="A318" s="368" t="s">
        <v>605</v>
      </c>
      <c r="B318" s="424"/>
      <c r="C318" s="427"/>
      <c r="D318" s="431" t="str">
        <f>IF(E318="","",VLOOKUP(E318,BASE!$F$20:$H$25,2,FALSE))</f>
        <v/>
      </c>
      <c r="E318" s="399"/>
      <c r="F318" s="436"/>
      <c r="G318" s="437" t="str">
        <f>IF(F318="","",VLOOKUP(F318,BASE!$B$15:$C$18,2,FALSE))</f>
        <v/>
      </c>
      <c r="H318" s="520">
        <v>0</v>
      </c>
      <c r="I318" s="424">
        <v>0</v>
      </c>
      <c r="J318" s="354"/>
      <c r="K318" s="354"/>
      <c r="L318" s="354"/>
      <c r="M318" s="354"/>
      <c r="N318" s="354"/>
      <c r="O318" s="355">
        <f t="shared" si="114"/>
        <v>0</v>
      </c>
      <c r="P318" s="354"/>
      <c r="Q318" s="354"/>
      <c r="R318" s="355">
        <f t="shared" si="115"/>
        <v>0</v>
      </c>
      <c r="S318" s="354"/>
      <c r="T318" s="354"/>
      <c r="U318" s="354"/>
      <c r="V318" s="355">
        <f t="shared" si="116"/>
        <v>0</v>
      </c>
      <c r="W318" s="354"/>
      <c r="X318" s="355">
        <f t="shared" si="117"/>
        <v>0</v>
      </c>
      <c r="Y318" s="19" t="str">
        <f t="shared" si="118"/>
        <v xml:space="preserve">OK </v>
      </c>
      <c r="Z318" s="404" t="str">
        <f t="shared" si="119"/>
        <v xml:space="preserve"> </v>
      </c>
      <c r="AA318" s="20">
        <f>ROUND((IF(D318=1,(BASE!$G$51*I318),IF(D318=2,(BASE!$G$52*I318),IF(D318=3,(BASE!$G$53*I318),IF(D318=4,(BASE!$G$54*I318),IF(D318=5,(BASE!$G$55*I318),IF(D318=6,(BASE!$G$56*I318),0)))))))/1000,0)*1000</f>
        <v>0</v>
      </c>
      <c r="AB318" s="481">
        <v>0</v>
      </c>
      <c r="AC318" s="20">
        <f t="shared" si="120"/>
        <v>0</v>
      </c>
      <c r="AD318" s="478">
        <f>IF(G318=3,AC318*BASE!$I$62,IF(G318=1,AC318*(BASE!$I$61),IF(G318=2,AC318*(BASE!$I$63),AC318*BASE!$I$64)))/2</f>
        <v>0</v>
      </c>
      <c r="AE318" s="411">
        <f>IF(I318&lt;10,0,IF(AC318&lt;=BASE!$C$3*2,BASE!$C$2,0)*(AD318/AC318))</f>
        <v>0</v>
      </c>
      <c r="AF318" s="13">
        <v>0</v>
      </c>
      <c r="AG318" s="14">
        <f t="shared" si="121"/>
        <v>0</v>
      </c>
      <c r="AH318" s="14">
        <f t="shared" si="123"/>
        <v>0</v>
      </c>
      <c r="AI318" s="14">
        <f t="shared" si="124"/>
        <v>0</v>
      </c>
      <c r="AJ318" s="14">
        <f t="shared" si="122"/>
        <v>0</v>
      </c>
      <c r="AK318" s="14">
        <f>IF(I318=0,0,IF(G318=5,0,(AC318+AF318/12)*12*BASE!$C$5))/2</f>
        <v>0</v>
      </c>
      <c r="AL318" s="14">
        <f>IF(I318=0,0,IF(G318=5,0,(AC318+AE318/12+AF318/12)*12*BASE!$C$7))/2</f>
        <v>0</v>
      </c>
      <c r="AM318" s="14">
        <f>IF(I318=0,0,IF(G318=5,0,(AC318+AF318/12)*12*BASE!$C$9))/2</f>
        <v>0</v>
      </c>
      <c r="AN318" s="412">
        <f>IF(I318=0,0,IF(G318=5,0,(AD318+AF318+AG318)*BASE!$C$10))/2</f>
        <v>0</v>
      </c>
      <c r="AO318" s="837">
        <f t="shared" si="125"/>
        <v>0</v>
      </c>
      <c r="AP318" s="601" t="str">
        <f t="shared" si="110"/>
        <v>Sin datos</v>
      </c>
      <c r="AQ318" s="1148"/>
      <c r="AR318" s="1149"/>
    </row>
    <row r="319" spans="1:44" ht="13.5" customHeight="1" outlineLevel="1" x14ac:dyDescent="0.2">
      <c r="A319" s="368" t="s">
        <v>606</v>
      </c>
      <c r="B319" s="424"/>
      <c r="C319" s="427"/>
      <c r="D319" s="431" t="str">
        <f>IF(E319="","",VLOOKUP(E319,BASE!$F$20:$H$25,2,FALSE))</f>
        <v/>
      </c>
      <c r="E319" s="399"/>
      <c r="F319" s="436"/>
      <c r="G319" s="437" t="str">
        <f>IF(F319="","",VLOOKUP(F319,BASE!$B$15:$C$18,2,FALSE))</f>
        <v/>
      </c>
      <c r="H319" s="520">
        <v>0</v>
      </c>
      <c r="I319" s="424">
        <v>0</v>
      </c>
      <c r="J319" s="354"/>
      <c r="K319" s="354"/>
      <c r="L319" s="354"/>
      <c r="M319" s="354"/>
      <c r="N319" s="354"/>
      <c r="O319" s="355">
        <f t="shared" si="114"/>
        <v>0</v>
      </c>
      <c r="P319" s="354"/>
      <c r="Q319" s="354"/>
      <c r="R319" s="355">
        <f t="shared" si="115"/>
        <v>0</v>
      </c>
      <c r="S319" s="354"/>
      <c r="T319" s="354"/>
      <c r="U319" s="354"/>
      <c r="V319" s="355">
        <f t="shared" si="116"/>
        <v>0</v>
      </c>
      <c r="W319" s="354"/>
      <c r="X319" s="355">
        <f t="shared" si="117"/>
        <v>0</v>
      </c>
      <c r="Y319" s="19" t="str">
        <f t="shared" si="118"/>
        <v xml:space="preserve">OK </v>
      </c>
      <c r="Z319" s="404" t="str">
        <f t="shared" si="119"/>
        <v xml:space="preserve"> </v>
      </c>
      <c r="AA319" s="20">
        <f>ROUND((IF(D319=1,(BASE!$G$51*I319),IF(D319=2,(BASE!$G$52*I319),IF(D319=3,(BASE!$G$53*I319),IF(D319=4,(BASE!$G$54*I319),IF(D319=5,(BASE!$G$55*I319),IF(D319=6,(BASE!$G$56*I319),0)))))))/1000,0)*1000</f>
        <v>0</v>
      </c>
      <c r="AB319" s="481">
        <v>0</v>
      </c>
      <c r="AC319" s="20">
        <f t="shared" si="120"/>
        <v>0</v>
      </c>
      <c r="AD319" s="478">
        <f>IF(G319=3,AC319*BASE!$I$62,IF(G319=1,AC319*(BASE!$I$61),IF(G319=2,AC319*(BASE!$I$63),AC319*BASE!$I$64)))/2</f>
        <v>0</v>
      </c>
      <c r="AE319" s="411">
        <f>IF(I319&lt;10,0,IF(AC319&lt;=BASE!$C$3*2,BASE!$C$2,0)*(AD319/AC319))</f>
        <v>0</v>
      </c>
      <c r="AF319" s="13">
        <v>0</v>
      </c>
      <c r="AG319" s="14">
        <f t="shared" si="121"/>
        <v>0</v>
      </c>
      <c r="AH319" s="14">
        <f t="shared" si="123"/>
        <v>0</v>
      </c>
      <c r="AI319" s="14">
        <f t="shared" si="124"/>
        <v>0</v>
      </c>
      <c r="AJ319" s="14">
        <f t="shared" si="122"/>
        <v>0</v>
      </c>
      <c r="AK319" s="14">
        <f>IF(I319=0,0,IF(G319=5,0,(AC319+AF319/12)*12*BASE!$C$5))/2</f>
        <v>0</v>
      </c>
      <c r="AL319" s="14">
        <f>IF(I319=0,0,IF(G319=5,0,(AC319+AE319/12+AF319/12)*12*BASE!$C$7))/2</f>
        <v>0</v>
      </c>
      <c r="AM319" s="14">
        <f>IF(I319=0,0,IF(G319=5,0,(AC319+AF319/12)*12*BASE!$C$9))/2</f>
        <v>0</v>
      </c>
      <c r="AN319" s="412">
        <f>IF(I319=0,0,IF(G319=5,0,(AD319+AF319+AG319)*BASE!$C$10))/2</f>
        <v>0</v>
      </c>
      <c r="AO319" s="837">
        <f t="shared" si="125"/>
        <v>0</v>
      </c>
      <c r="AP319" s="601" t="str">
        <f t="shared" si="110"/>
        <v>Sin datos</v>
      </c>
      <c r="AQ319" s="1148"/>
      <c r="AR319" s="1149"/>
    </row>
    <row r="320" spans="1:44" ht="13.5" customHeight="1" outlineLevel="1" x14ac:dyDescent="0.2">
      <c r="A320" s="368" t="s">
        <v>607</v>
      </c>
      <c r="B320" s="424"/>
      <c r="C320" s="427"/>
      <c r="D320" s="431" t="str">
        <f>IF(E320="","",VLOOKUP(E320,BASE!$F$20:$H$25,2,FALSE))</f>
        <v/>
      </c>
      <c r="E320" s="399"/>
      <c r="F320" s="436"/>
      <c r="G320" s="437" t="str">
        <f>IF(F320="","",VLOOKUP(F320,BASE!$B$15:$C$18,2,FALSE))</f>
        <v/>
      </c>
      <c r="H320" s="520">
        <v>0</v>
      </c>
      <c r="I320" s="424">
        <v>0</v>
      </c>
      <c r="J320" s="354"/>
      <c r="K320" s="354"/>
      <c r="L320" s="354"/>
      <c r="M320" s="354"/>
      <c r="N320" s="354"/>
      <c r="O320" s="355">
        <f t="shared" si="114"/>
        <v>0</v>
      </c>
      <c r="P320" s="354"/>
      <c r="Q320" s="354"/>
      <c r="R320" s="355">
        <f t="shared" si="115"/>
        <v>0</v>
      </c>
      <c r="S320" s="354"/>
      <c r="T320" s="354"/>
      <c r="U320" s="354"/>
      <c r="V320" s="355">
        <f t="shared" si="116"/>
        <v>0</v>
      </c>
      <c r="W320" s="354"/>
      <c r="X320" s="355">
        <f t="shared" si="117"/>
        <v>0</v>
      </c>
      <c r="Y320" s="19" t="str">
        <f t="shared" si="118"/>
        <v xml:space="preserve">OK </v>
      </c>
      <c r="Z320" s="404" t="str">
        <f t="shared" si="119"/>
        <v xml:space="preserve"> </v>
      </c>
      <c r="AA320" s="20">
        <f>ROUND((IF(D320=1,(BASE!$G$51*I320),IF(D320=2,(BASE!$G$52*I320),IF(D320=3,(BASE!$G$53*I320),IF(D320=4,(BASE!$G$54*I320),IF(D320=5,(BASE!$G$55*I320),IF(D320=6,(BASE!$G$56*I320),0)))))))/1000,0)*1000</f>
        <v>0</v>
      </c>
      <c r="AB320" s="481">
        <v>0</v>
      </c>
      <c r="AC320" s="20">
        <f t="shared" si="120"/>
        <v>0</v>
      </c>
      <c r="AD320" s="478">
        <f>IF(G320=3,AC320*BASE!$I$62,IF(G320=1,AC320*(BASE!$I$61),IF(G320=2,AC320*(BASE!$I$63),AC320*BASE!$I$64)))/2</f>
        <v>0</v>
      </c>
      <c r="AE320" s="411">
        <f>IF(I320&lt;10,0,IF(AC320&lt;=BASE!$C$3*2,BASE!$C$2,0)*(AD320/AC320))</f>
        <v>0</v>
      </c>
      <c r="AF320" s="13">
        <v>0</v>
      </c>
      <c r="AG320" s="14">
        <f t="shared" si="121"/>
        <v>0</v>
      </c>
      <c r="AH320" s="14">
        <f t="shared" si="123"/>
        <v>0</v>
      </c>
      <c r="AI320" s="14">
        <f t="shared" si="124"/>
        <v>0</v>
      </c>
      <c r="AJ320" s="14">
        <f t="shared" si="122"/>
        <v>0</v>
      </c>
      <c r="AK320" s="14">
        <f>IF(I320=0,0,IF(G320=5,0,(AC320+AF320/12)*12*BASE!$C$5))/2</f>
        <v>0</v>
      </c>
      <c r="AL320" s="14">
        <f>IF(I320=0,0,IF(G320=5,0,(AC320+AE320/12+AF320/12)*12*BASE!$C$7))/2</f>
        <v>0</v>
      </c>
      <c r="AM320" s="14">
        <f>IF(I320=0,0,IF(G320=5,0,(AC320+AF320/12)*12*BASE!$C$9))/2</f>
        <v>0</v>
      </c>
      <c r="AN320" s="412">
        <f>IF(I320=0,0,IF(G320=5,0,(AD320+AF320+AG320)*BASE!$C$10))/2</f>
        <v>0</v>
      </c>
      <c r="AO320" s="837">
        <f t="shared" si="125"/>
        <v>0</v>
      </c>
      <c r="AP320" s="601" t="str">
        <f t="shared" si="110"/>
        <v>Sin datos</v>
      </c>
      <c r="AQ320" s="1148"/>
      <c r="AR320" s="1149"/>
    </row>
    <row r="321" spans="1:44" ht="13.5" customHeight="1" outlineLevel="1" x14ac:dyDescent="0.2">
      <c r="A321" s="368" t="s">
        <v>608</v>
      </c>
      <c r="B321" s="424"/>
      <c r="C321" s="427"/>
      <c r="D321" s="431" t="str">
        <f>IF(E321="","",VLOOKUP(E321,BASE!$F$20:$H$25,2,FALSE))</f>
        <v/>
      </c>
      <c r="E321" s="399"/>
      <c r="F321" s="436"/>
      <c r="G321" s="437" t="str">
        <f>IF(F321="","",VLOOKUP(F321,BASE!$B$15:$C$18,2,FALSE))</f>
        <v/>
      </c>
      <c r="H321" s="520">
        <v>0</v>
      </c>
      <c r="I321" s="424">
        <v>0</v>
      </c>
      <c r="J321" s="354"/>
      <c r="K321" s="354"/>
      <c r="L321" s="354"/>
      <c r="M321" s="354"/>
      <c r="N321" s="354"/>
      <c r="O321" s="355">
        <f t="shared" si="114"/>
        <v>0</v>
      </c>
      <c r="P321" s="354"/>
      <c r="Q321" s="354"/>
      <c r="R321" s="355">
        <f t="shared" si="115"/>
        <v>0</v>
      </c>
      <c r="S321" s="354"/>
      <c r="T321" s="354"/>
      <c r="U321" s="354"/>
      <c r="V321" s="355">
        <f t="shared" si="116"/>
        <v>0</v>
      </c>
      <c r="W321" s="354"/>
      <c r="X321" s="355">
        <f t="shared" si="117"/>
        <v>0</v>
      </c>
      <c r="Y321" s="19" t="str">
        <f t="shared" si="118"/>
        <v xml:space="preserve">OK </v>
      </c>
      <c r="Z321" s="404" t="str">
        <f t="shared" si="119"/>
        <v xml:space="preserve"> </v>
      </c>
      <c r="AA321" s="20">
        <f>ROUND((IF(D321=1,(BASE!$G$51*I321),IF(D321=2,(BASE!$G$52*I321),IF(D321=3,(BASE!$G$53*I321),IF(D321=4,(BASE!$G$54*I321),IF(D321=5,(BASE!$G$55*I321),IF(D321=6,(BASE!$G$56*I321),0)))))))/1000,0)*1000</f>
        <v>0</v>
      </c>
      <c r="AB321" s="481">
        <v>0</v>
      </c>
      <c r="AC321" s="20">
        <f t="shared" si="120"/>
        <v>0</v>
      </c>
      <c r="AD321" s="478">
        <f>IF(G321=3,AC321*BASE!$I$62,IF(G321=1,AC321*(BASE!$I$61),IF(G321=2,AC321*(BASE!$I$63),AC321*BASE!$I$64)))/2</f>
        <v>0</v>
      </c>
      <c r="AE321" s="411">
        <f>IF(I321&lt;10,0,IF(AC321&lt;=BASE!$C$3*2,BASE!$C$2,0)*(AD321/AC321))</f>
        <v>0</v>
      </c>
      <c r="AF321" s="13">
        <v>0</v>
      </c>
      <c r="AG321" s="14">
        <f t="shared" si="121"/>
        <v>0</v>
      </c>
      <c r="AH321" s="14">
        <f t="shared" si="123"/>
        <v>0</v>
      </c>
      <c r="AI321" s="14">
        <f t="shared" si="124"/>
        <v>0</v>
      </c>
      <c r="AJ321" s="14">
        <f t="shared" si="122"/>
        <v>0</v>
      </c>
      <c r="AK321" s="14">
        <f>IF(I321=0,0,IF(G321=5,0,(AC321+AF321/12)*12*BASE!$C$5))/2</f>
        <v>0</v>
      </c>
      <c r="AL321" s="14">
        <f>IF(I321=0,0,IF(G321=5,0,(AC321+AE321/12+AF321/12)*12*BASE!$C$7))/2</f>
        <v>0</v>
      </c>
      <c r="AM321" s="14">
        <f>IF(I321=0,0,IF(G321=5,0,(AC321+AF321/12)*12*BASE!$C$9))/2</f>
        <v>0</v>
      </c>
      <c r="AN321" s="412">
        <f>IF(I321=0,0,IF(G321=5,0,(AD321+AF321+AG321)*BASE!$C$10))/2</f>
        <v>0</v>
      </c>
      <c r="AO321" s="837">
        <f t="shared" si="125"/>
        <v>0</v>
      </c>
      <c r="AP321" s="601" t="str">
        <f t="shared" si="110"/>
        <v>Sin datos</v>
      </c>
      <c r="AQ321" s="1148"/>
      <c r="AR321" s="1149"/>
    </row>
    <row r="322" spans="1:44" ht="13.5" customHeight="1" outlineLevel="1" x14ac:dyDescent="0.2">
      <c r="A322" s="368" t="s">
        <v>609</v>
      </c>
      <c r="B322" s="424"/>
      <c r="C322" s="427"/>
      <c r="D322" s="431" t="str">
        <f>IF(E322="","",VLOOKUP(E322,BASE!$F$20:$H$25,2,FALSE))</f>
        <v/>
      </c>
      <c r="E322" s="399"/>
      <c r="F322" s="436"/>
      <c r="G322" s="437" t="str">
        <f>IF(F322="","",VLOOKUP(F322,BASE!$B$15:$C$18,2,FALSE))</f>
        <v/>
      </c>
      <c r="H322" s="520">
        <v>0</v>
      </c>
      <c r="I322" s="424">
        <v>0</v>
      </c>
      <c r="J322" s="354"/>
      <c r="K322" s="354"/>
      <c r="L322" s="354"/>
      <c r="M322" s="354"/>
      <c r="N322" s="354"/>
      <c r="O322" s="355">
        <f t="shared" si="114"/>
        <v>0</v>
      </c>
      <c r="P322" s="354"/>
      <c r="Q322" s="354"/>
      <c r="R322" s="355">
        <f t="shared" si="115"/>
        <v>0</v>
      </c>
      <c r="S322" s="354"/>
      <c r="T322" s="354"/>
      <c r="U322" s="354"/>
      <c r="V322" s="355">
        <f t="shared" si="116"/>
        <v>0</v>
      </c>
      <c r="W322" s="354"/>
      <c r="X322" s="355">
        <f t="shared" si="117"/>
        <v>0</v>
      </c>
      <c r="Y322" s="19" t="str">
        <f t="shared" si="118"/>
        <v xml:space="preserve">OK </v>
      </c>
      <c r="Z322" s="404" t="str">
        <f t="shared" si="119"/>
        <v xml:space="preserve"> </v>
      </c>
      <c r="AA322" s="20">
        <f>ROUND((IF(D322=1,(BASE!$G$51*I322),IF(D322=2,(BASE!$G$52*I322),IF(D322=3,(BASE!$G$53*I322),IF(D322=4,(BASE!$G$54*I322),IF(D322=5,(BASE!$G$55*I322),IF(D322=6,(BASE!$G$56*I322),0)))))))/1000,0)*1000</f>
        <v>0</v>
      </c>
      <c r="AB322" s="481">
        <v>0</v>
      </c>
      <c r="AC322" s="20">
        <f t="shared" si="120"/>
        <v>0</v>
      </c>
      <c r="AD322" s="478">
        <f>IF(G322=3,AC322*BASE!$I$62,IF(G322=1,AC322*(BASE!$I$61),IF(G322=2,AC322*(BASE!$I$63),AC322*BASE!$I$64)))/2</f>
        <v>0</v>
      </c>
      <c r="AE322" s="411">
        <f>IF(I322&lt;10,0,IF(AC322&lt;=BASE!$C$3*2,BASE!$C$2,0)*(AD322/AC322))</f>
        <v>0</v>
      </c>
      <c r="AF322" s="13">
        <v>0</v>
      </c>
      <c r="AG322" s="14">
        <f t="shared" si="121"/>
        <v>0</v>
      </c>
      <c r="AH322" s="14">
        <f t="shared" si="123"/>
        <v>0</v>
      </c>
      <c r="AI322" s="14">
        <f t="shared" si="124"/>
        <v>0</v>
      </c>
      <c r="AJ322" s="14">
        <f t="shared" si="122"/>
        <v>0</v>
      </c>
      <c r="AK322" s="14">
        <f>IF(I322=0,0,IF(G322=5,0,(AC322+AF322/12)*12*BASE!$C$5))/2</f>
        <v>0</v>
      </c>
      <c r="AL322" s="14">
        <f>IF(I322=0,0,IF(G322=5,0,(AC322+AE322/12+AF322/12)*12*BASE!$C$7))/2</f>
        <v>0</v>
      </c>
      <c r="AM322" s="14">
        <f>IF(I322=0,0,IF(G322=5,0,(AC322+AF322/12)*12*BASE!$C$9))/2</f>
        <v>0</v>
      </c>
      <c r="AN322" s="412">
        <f>IF(I322=0,0,IF(G322=5,0,(AD322+AF322+AG322)*BASE!$C$10))/2</f>
        <v>0</v>
      </c>
      <c r="AO322" s="837">
        <f t="shared" si="125"/>
        <v>0</v>
      </c>
      <c r="AP322" s="601" t="str">
        <f t="shared" si="110"/>
        <v>Sin datos</v>
      </c>
      <c r="AQ322" s="1148"/>
      <c r="AR322" s="1149"/>
    </row>
    <row r="323" spans="1:44" ht="13.5" customHeight="1" outlineLevel="1" x14ac:dyDescent="0.2">
      <c r="A323" s="368" t="s">
        <v>610</v>
      </c>
      <c r="B323" s="424"/>
      <c r="C323" s="427"/>
      <c r="D323" s="431" t="str">
        <f>IF(E323="","",VLOOKUP(E323,BASE!$F$20:$H$25,2,FALSE))</f>
        <v/>
      </c>
      <c r="E323" s="399"/>
      <c r="F323" s="436"/>
      <c r="G323" s="437" t="str">
        <f>IF(F323="","",VLOOKUP(F323,BASE!$B$15:$C$18,2,FALSE))</f>
        <v/>
      </c>
      <c r="H323" s="520">
        <v>0</v>
      </c>
      <c r="I323" s="424">
        <v>0</v>
      </c>
      <c r="J323" s="354"/>
      <c r="K323" s="354"/>
      <c r="L323" s="354"/>
      <c r="M323" s="354"/>
      <c r="N323" s="354"/>
      <c r="O323" s="355">
        <f t="shared" si="114"/>
        <v>0</v>
      </c>
      <c r="P323" s="354"/>
      <c r="Q323" s="354"/>
      <c r="R323" s="355">
        <f t="shared" si="115"/>
        <v>0</v>
      </c>
      <c r="S323" s="354"/>
      <c r="T323" s="354"/>
      <c r="U323" s="354"/>
      <c r="V323" s="355">
        <f t="shared" si="116"/>
        <v>0</v>
      </c>
      <c r="W323" s="354"/>
      <c r="X323" s="355">
        <f t="shared" si="117"/>
        <v>0</v>
      </c>
      <c r="Y323" s="19" t="str">
        <f t="shared" si="118"/>
        <v xml:space="preserve">OK </v>
      </c>
      <c r="Z323" s="404" t="str">
        <f t="shared" si="119"/>
        <v xml:space="preserve"> </v>
      </c>
      <c r="AA323" s="20">
        <f>ROUND((IF(D323=1,(BASE!$G$51*I323),IF(D323=2,(BASE!$G$52*I323),IF(D323=3,(BASE!$G$53*I323),IF(D323=4,(BASE!$G$54*I323),IF(D323=5,(BASE!$G$55*I323),IF(D323=6,(BASE!$G$56*I323),0)))))))/1000,0)*1000</f>
        <v>0</v>
      </c>
      <c r="AB323" s="481">
        <v>0</v>
      </c>
      <c r="AC323" s="20">
        <f t="shared" si="120"/>
        <v>0</v>
      </c>
      <c r="AD323" s="478">
        <f>IF(G323=3,AC323*BASE!$I$62,IF(G323=1,AC323*(BASE!$I$61),IF(G323=2,AC323*(BASE!$I$63),AC323*BASE!$I$64)))/2</f>
        <v>0</v>
      </c>
      <c r="AE323" s="411">
        <f>IF(I323&lt;10,0,IF(AC323&lt;=BASE!$C$3*2,BASE!$C$2,0)*(AD323/AC323))</f>
        <v>0</v>
      </c>
      <c r="AF323" s="13">
        <v>0</v>
      </c>
      <c r="AG323" s="14">
        <f t="shared" si="121"/>
        <v>0</v>
      </c>
      <c r="AH323" s="14">
        <f t="shared" si="123"/>
        <v>0</v>
      </c>
      <c r="AI323" s="14">
        <f t="shared" si="124"/>
        <v>0</v>
      </c>
      <c r="AJ323" s="14">
        <f t="shared" si="122"/>
        <v>0</v>
      </c>
      <c r="AK323" s="14">
        <f>IF(I323=0,0,IF(G323=5,0,(AC323+AF323/12)*12*BASE!$C$5))/2</f>
        <v>0</v>
      </c>
      <c r="AL323" s="14">
        <f>IF(I323=0,0,IF(G323=5,0,(AC323+AE323/12+AF323/12)*12*BASE!$C$7))/2</f>
        <v>0</v>
      </c>
      <c r="AM323" s="14">
        <f>IF(I323=0,0,IF(G323=5,0,(AC323+AF323/12)*12*BASE!$C$9))/2</f>
        <v>0</v>
      </c>
      <c r="AN323" s="412">
        <f>IF(I323=0,0,IF(G323=5,0,(AD323+AF323+AG323)*BASE!$C$10))/2</f>
        <v>0</v>
      </c>
      <c r="AO323" s="837">
        <f t="shared" si="125"/>
        <v>0</v>
      </c>
      <c r="AP323" s="601" t="str">
        <f t="shared" si="110"/>
        <v>Sin datos</v>
      </c>
      <c r="AQ323" s="1148"/>
      <c r="AR323" s="1149"/>
    </row>
    <row r="324" spans="1:44" ht="13.5" customHeight="1" outlineLevel="1" x14ac:dyDescent="0.2">
      <c r="A324" s="368" t="s">
        <v>611</v>
      </c>
      <c r="B324" s="424"/>
      <c r="C324" s="427"/>
      <c r="D324" s="431" t="str">
        <f>IF(E324="","",VLOOKUP(E324,BASE!$F$20:$H$25,2,FALSE))</f>
        <v/>
      </c>
      <c r="E324" s="399"/>
      <c r="F324" s="436"/>
      <c r="G324" s="437" t="str">
        <f>IF(F324="","",VLOOKUP(F324,BASE!$B$15:$C$18,2,FALSE))</f>
        <v/>
      </c>
      <c r="H324" s="520">
        <v>0</v>
      </c>
      <c r="I324" s="424">
        <v>0</v>
      </c>
      <c r="J324" s="354"/>
      <c r="K324" s="354"/>
      <c r="L324" s="354"/>
      <c r="M324" s="354"/>
      <c r="N324" s="354"/>
      <c r="O324" s="355">
        <f t="shared" si="114"/>
        <v>0</v>
      </c>
      <c r="P324" s="354"/>
      <c r="Q324" s="354"/>
      <c r="R324" s="355">
        <f t="shared" si="115"/>
        <v>0</v>
      </c>
      <c r="S324" s="354"/>
      <c r="T324" s="354"/>
      <c r="U324" s="354"/>
      <c r="V324" s="355">
        <f t="shared" si="116"/>
        <v>0</v>
      </c>
      <c r="W324" s="354"/>
      <c r="X324" s="355">
        <f t="shared" si="117"/>
        <v>0</v>
      </c>
      <c r="Y324" s="19" t="str">
        <f t="shared" si="118"/>
        <v xml:space="preserve">OK </v>
      </c>
      <c r="Z324" s="404" t="str">
        <f t="shared" si="119"/>
        <v xml:space="preserve"> </v>
      </c>
      <c r="AA324" s="20">
        <f>ROUND((IF(D324=1,(BASE!$G$51*I324),IF(D324=2,(BASE!$G$52*I324),IF(D324=3,(BASE!$G$53*I324),IF(D324=4,(BASE!$G$54*I324),IF(D324=5,(BASE!$G$55*I324),IF(D324=6,(BASE!$G$56*I324),0)))))))/1000,0)*1000</f>
        <v>0</v>
      </c>
      <c r="AB324" s="481">
        <v>0</v>
      </c>
      <c r="AC324" s="20">
        <f t="shared" si="120"/>
        <v>0</v>
      </c>
      <c r="AD324" s="478">
        <f>IF(G324=3,AC324*BASE!$I$62,IF(G324=1,AC324*(BASE!$I$61),IF(G324=2,AC324*(BASE!$I$63),AC324*BASE!$I$64)))/2</f>
        <v>0</v>
      </c>
      <c r="AE324" s="411">
        <f>IF(I324&lt;10,0,IF(AC324&lt;=BASE!$C$3*2,BASE!$C$2,0)*(AD324/AC324))</f>
        <v>0</v>
      </c>
      <c r="AF324" s="13">
        <v>0</v>
      </c>
      <c r="AG324" s="14">
        <f t="shared" si="121"/>
        <v>0</v>
      </c>
      <c r="AH324" s="14">
        <f t="shared" si="123"/>
        <v>0</v>
      </c>
      <c r="AI324" s="14">
        <f t="shared" si="124"/>
        <v>0</v>
      </c>
      <c r="AJ324" s="14">
        <f t="shared" si="122"/>
        <v>0</v>
      </c>
      <c r="AK324" s="14">
        <f>IF(I324=0,0,IF(G324=5,0,(AC324+AF324/12)*12*BASE!$C$5))/2</f>
        <v>0</v>
      </c>
      <c r="AL324" s="14">
        <f>IF(I324=0,0,IF(G324=5,0,(AC324+AE324/12+AF324/12)*12*BASE!$C$7))/2</f>
        <v>0</v>
      </c>
      <c r="AM324" s="14">
        <f>IF(I324=0,0,IF(G324=5,0,(AC324+AF324/12)*12*BASE!$C$9))/2</f>
        <v>0</v>
      </c>
      <c r="AN324" s="412">
        <f>IF(I324=0,0,IF(G324=5,0,(AD324+AF324+AG324)*BASE!$C$10))/2</f>
        <v>0</v>
      </c>
      <c r="AO324" s="837">
        <f t="shared" si="125"/>
        <v>0</v>
      </c>
      <c r="AP324" s="601" t="str">
        <f t="shared" si="110"/>
        <v>Sin datos</v>
      </c>
      <c r="AQ324" s="1148"/>
      <c r="AR324" s="1149"/>
    </row>
    <row r="325" spans="1:44" ht="13.5" customHeight="1" outlineLevel="1" x14ac:dyDescent="0.2">
      <c r="A325" s="368" t="s">
        <v>612</v>
      </c>
      <c r="B325" s="424"/>
      <c r="C325" s="427"/>
      <c r="D325" s="431" t="str">
        <f>IF(E325="","",VLOOKUP(E325,BASE!$F$20:$H$25,2,FALSE))</f>
        <v/>
      </c>
      <c r="E325" s="399"/>
      <c r="F325" s="436"/>
      <c r="G325" s="437" t="str">
        <f>IF(F325="","",VLOOKUP(F325,BASE!$B$15:$C$18,2,FALSE))</f>
        <v/>
      </c>
      <c r="H325" s="520">
        <v>0</v>
      </c>
      <c r="I325" s="424">
        <v>0</v>
      </c>
      <c r="J325" s="354"/>
      <c r="K325" s="354"/>
      <c r="L325" s="354"/>
      <c r="M325" s="354"/>
      <c r="N325" s="354"/>
      <c r="O325" s="355">
        <f t="shared" si="114"/>
        <v>0</v>
      </c>
      <c r="P325" s="354"/>
      <c r="Q325" s="354"/>
      <c r="R325" s="355">
        <f t="shared" si="115"/>
        <v>0</v>
      </c>
      <c r="S325" s="354"/>
      <c r="T325" s="354"/>
      <c r="U325" s="354"/>
      <c r="V325" s="355">
        <f t="shared" si="116"/>
        <v>0</v>
      </c>
      <c r="W325" s="354"/>
      <c r="X325" s="355">
        <f t="shared" si="117"/>
        <v>0</v>
      </c>
      <c r="Y325" s="19" t="str">
        <f t="shared" si="118"/>
        <v xml:space="preserve">OK </v>
      </c>
      <c r="Z325" s="404" t="str">
        <f t="shared" si="119"/>
        <v xml:space="preserve"> </v>
      </c>
      <c r="AA325" s="20">
        <f>ROUND((IF(D325=1,(BASE!$G$51*I325),IF(D325=2,(BASE!$G$52*I325),IF(D325=3,(BASE!$G$53*I325),IF(D325=4,(BASE!$G$54*I325),IF(D325=5,(BASE!$G$55*I325),IF(D325=6,(BASE!$G$56*I325),0)))))))/1000,0)*1000</f>
        <v>0</v>
      </c>
      <c r="AB325" s="481">
        <v>0</v>
      </c>
      <c r="AC325" s="20">
        <f t="shared" si="120"/>
        <v>0</v>
      </c>
      <c r="AD325" s="478">
        <f>IF(G325=3,AC325*BASE!$I$62,IF(G325=1,AC325*(BASE!$I$61),IF(G325=2,AC325*(BASE!$I$63),AC325*BASE!$I$64)))/2</f>
        <v>0</v>
      </c>
      <c r="AE325" s="411">
        <f>IF(I325&lt;10,0,IF(AC325&lt;=BASE!$C$3*2,BASE!$C$2,0)*(AD325/AC325))</f>
        <v>0</v>
      </c>
      <c r="AF325" s="13">
        <v>0</v>
      </c>
      <c r="AG325" s="14">
        <f t="shared" si="121"/>
        <v>0</v>
      </c>
      <c r="AH325" s="14">
        <f t="shared" si="123"/>
        <v>0</v>
      </c>
      <c r="AI325" s="14">
        <f t="shared" si="124"/>
        <v>0</v>
      </c>
      <c r="AJ325" s="14">
        <f t="shared" si="122"/>
        <v>0</v>
      </c>
      <c r="AK325" s="14">
        <f>IF(I325=0,0,IF(G325=5,0,(AC325+AF325/12)*12*BASE!$C$5))/2</f>
        <v>0</v>
      </c>
      <c r="AL325" s="14">
        <f>IF(I325=0,0,IF(G325=5,0,(AC325+AE325/12+AF325/12)*12*BASE!$C$7))/2</f>
        <v>0</v>
      </c>
      <c r="AM325" s="14">
        <f>IF(I325=0,0,IF(G325=5,0,(AC325+AF325/12)*12*BASE!$C$9))/2</f>
        <v>0</v>
      </c>
      <c r="AN325" s="412">
        <f>IF(I325=0,0,IF(G325=5,0,(AD325+AF325+AG325)*BASE!$C$10))/2</f>
        <v>0</v>
      </c>
      <c r="AO325" s="837">
        <f t="shared" si="125"/>
        <v>0</v>
      </c>
      <c r="AP325" s="601" t="str">
        <f t="shared" si="110"/>
        <v>Sin datos</v>
      </c>
      <c r="AQ325" s="1148"/>
      <c r="AR325" s="1149"/>
    </row>
    <row r="326" spans="1:44" ht="13.5" customHeight="1" outlineLevel="1" x14ac:dyDescent="0.2">
      <c r="A326" s="368" t="s">
        <v>613</v>
      </c>
      <c r="B326" s="424"/>
      <c r="C326" s="427"/>
      <c r="D326" s="431" t="str">
        <f>IF(E326="","",VLOOKUP(E326,BASE!$F$20:$H$25,2,FALSE))</f>
        <v/>
      </c>
      <c r="E326" s="399"/>
      <c r="F326" s="436"/>
      <c r="G326" s="437" t="str">
        <f>IF(F326="","",VLOOKUP(F326,BASE!$B$15:$C$18,2,FALSE))</f>
        <v/>
      </c>
      <c r="H326" s="520">
        <v>0</v>
      </c>
      <c r="I326" s="424">
        <v>0</v>
      </c>
      <c r="J326" s="354"/>
      <c r="K326" s="354"/>
      <c r="L326" s="354"/>
      <c r="M326" s="354"/>
      <c r="N326" s="354"/>
      <c r="O326" s="355">
        <f t="shared" si="114"/>
        <v>0</v>
      </c>
      <c r="P326" s="354"/>
      <c r="Q326" s="354"/>
      <c r="R326" s="355">
        <f t="shared" si="115"/>
        <v>0</v>
      </c>
      <c r="S326" s="354"/>
      <c r="T326" s="354"/>
      <c r="U326" s="354"/>
      <c r="V326" s="355">
        <f t="shared" si="116"/>
        <v>0</v>
      </c>
      <c r="W326" s="354"/>
      <c r="X326" s="355">
        <f t="shared" si="117"/>
        <v>0</v>
      </c>
      <c r="Y326" s="19" t="str">
        <f t="shared" si="118"/>
        <v xml:space="preserve">OK </v>
      </c>
      <c r="Z326" s="404" t="str">
        <f t="shared" si="119"/>
        <v xml:space="preserve"> </v>
      </c>
      <c r="AA326" s="20">
        <f>ROUND((IF(D326=1,(BASE!$G$51*I326),IF(D326=2,(BASE!$G$52*I326),IF(D326=3,(BASE!$G$53*I326),IF(D326=4,(BASE!$G$54*I326),IF(D326=5,(BASE!$G$55*I326),IF(D326=6,(BASE!$G$56*I326),0)))))))/1000,0)*1000</f>
        <v>0</v>
      </c>
      <c r="AB326" s="481">
        <v>0</v>
      </c>
      <c r="AC326" s="20">
        <f t="shared" si="120"/>
        <v>0</v>
      </c>
      <c r="AD326" s="478">
        <f>IF(G326=3,AC326*BASE!$I$62,IF(G326=1,AC326*(BASE!$I$61),IF(G326=2,AC326*(BASE!$I$63),AC326*BASE!$I$64)))/2</f>
        <v>0</v>
      </c>
      <c r="AE326" s="411">
        <f>IF(I326&lt;10,0,IF(AC326&lt;=BASE!$C$3*2,BASE!$C$2,0)*(AD326/AC326))</f>
        <v>0</v>
      </c>
      <c r="AF326" s="13">
        <v>0</v>
      </c>
      <c r="AG326" s="14">
        <f t="shared" si="121"/>
        <v>0</v>
      </c>
      <c r="AH326" s="14">
        <f t="shared" si="123"/>
        <v>0</v>
      </c>
      <c r="AI326" s="14">
        <f t="shared" si="124"/>
        <v>0</v>
      </c>
      <c r="AJ326" s="14">
        <f t="shared" si="122"/>
        <v>0</v>
      </c>
      <c r="AK326" s="14">
        <f>IF(I326=0,0,IF(G326=5,0,(AC326+AF326/12)*12*BASE!$C$5))/2</f>
        <v>0</v>
      </c>
      <c r="AL326" s="14">
        <f>IF(I326=0,0,IF(G326=5,0,(AC326+AE326/12+AF326/12)*12*BASE!$C$7))/2</f>
        <v>0</v>
      </c>
      <c r="AM326" s="14">
        <f>IF(I326=0,0,IF(G326=5,0,(AC326+AF326/12)*12*BASE!$C$9))/2</f>
        <v>0</v>
      </c>
      <c r="AN326" s="412">
        <f>IF(I326=0,0,IF(G326=5,0,(AD326+AF326+AG326)*BASE!$C$10))/2</f>
        <v>0</v>
      </c>
      <c r="AO326" s="837">
        <f t="shared" si="125"/>
        <v>0</v>
      </c>
      <c r="AP326" s="601" t="str">
        <f t="shared" si="110"/>
        <v>Sin datos</v>
      </c>
      <c r="AQ326" s="1148"/>
      <c r="AR326" s="1149"/>
    </row>
    <row r="327" spans="1:44" ht="13.5" customHeight="1" outlineLevel="1" x14ac:dyDescent="0.2">
      <c r="A327" s="368" t="s">
        <v>614</v>
      </c>
      <c r="B327" s="424"/>
      <c r="C327" s="427"/>
      <c r="D327" s="431" t="str">
        <f>IF(E327="","",VLOOKUP(E327,BASE!$F$20:$H$25,2,FALSE))</f>
        <v/>
      </c>
      <c r="E327" s="399"/>
      <c r="F327" s="436"/>
      <c r="G327" s="437" t="str">
        <f>IF(F327="","",VLOOKUP(F327,BASE!$B$15:$C$18,2,FALSE))</f>
        <v/>
      </c>
      <c r="H327" s="520">
        <v>0</v>
      </c>
      <c r="I327" s="424">
        <v>0</v>
      </c>
      <c r="J327" s="354"/>
      <c r="K327" s="354"/>
      <c r="L327" s="354"/>
      <c r="M327" s="354"/>
      <c r="N327" s="354"/>
      <c r="O327" s="355">
        <f t="shared" si="114"/>
        <v>0</v>
      </c>
      <c r="P327" s="354"/>
      <c r="Q327" s="354"/>
      <c r="R327" s="355">
        <f t="shared" si="115"/>
        <v>0</v>
      </c>
      <c r="S327" s="354"/>
      <c r="T327" s="354"/>
      <c r="U327" s="354"/>
      <c r="V327" s="355">
        <f t="shared" si="116"/>
        <v>0</v>
      </c>
      <c r="W327" s="354"/>
      <c r="X327" s="355">
        <f t="shared" si="117"/>
        <v>0</v>
      </c>
      <c r="Y327" s="19" t="str">
        <f t="shared" si="118"/>
        <v xml:space="preserve">OK </v>
      </c>
      <c r="Z327" s="404" t="str">
        <f t="shared" si="119"/>
        <v xml:space="preserve"> </v>
      </c>
      <c r="AA327" s="20">
        <f>ROUND((IF(D327=1,(BASE!$G$51*I327),IF(D327=2,(BASE!$G$52*I327),IF(D327=3,(BASE!$G$53*I327),IF(D327=4,(BASE!$G$54*I327),IF(D327=5,(BASE!$G$55*I327),IF(D327=6,(BASE!$G$56*I327),0)))))))/1000,0)*1000</f>
        <v>0</v>
      </c>
      <c r="AB327" s="481">
        <v>0</v>
      </c>
      <c r="AC327" s="20">
        <f t="shared" si="120"/>
        <v>0</v>
      </c>
      <c r="AD327" s="478">
        <f>IF(G327=3,AC327*BASE!$I$62,IF(G327=1,AC327*(BASE!$I$61),IF(G327=2,AC327*(BASE!$I$63),AC327*BASE!$I$64)))/2</f>
        <v>0</v>
      </c>
      <c r="AE327" s="411">
        <f>IF(I327&lt;10,0,IF(AC327&lt;=BASE!$C$3*2,BASE!$C$2,0)*(AD327/AC327))</f>
        <v>0</v>
      </c>
      <c r="AF327" s="13">
        <v>0</v>
      </c>
      <c r="AG327" s="14">
        <f t="shared" si="121"/>
        <v>0</v>
      </c>
      <c r="AH327" s="14">
        <f t="shared" si="123"/>
        <v>0</v>
      </c>
      <c r="AI327" s="14">
        <f t="shared" si="124"/>
        <v>0</v>
      </c>
      <c r="AJ327" s="14">
        <f t="shared" si="122"/>
        <v>0</v>
      </c>
      <c r="AK327" s="14">
        <f>IF(I327=0,0,IF(G327=5,0,(AC327+AF327/12)*12*BASE!$C$5))/2</f>
        <v>0</v>
      </c>
      <c r="AL327" s="14">
        <f>IF(I327=0,0,IF(G327=5,0,(AC327+AE327/12+AF327/12)*12*BASE!$C$7))/2</f>
        <v>0</v>
      </c>
      <c r="AM327" s="14">
        <f>IF(I327=0,0,IF(G327=5,0,(AC327+AF327/12)*12*BASE!$C$9))/2</f>
        <v>0</v>
      </c>
      <c r="AN327" s="412">
        <f>IF(I327=0,0,IF(G327=5,0,(AD327+AF327+AG327)*BASE!$C$10))/2</f>
        <v>0</v>
      </c>
      <c r="AO327" s="837">
        <f t="shared" si="125"/>
        <v>0</v>
      </c>
      <c r="AP327" s="601" t="str">
        <f t="shared" si="110"/>
        <v>Sin datos</v>
      </c>
      <c r="AQ327" s="1148"/>
      <c r="AR327" s="1149"/>
    </row>
    <row r="328" spans="1:44" ht="13.5" customHeight="1" outlineLevel="1" x14ac:dyDescent="0.2">
      <c r="A328" s="368" t="s">
        <v>615</v>
      </c>
      <c r="B328" s="424"/>
      <c r="C328" s="427"/>
      <c r="D328" s="431" t="str">
        <f>IF(E328="","",VLOOKUP(E328,BASE!$F$20:$H$25,2,FALSE))</f>
        <v/>
      </c>
      <c r="E328" s="399"/>
      <c r="F328" s="436"/>
      <c r="G328" s="437" t="str">
        <f>IF(F328="","",VLOOKUP(F328,BASE!$B$15:$C$18,2,FALSE))</f>
        <v/>
      </c>
      <c r="H328" s="520">
        <v>0</v>
      </c>
      <c r="I328" s="424">
        <v>0</v>
      </c>
      <c r="J328" s="354"/>
      <c r="K328" s="354"/>
      <c r="L328" s="354"/>
      <c r="M328" s="354"/>
      <c r="N328" s="354"/>
      <c r="O328" s="355">
        <f t="shared" si="114"/>
        <v>0</v>
      </c>
      <c r="P328" s="354"/>
      <c r="Q328" s="354"/>
      <c r="R328" s="355">
        <f t="shared" si="115"/>
        <v>0</v>
      </c>
      <c r="S328" s="354"/>
      <c r="T328" s="354"/>
      <c r="U328" s="354"/>
      <c r="V328" s="355">
        <f t="shared" si="116"/>
        <v>0</v>
      </c>
      <c r="W328" s="354"/>
      <c r="X328" s="355">
        <f t="shared" si="117"/>
        <v>0</v>
      </c>
      <c r="Y328" s="19" t="str">
        <f t="shared" si="118"/>
        <v xml:space="preserve">OK </v>
      </c>
      <c r="Z328" s="404" t="str">
        <f t="shared" si="119"/>
        <v xml:space="preserve"> </v>
      </c>
      <c r="AA328" s="20">
        <f>ROUND((IF(D328=1,(BASE!$G$51*I328),IF(D328=2,(BASE!$G$52*I328),IF(D328=3,(BASE!$G$53*I328),IF(D328=4,(BASE!$G$54*I328),IF(D328=5,(BASE!$G$55*I328),IF(D328=6,(BASE!$G$56*I328),0)))))))/1000,0)*1000</f>
        <v>0</v>
      </c>
      <c r="AB328" s="481">
        <v>0</v>
      </c>
      <c r="AC328" s="20">
        <f t="shared" si="120"/>
        <v>0</v>
      </c>
      <c r="AD328" s="478">
        <f>IF(G328=3,AC328*BASE!$I$62,IF(G328=1,AC328*(BASE!$I$61),IF(G328=2,AC328*(BASE!$I$63),AC328*BASE!$I$64)))/2</f>
        <v>0</v>
      </c>
      <c r="AE328" s="411">
        <f>IF(I328&lt;10,0,IF(AC328&lt;=BASE!$C$3*2,BASE!$C$2,0)*(AD328/AC328))</f>
        <v>0</v>
      </c>
      <c r="AF328" s="13">
        <v>0</v>
      </c>
      <c r="AG328" s="14">
        <f t="shared" si="121"/>
        <v>0</v>
      </c>
      <c r="AH328" s="14">
        <f t="shared" si="123"/>
        <v>0</v>
      </c>
      <c r="AI328" s="14">
        <f t="shared" si="124"/>
        <v>0</v>
      </c>
      <c r="AJ328" s="14">
        <f t="shared" si="122"/>
        <v>0</v>
      </c>
      <c r="AK328" s="14">
        <f>IF(I328=0,0,IF(G328=5,0,(AC328+AF328/12)*12*BASE!$C$5))/2</f>
        <v>0</v>
      </c>
      <c r="AL328" s="14">
        <f>IF(I328=0,0,IF(G328=5,0,(AC328+AE328/12+AF328/12)*12*BASE!$C$7))/2</f>
        <v>0</v>
      </c>
      <c r="AM328" s="14">
        <f>IF(I328=0,0,IF(G328=5,0,(AC328+AF328/12)*12*BASE!$C$9))/2</f>
        <v>0</v>
      </c>
      <c r="AN328" s="412">
        <f>IF(I328=0,0,IF(G328=5,0,(AD328+AF328+AG328)*BASE!$C$10))/2</f>
        <v>0</v>
      </c>
      <c r="AO328" s="837">
        <f t="shared" si="125"/>
        <v>0</v>
      </c>
      <c r="AP328" s="601" t="str">
        <f t="shared" si="110"/>
        <v>Sin datos</v>
      </c>
      <c r="AQ328" s="1148"/>
      <c r="AR328" s="1149"/>
    </row>
    <row r="329" spans="1:44" ht="13.5" customHeight="1" outlineLevel="1" x14ac:dyDescent="0.2">
      <c r="A329" s="368" t="s">
        <v>616</v>
      </c>
      <c r="B329" s="424"/>
      <c r="C329" s="427"/>
      <c r="D329" s="431" t="str">
        <f>IF(E329="","",VLOOKUP(E329,BASE!$F$20:$H$25,2,FALSE))</f>
        <v/>
      </c>
      <c r="E329" s="399"/>
      <c r="F329" s="436"/>
      <c r="G329" s="437" t="str">
        <f>IF(F329="","",VLOOKUP(F329,BASE!$B$15:$C$18,2,FALSE))</f>
        <v/>
      </c>
      <c r="H329" s="520">
        <v>0</v>
      </c>
      <c r="I329" s="424">
        <v>0</v>
      </c>
      <c r="J329" s="354"/>
      <c r="K329" s="354"/>
      <c r="L329" s="354"/>
      <c r="M329" s="354"/>
      <c r="N329" s="354"/>
      <c r="O329" s="355">
        <f t="shared" si="114"/>
        <v>0</v>
      </c>
      <c r="P329" s="354"/>
      <c r="Q329" s="354"/>
      <c r="R329" s="355">
        <f t="shared" si="115"/>
        <v>0</v>
      </c>
      <c r="S329" s="354"/>
      <c r="T329" s="354"/>
      <c r="U329" s="354"/>
      <c r="V329" s="355">
        <f t="shared" si="116"/>
        <v>0</v>
      </c>
      <c r="W329" s="354"/>
      <c r="X329" s="355">
        <f t="shared" si="117"/>
        <v>0</v>
      </c>
      <c r="Y329" s="19" t="str">
        <f t="shared" si="118"/>
        <v xml:space="preserve">OK </v>
      </c>
      <c r="Z329" s="404" t="str">
        <f t="shared" si="119"/>
        <v xml:space="preserve"> </v>
      </c>
      <c r="AA329" s="20">
        <f>ROUND((IF(D329=1,(BASE!$G$51*I329),IF(D329=2,(BASE!$G$52*I329),IF(D329=3,(BASE!$G$53*I329),IF(D329=4,(BASE!$G$54*I329),IF(D329=5,(BASE!$G$55*I329),IF(D329=6,(BASE!$G$56*I329),0)))))))/1000,0)*1000</f>
        <v>0</v>
      </c>
      <c r="AB329" s="481">
        <v>0</v>
      </c>
      <c r="AC329" s="20">
        <f t="shared" si="120"/>
        <v>0</v>
      </c>
      <c r="AD329" s="478">
        <f>IF(G329=3,AC329*BASE!$I$62,IF(G329=1,AC329*(BASE!$I$61),IF(G329=2,AC329*(BASE!$I$63),AC329*BASE!$I$64)))/2</f>
        <v>0</v>
      </c>
      <c r="AE329" s="411">
        <f>IF(I329&lt;10,0,IF(AC329&lt;=BASE!$C$3*2,BASE!$C$2,0)*(AD329/AC329))</f>
        <v>0</v>
      </c>
      <c r="AF329" s="13">
        <v>0</v>
      </c>
      <c r="AG329" s="14">
        <f t="shared" si="121"/>
        <v>0</v>
      </c>
      <c r="AH329" s="14">
        <f t="shared" si="123"/>
        <v>0</v>
      </c>
      <c r="AI329" s="14">
        <f t="shared" si="124"/>
        <v>0</v>
      </c>
      <c r="AJ329" s="14">
        <f t="shared" si="122"/>
        <v>0</v>
      </c>
      <c r="AK329" s="14">
        <f>IF(I329=0,0,IF(G329=5,0,(AC329+AF329/12)*12*BASE!$C$5))/2</f>
        <v>0</v>
      </c>
      <c r="AL329" s="14">
        <f>IF(I329=0,0,IF(G329=5,0,(AC329+AE329/12+AF329/12)*12*BASE!$C$7))/2</f>
        <v>0</v>
      </c>
      <c r="AM329" s="14">
        <f>IF(I329=0,0,IF(G329=5,0,(AC329+AF329/12)*12*BASE!$C$9))/2</f>
        <v>0</v>
      </c>
      <c r="AN329" s="412">
        <f>IF(I329=0,0,IF(G329=5,0,(AD329+AF329+AG329)*BASE!$C$10))/2</f>
        <v>0</v>
      </c>
      <c r="AO329" s="837">
        <f t="shared" si="125"/>
        <v>0</v>
      </c>
      <c r="AP329" s="601" t="str">
        <f t="shared" si="110"/>
        <v>Sin datos</v>
      </c>
      <c r="AQ329" s="1148"/>
      <c r="AR329" s="1149"/>
    </row>
    <row r="330" spans="1:44" ht="13.5" customHeight="1" outlineLevel="1" x14ac:dyDescent="0.2">
      <c r="A330" s="368" t="s">
        <v>617</v>
      </c>
      <c r="B330" s="589"/>
      <c r="C330" s="427"/>
      <c r="D330" s="431" t="str">
        <f>IF(E330="","",VLOOKUP(E330,BASE!$F$20:$H$25,2,FALSE))</f>
        <v/>
      </c>
      <c r="E330" s="399"/>
      <c r="F330" s="436"/>
      <c r="G330" s="437" t="str">
        <f>IF(F330="","",VLOOKUP(F330,BASE!$B$15:$C$18,2,FALSE))</f>
        <v/>
      </c>
      <c r="H330" s="520">
        <f>I330</f>
        <v>0</v>
      </c>
      <c r="I330" s="424">
        <v>0</v>
      </c>
      <c r="J330" s="354"/>
      <c r="K330" s="354"/>
      <c r="L330" s="354"/>
      <c r="M330" s="354"/>
      <c r="N330" s="354"/>
      <c r="O330" s="355">
        <f t="shared" si="114"/>
        <v>0</v>
      </c>
      <c r="P330" s="354"/>
      <c r="Q330" s="354"/>
      <c r="R330" s="355">
        <f t="shared" si="115"/>
        <v>0</v>
      </c>
      <c r="S330" s="354"/>
      <c r="T330" s="354"/>
      <c r="U330" s="354"/>
      <c r="V330" s="355">
        <f t="shared" si="116"/>
        <v>0</v>
      </c>
      <c r="W330" s="354"/>
      <c r="X330" s="355">
        <f t="shared" si="117"/>
        <v>0</v>
      </c>
      <c r="Y330" s="19" t="str">
        <f t="shared" si="118"/>
        <v xml:space="preserve">OK </v>
      </c>
      <c r="Z330" s="404" t="str">
        <f t="shared" si="119"/>
        <v xml:space="preserve"> </v>
      </c>
      <c r="AA330" s="20">
        <f>ROUND((IF(D330=1,(BASE!$G$51*I330),IF(D330=2,(BASE!$G$52*I330),IF(D330=3,(BASE!$G$53*I330),IF(D330=4,(BASE!$G$54*I330),IF(D330=5,(BASE!$G$55*I330),IF(D330=6,(BASE!$G$56*I330),0)))))))/1000,0)*1000</f>
        <v>0</v>
      </c>
      <c r="AB330" s="481">
        <v>0</v>
      </c>
      <c r="AC330" s="20">
        <f t="shared" si="120"/>
        <v>0</v>
      </c>
      <c r="AD330" s="478">
        <f>IF(G330=3,AC330*BASE!$I$62,IF(G330=1,AC330*(BASE!$I$61),IF(G330=2,AC330*(BASE!$I$63),AC330*BASE!$I$64)))/2</f>
        <v>0</v>
      </c>
      <c r="AE330" s="411">
        <f>IF(I330&lt;10,0,IF(AC330&lt;=BASE!$C$3*2,BASE!$C$2,0)*(AD330/AC330))</f>
        <v>0</v>
      </c>
      <c r="AF330" s="13">
        <v>0</v>
      </c>
      <c r="AG330" s="14">
        <f t="shared" si="121"/>
        <v>0</v>
      </c>
      <c r="AH330" s="14">
        <f t="shared" si="123"/>
        <v>0</v>
      </c>
      <c r="AI330" s="14">
        <f t="shared" si="124"/>
        <v>0</v>
      </c>
      <c r="AJ330" s="14">
        <f t="shared" si="122"/>
        <v>0</v>
      </c>
      <c r="AK330" s="14">
        <f>IF(I330=0,0,IF(G330=5,0,(AC330+AF330/12)*12*BASE!$C$5))/2</f>
        <v>0</v>
      </c>
      <c r="AL330" s="14">
        <f>IF(I330=0,0,IF(G330=5,0,(AC330+AE330/12+AF330/12)*12*BASE!$C$7))/2</f>
        <v>0</v>
      </c>
      <c r="AM330" s="14">
        <f>IF(I330=0,0,IF(G330=5,0,(AC330+AF330/12)*12*BASE!$C$9))/2</f>
        <v>0</v>
      </c>
      <c r="AN330" s="412">
        <f>IF(I330=0,0,IF(G330=5,0,(AD330+AF330+AG330)*BASE!$C$10))/2</f>
        <v>0</v>
      </c>
      <c r="AO330" s="837">
        <f t="shared" si="125"/>
        <v>0</v>
      </c>
      <c r="AP330" s="601" t="str">
        <f t="shared" si="110"/>
        <v>Sin datos</v>
      </c>
      <c r="AQ330" s="1148"/>
      <c r="AR330" s="1149"/>
    </row>
    <row r="331" spans="1:44" ht="13.5" customHeight="1" outlineLevel="1" x14ac:dyDescent="0.2">
      <c r="A331" s="368" t="s">
        <v>618</v>
      </c>
      <c r="B331" s="424"/>
      <c r="C331" s="427"/>
      <c r="D331" s="431" t="str">
        <f>IF(E331="","",VLOOKUP(E331,BASE!$F$20:$H$25,2,FALSE))</f>
        <v/>
      </c>
      <c r="E331" s="399"/>
      <c r="F331" s="436"/>
      <c r="G331" s="437" t="str">
        <f>IF(F331="","",VLOOKUP(F331,BASE!$B$15:$C$18,2,FALSE))</f>
        <v/>
      </c>
      <c r="H331" s="520">
        <f>I331</f>
        <v>0</v>
      </c>
      <c r="I331" s="424">
        <v>0</v>
      </c>
      <c r="J331" s="354"/>
      <c r="K331" s="354"/>
      <c r="L331" s="354"/>
      <c r="M331" s="354"/>
      <c r="N331" s="354"/>
      <c r="O331" s="355">
        <f t="shared" si="114"/>
        <v>0</v>
      </c>
      <c r="P331" s="354"/>
      <c r="Q331" s="354"/>
      <c r="R331" s="355">
        <f t="shared" si="115"/>
        <v>0</v>
      </c>
      <c r="S331" s="354"/>
      <c r="T331" s="354"/>
      <c r="U331" s="354"/>
      <c r="V331" s="355">
        <f t="shared" si="116"/>
        <v>0</v>
      </c>
      <c r="W331" s="354"/>
      <c r="X331" s="355">
        <f t="shared" si="117"/>
        <v>0</v>
      </c>
      <c r="Y331" s="19" t="str">
        <f t="shared" si="118"/>
        <v xml:space="preserve">OK </v>
      </c>
      <c r="Z331" s="404" t="str">
        <f t="shared" si="119"/>
        <v xml:space="preserve"> </v>
      </c>
      <c r="AA331" s="20">
        <f>ROUND((IF(D331=1,(BASE!$G$51*I331),IF(D331=2,(BASE!$G$52*I331),IF(D331=3,(BASE!$G$53*I331),IF(D331=4,(BASE!$G$54*I331),IF(D331=5,(BASE!$G$55*I331),IF(D331=6,(BASE!$G$56*I331),0)))))))/1000,0)*1000</f>
        <v>0</v>
      </c>
      <c r="AB331" s="481">
        <v>0</v>
      </c>
      <c r="AC331" s="20">
        <f t="shared" si="120"/>
        <v>0</v>
      </c>
      <c r="AD331" s="478">
        <f>IF(G331=3,AC331*BASE!$I$62,IF(G331=1,AC331*(BASE!$I$61),IF(G331=2,AC331*(BASE!$I$63),AC331*BASE!$I$64)))/2</f>
        <v>0</v>
      </c>
      <c r="AE331" s="411">
        <f>IF(I331&lt;10,0,IF(AC331&lt;=BASE!$C$3*2,BASE!$C$2,0)*(AD331/AC331))</f>
        <v>0</v>
      </c>
      <c r="AF331" s="13">
        <v>0</v>
      </c>
      <c r="AG331" s="14">
        <f t="shared" si="121"/>
        <v>0</v>
      </c>
      <c r="AH331" s="14">
        <f t="shared" si="123"/>
        <v>0</v>
      </c>
      <c r="AI331" s="14">
        <f t="shared" si="124"/>
        <v>0</v>
      </c>
      <c r="AJ331" s="14">
        <f t="shared" si="122"/>
        <v>0</v>
      </c>
      <c r="AK331" s="14">
        <f>IF(I331=0,0,IF(G331=5,0,(AC331+AF331/12)*12*BASE!$C$5))/2</f>
        <v>0</v>
      </c>
      <c r="AL331" s="14">
        <f>IF(I331=0,0,IF(G331=5,0,(AC331+AE331/12+AF331/12)*12*BASE!$C$7))/2</f>
        <v>0</v>
      </c>
      <c r="AM331" s="14">
        <f>IF(I331=0,0,IF(G331=5,0,(AC331+AF331/12)*12*BASE!$C$9))/2</f>
        <v>0</v>
      </c>
      <c r="AN331" s="412">
        <f>IF(I331=0,0,IF(G331=5,0,(AD331+AF331+AG331)*BASE!$C$10))/2</f>
        <v>0</v>
      </c>
      <c r="AO331" s="837">
        <f t="shared" si="125"/>
        <v>0</v>
      </c>
      <c r="AP331" s="601" t="str">
        <f t="shared" si="110"/>
        <v>Sin datos</v>
      </c>
      <c r="AQ331" s="1148"/>
      <c r="AR331" s="1149"/>
    </row>
    <row r="332" spans="1:44" ht="13.5" customHeight="1" outlineLevel="1" thickBot="1" x14ac:dyDescent="0.25">
      <c r="A332" s="368" t="s">
        <v>619</v>
      </c>
      <c r="B332" s="425"/>
      <c r="C332" s="427"/>
      <c r="D332" s="432" t="str">
        <f>IF(E332="","",VLOOKUP(E332,BASE!$F$20:$H$25,2,FALSE))</f>
        <v/>
      </c>
      <c r="E332" s="399"/>
      <c r="F332" s="494"/>
      <c r="G332" s="438" t="str">
        <f>IF(F332="","",VLOOKUP(F332,BASE!$B$15:$C$18,2,FALSE))</f>
        <v/>
      </c>
      <c r="H332" s="526">
        <f>I332</f>
        <v>0</v>
      </c>
      <c r="I332" s="425">
        <v>0</v>
      </c>
      <c r="J332" s="356"/>
      <c r="K332" s="356"/>
      <c r="L332" s="356"/>
      <c r="M332" s="356"/>
      <c r="N332" s="356"/>
      <c r="O332" s="357">
        <f t="shared" si="114"/>
        <v>0</v>
      </c>
      <c r="P332" s="356"/>
      <c r="Q332" s="356"/>
      <c r="R332" s="357">
        <f t="shared" si="115"/>
        <v>0</v>
      </c>
      <c r="S332" s="356"/>
      <c r="T332" s="356"/>
      <c r="U332" s="356"/>
      <c r="V332" s="357">
        <f t="shared" si="116"/>
        <v>0</v>
      </c>
      <c r="W332" s="356"/>
      <c r="X332" s="357">
        <f t="shared" si="117"/>
        <v>0</v>
      </c>
      <c r="Y332" s="21" t="str">
        <f t="shared" si="118"/>
        <v xml:space="preserve">OK </v>
      </c>
      <c r="Z332" s="405" t="str">
        <f t="shared" si="119"/>
        <v xml:space="preserve"> </v>
      </c>
      <c r="AA332" s="22">
        <f>ROUND((IF(D332=1,(BASE!$G$51*I332),IF(D332=2,(BASE!$G$52*I332),IF(D332=3,(BASE!$G$53*I332),IF(D332=4,(BASE!$G$54*I332),IF(D332=5,(BASE!$G$55*I332),IF(D332=6,(BASE!$G$56*I332),0)))))))/1000,0)*1000</f>
        <v>0</v>
      </c>
      <c r="AB332" s="482">
        <v>0</v>
      </c>
      <c r="AC332" s="22">
        <f t="shared" si="120"/>
        <v>0</v>
      </c>
      <c r="AD332" s="479">
        <f>IF(G332=3,AC332*BASE!$I$62,IF(G332=1,AC332*(BASE!$I$61),IF(G332=2,AC332*(BASE!$I$63),AC332*BASE!$I$64)))/2</f>
        <v>0</v>
      </c>
      <c r="AE332" s="413">
        <f>IF(I332&lt;10,0,IF(AC332&lt;=BASE!$C$3*2,BASE!$C$2,0)*(AD332/AC332))</f>
        <v>0</v>
      </c>
      <c r="AF332" s="15">
        <v>0</v>
      </c>
      <c r="AG332" s="394">
        <f t="shared" si="121"/>
        <v>0</v>
      </c>
      <c r="AH332" s="394">
        <f t="shared" si="123"/>
        <v>0</v>
      </c>
      <c r="AI332" s="394">
        <f t="shared" si="124"/>
        <v>0</v>
      </c>
      <c r="AJ332" s="394">
        <f t="shared" si="122"/>
        <v>0</v>
      </c>
      <c r="AK332" s="394">
        <f>IF(I332=0,0,IF(G332=5,0,(AC332+AF332/12)*12*BASE!$C$5))/2</f>
        <v>0</v>
      </c>
      <c r="AL332" s="394">
        <f>IF(I332=0,0,IF(G332=5,0,(AC332+AE332/12+AF332/12)*12*BASE!$C$7))/2</f>
        <v>0</v>
      </c>
      <c r="AM332" s="394">
        <f>IF(I332=0,0,IF(G332=5,0,(AC332+AF332/12)*12*BASE!$C$9))/2</f>
        <v>0</v>
      </c>
      <c r="AN332" s="414">
        <f>IF(I332=0,0,IF(G332=5,0,(AD332+AF332+AG332)*BASE!$C$10))/2</f>
        <v>0</v>
      </c>
      <c r="AO332" s="839">
        <f t="shared" si="125"/>
        <v>0</v>
      </c>
      <c r="AP332" s="601" t="str">
        <f t="shared" si="110"/>
        <v>Sin datos</v>
      </c>
      <c r="AQ332" s="1148"/>
      <c r="AR332" s="1149"/>
    </row>
    <row r="333" spans="1:44" ht="12.75" customHeight="1" thickBot="1" x14ac:dyDescent="0.25">
      <c r="A333" s="440"/>
      <c r="B333" s="1184" t="s">
        <v>1234</v>
      </c>
      <c r="C333" s="1165"/>
      <c r="D333" s="1165"/>
      <c r="E333" s="1165"/>
      <c r="F333" s="1185"/>
      <c r="G333" s="439" t="s">
        <v>167</v>
      </c>
      <c r="H333" s="503">
        <f>SUM(H314:H332)</f>
        <v>0</v>
      </c>
      <c r="I333" s="503">
        <f>SUM(I314:I332)</f>
        <v>0</v>
      </c>
      <c r="J333" s="503">
        <f t="shared" ref="J333:W333" si="126">SUM(J314:J332)</f>
        <v>0</v>
      </c>
      <c r="K333" s="503">
        <f t="shared" si="126"/>
        <v>0</v>
      </c>
      <c r="L333" s="503">
        <f t="shared" si="126"/>
        <v>0</v>
      </c>
      <c r="M333" s="503">
        <f t="shared" si="126"/>
        <v>0</v>
      </c>
      <c r="N333" s="503">
        <f t="shared" si="126"/>
        <v>0</v>
      </c>
      <c r="O333" s="503">
        <f t="shared" si="126"/>
        <v>0</v>
      </c>
      <c r="P333" s="503">
        <f t="shared" si="126"/>
        <v>0</v>
      </c>
      <c r="Q333" s="503">
        <f t="shared" si="126"/>
        <v>0</v>
      </c>
      <c r="R333" s="503">
        <f t="shared" si="126"/>
        <v>0</v>
      </c>
      <c r="S333" s="503">
        <f t="shared" si="126"/>
        <v>0</v>
      </c>
      <c r="T333" s="503">
        <f t="shared" si="126"/>
        <v>0</v>
      </c>
      <c r="U333" s="503">
        <f t="shared" si="126"/>
        <v>0</v>
      </c>
      <c r="V333" s="503">
        <f t="shared" si="126"/>
        <v>0</v>
      </c>
      <c r="W333" s="503">
        <f t="shared" si="126"/>
        <v>0</v>
      </c>
      <c r="X333" s="495">
        <f t="shared" si="117"/>
        <v>0</v>
      </c>
      <c r="Y333" s="504"/>
      <c r="Z333" s="505"/>
      <c r="AA333" s="505"/>
      <c r="AB333" s="505"/>
      <c r="AC333" s="506"/>
      <c r="AD333" s="505">
        <f>SUM(AD314:AD332)</f>
        <v>0</v>
      </c>
      <c r="AE333" s="507">
        <f t="shared" ref="AE333:AO333" si="127">SUM(AE314:AE332)</f>
        <v>0</v>
      </c>
      <c r="AF333" s="505">
        <f t="shared" si="127"/>
        <v>0</v>
      </c>
      <c r="AG333" s="505">
        <f t="shared" si="127"/>
        <v>0</v>
      </c>
      <c r="AH333" s="505">
        <f t="shared" si="127"/>
        <v>0</v>
      </c>
      <c r="AI333" s="505">
        <f t="shared" si="127"/>
        <v>0</v>
      </c>
      <c r="AJ333" s="505">
        <f t="shared" si="127"/>
        <v>0</v>
      </c>
      <c r="AK333" s="505">
        <f t="shared" si="127"/>
        <v>0</v>
      </c>
      <c r="AL333" s="505">
        <f t="shared" si="127"/>
        <v>0</v>
      </c>
      <c r="AM333" s="505">
        <f t="shared" si="127"/>
        <v>0</v>
      </c>
      <c r="AN333" s="508">
        <f t="shared" si="127"/>
        <v>0</v>
      </c>
      <c r="AO333" s="842">
        <f t="shared" si="127"/>
        <v>0</v>
      </c>
      <c r="AP333" s="603" t="str">
        <f t="shared" si="110"/>
        <v>Sin datos</v>
      </c>
      <c r="AQ333" s="441"/>
      <c r="AR333" s="404"/>
    </row>
    <row r="334" spans="1:44" ht="24" customHeight="1" collapsed="1" thickBot="1" x14ac:dyDescent="0.25">
      <c r="A334" s="440"/>
      <c r="B334" s="1186" t="s">
        <v>1237</v>
      </c>
      <c r="C334" s="1187"/>
      <c r="D334" s="1187"/>
      <c r="E334" s="1187"/>
      <c r="F334" s="1188"/>
      <c r="G334" s="1014" t="s">
        <v>167</v>
      </c>
      <c r="H334" s="1015">
        <f>+H278+H312+H333</f>
        <v>5518</v>
      </c>
      <c r="I334" s="1015">
        <f>+I278+I312+I333</f>
        <v>5572.01</v>
      </c>
      <c r="J334" s="1015">
        <f t="shared" ref="J334:N334" si="128">+J278+J312+J333</f>
        <v>1711</v>
      </c>
      <c r="K334" s="1015">
        <f t="shared" si="128"/>
        <v>632</v>
      </c>
      <c r="L334" s="1015">
        <f t="shared" si="128"/>
        <v>468</v>
      </c>
      <c r="M334" s="1015">
        <f t="shared" si="128"/>
        <v>369</v>
      </c>
      <c r="N334" s="1015">
        <f t="shared" si="128"/>
        <v>251</v>
      </c>
      <c r="O334" s="1015">
        <f t="shared" ref="O334" si="129">+O278+O312+O333</f>
        <v>3431</v>
      </c>
      <c r="P334" s="1015">
        <f t="shared" ref="P334" si="130">+P278+P312+P333</f>
        <v>221</v>
      </c>
      <c r="Q334" s="1015">
        <f t="shared" ref="Q334" si="131">+Q278+Q312+Q333</f>
        <v>554</v>
      </c>
      <c r="R334" s="1015">
        <f t="shared" ref="R334" si="132">+R278+R312+R333</f>
        <v>740</v>
      </c>
      <c r="S334" s="1015">
        <f t="shared" ref="S334" si="133">+S278+S312+S333</f>
        <v>562</v>
      </c>
      <c r="T334" s="1015">
        <f t="shared" ref="T334" si="134">+T278+T312+T333</f>
        <v>49</v>
      </c>
      <c r="U334" s="1015">
        <f t="shared" ref="U334" si="135">+U278+U312+U333</f>
        <v>12</v>
      </c>
      <c r="V334" s="1015">
        <f t="shared" ref="V334" si="136">+V278+V312+V333</f>
        <v>618</v>
      </c>
      <c r="W334" s="1015">
        <f t="shared" ref="W334" si="137">+W278+W312+W333</f>
        <v>705</v>
      </c>
      <c r="X334" s="1015">
        <f t="shared" ref="X334" si="138">+X278+X312+X333</f>
        <v>5494</v>
      </c>
      <c r="Y334" s="1015"/>
      <c r="Z334" s="1016"/>
      <c r="AA334" s="1016"/>
      <c r="AB334" s="1016"/>
      <c r="AC334" s="1017"/>
      <c r="AD334" s="1019">
        <f t="shared" ref="AD334" si="139">+AD278+AD312+AD333</f>
        <v>9516805066.666666</v>
      </c>
      <c r="AE334" s="1019">
        <f t="shared" ref="AE334" si="140">+AE278+AE312+AE333</f>
        <v>38683463.866666652</v>
      </c>
      <c r="AF334" s="1019">
        <f t="shared" ref="AF334" si="141">+AF278+AF312+AF333</f>
        <v>0</v>
      </c>
      <c r="AG334" s="1019">
        <f t="shared" ref="AG334" si="142">+AG278+AG312+AG333</f>
        <v>685590355.55555546</v>
      </c>
      <c r="AH334" s="1019">
        <f t="shared" ref="AH334" si="143">+AH278+AH312+AH333</f>
        <v>840089909</v>
      </c>
      <c r="AI334" s="1019">
        <f t="shared" ref="AI334" si="144">+AI278+AI312+AI333</f>
        <v>1740089907.1740742</v>
      </c>
      <c r="AJ334" s="1019">
        <f t="shared" ref="AJ334" si="145">+AJ278+AJ312+AJ333</f>
        <v>338278364.44487339</v>
      </c>
      <c r="AK334" s="1019">
        <f t="shared" ref="AK334" si="146">+AK278+AK312+AK333</f>
        <v>954615240</v>
      </c>
      <c r="AL334" s="1019">
        <f t="shared" ref="AL334" si="147">+AL278+AL312+AL333</f>
        <v>927764000</v>
      </c>
      <c r="AM334" s="1019">
        <f t="shared" ref="AM334" si="148">+AM278+AM312+AM333</f>
        <v>53097547.680000037</v>
      </c>
      <c r="AN334" s="1019">
        <f t="shared" ref="AN334" si="149">+AN278+AN312+AN333</f>
        <v>898759508.00000024</v>
      </c>
      <c r="AO334" s="1019">
        <f t="shared" ref="AO334" si="150">+AO278+AO312+AO333</f>
        <v>15993773362.387835</v>
      </c>
      <c r="AP334" s="1018">
        <f t="shared" ref="AP334" si="151">IFERROR(AO334/AD334,"Sin datos")</f>
        <v>1.680582217493058</v>
      </c>
      <c r="AQ334" s="441"/>
      <c r="AR334" s="404"/>
    </row>
    <row r="335" spans="1:44" s="358" customFormat="1" ht="16.5" thickBot="1" x14ac:dyDescent="0.25">
      <c r="A335" s="397"/>
      <c r="B335" s="509" t="s">
        <v>412</v>
      </c>
      <c r="C335" s="429"/>
      <c r="D335" s="435"/>
      <c r="E335" s="359"/>
      <c r="F335" s="510"/>
      <c r="G335" s="511"/>
      <c r="H335" s="359"/>
      <c r="I335" s="397"/>
      <c r="J335" s="359"/>
      <c r="K335" s="359"/>
      <c r="L335" s="359"/>
      <c r="M335" s="359"/>
      <c r="N335" s="359"/>
      <c r="O335" s="359"/>
      <c r="P335" s="359"/>
      <c r="Q335" s="359"/>
      <c r="R335" s="359"/>
      <c r="S335" s="359"/>
      <c r="T335" s="359"/>
      <c r="U335" s="359"/>
      <c r="V335" s="359"/>
      <c r="W335" s="359"/>
      <c r="X335" s="359"/>
      <c r="Y335" s="359"/>
      <c r="Z335" s="400"/>
      <c r="AA335" s="400"/>
      <c r="AB335" s="400"/>
      <c r="AC335" s="359"/>
      <c r="AD335" s="359"/>
      <c r="AE335" s="512"/>
      <c r="AF335" s="513"/>
      <c r="AG335" s="514"/>
      <c r="AH335" s="514"/>
      <c r="AI335" s="514"/>
      <c r="AJ335" s="514"/>
      <c r="AK335" s="514"/>
      <c r="AL335" s="514"/>
      <c r="AM335" s="514"/>
      <c r="AN335" s="515"/>
      <c r="AO335" s="843"/>
      <c r="AP335" s="605" t="str">
        <f t="shared" si="110"/>
        <v>Sin datos</v>
      </c>
      <c r="AQ335" s="441"/>
      <c r="AR335" s="404"/>
    </row>
    <row r="336" spans="1:44" ht="13.5" customHeight="1" outlineLevel="1" x14ac:dyDescent="0.2">
      <c r="A336" s="368" t="s">
        <v>620</v>
      </c>
      <c r="B336" s="417" t="s">
        <v>1221</v>
      </c>
      <c r="C336" s="427"/>
      <c r="D336" s="430">
        <f>IF(E336="","",VLOOKUP(E336,BASE!$F$20:$H$25,2,FALSE))</f>
        <v>5</v>
      </c>
      <c r="E336" s="399" t="s">
        <v>538</v>
      </c>
      <c r="F336" s="489" t="s">
        <v>863</v>
      </c>
      <c r="G336" s="437">
        <f>IF(F336="","",VLOOKUP(F336,BASE!$B$15:$C$18,2,FALSE))</f>
        <v>4</v>
      </c>
      <c r="H336" s="519">
        <v>40</v>
      </c>
      <c r="I336" s="424">
        <f>+H336</f>
        <v>40</v>
      </c>
      <c r="J336" s="354"/>
      <c r="K336" s="354"/>
      <c r="L336" s="354"/>
      <c r="M336" s="354"/>
      <c r="N336" s="354"/>
      <c r="O336" s="355">
        <f t="shared" ref="O336:O349" si="152">+J336+K336+L336+M336+N336</f>
        <v>0</v>
      </c>
      <c r="P336" s="354"/>
      <c r="Q336" s="354"/>
      <c r="R336" s="355">
        <f t="shared" ref="R336:R349" si="153">+P336+Q336</f>
        <v>0</v>
      </c>
      <c r="S336" s="354"/>
      <c r="T336" s="354"/>
      <c r="U336" s="354"/>
      <c r="V336" s="355">
        <f t="shared" ref="V336:V349" si="154">+S336+T336+U336</f>
        <v>0</v>
      </c>
      <c r="W336" s="354"/>
      <c r="X336" s="355">
        <f t="shared" ref="X336:X350" si="155">+O336+R336+V336+W336</f>
        <v>0</v>
      </c>
      <c r="Y336" s="192" t="str">
        <f t="shared" ref="Y336:Y349" si="156">IF(I336-X336=0,"OK ",IF(I336-X336&gt;0,"AJUSTE",IF(I336-X336&lt;0,"AJUSTE")))</f>
        <v>AJUSTE</v>
      </c>
      <c r="Z336" s="406" t="str">
        <f t="shared" ref="Z336" si="157">IF(H336-I336=0," ",IF(H336-I336&gt;0,"JUSTIFICAR","AJUSTE"))</f>
        <v xml:space="preserve"> </v>
      </c>
      <c r="AA336" s="491">
        <v>3562000</v>
      </c>
      <c r="AB336" s="193">
        <v>2546000</v>
      </c>
      <c r="AC336" s="193">
        <f t="shared" ref="AC336:AC349" si="158">AA336+AB336</f>
        <v>6108000</v>
      </c>
      <c r="AD336" s="193">
        <f>IF(G336=3,AC336*BASE!$I$62,IF(G336=1,AC336*(BASE!$I$61),IF(G336=3,AC336*(BASE!$I$63*2),IF(G336=2,AC336*BASE!$I$63,IF(G336=4,AC336*BASE!$I$63,0)))))</f>
        <v>69427600</v>
      </c>
      <c r="AE336" s="409">
        <f>IF(I336&lt;10,0,IF(AC336&lt;=BASE!$C$3*2,BASE!$C$2,0)*(AD336/AC336))</f>
        <v>0</v>
      </c>
      <c r="AF336" s="393">
        <v>0</v>
      </c>
      <c r="AG336" s="392">
        <f t="shared" ref="AG336:AG349" si="159">IF(I336=0,0,IF(G336=5,0,((AD336/12)+(AF336/12))/3*2))</f>
        <v>3857088.8888888885</v>
      </c>
      <c r="AH336" s="392">
        <f>ROUND((AD336/12)+(AE336/12)+(AF336/12)+(AG336/12),0)</f>
        <v>6107057</v>
      </c>
      <c r="AI336" s="392">
        <f>((AD336/12)+(AE336/12)+(AF336/12)+(AG336/12))</f>
        <v>6107057.4074074067</v>
      </c>
      <c r="AJ336" s="392">
        <f t="shared" ref="AJ336:AJ349" si="160">IF(G336=3,(AI336*11%),IF(G336=4,(AI336*12%),IF(G336=2,(AI336*12%),IF(G336=1,(AI336*10%),0))))</f>
        <v>732846.88888888876</v>
      </c>
      <c r="AK336" s="392">
        <f>IF(I336=0,0,IF(G336=5,0,(AD336+AG336+AF336)*BASE!$C$5))</f>
        <v>6229198.5555555569</v>
      </c>
      <c r="AL336" s="392">
        <f>IF(I336=0,0,IF(G336=5,0,(AD336+AG336+AF336)*BASE!$C$7))</f>
        <v>8794162.6666666679</v>
      </c>
      <c r="AM336" s="392">
        <f>IF(I336=0,0,IF(G336=5,0,(AD336+AF336)*BASE!$C$9))</f>
        <v>362412.07199999999</v>
      </c>
      <c r="AN336" s="410">
        <f>IF(I336=0,0,IF(G336=5,0,(AD336+AF336+AG336)*BASE!$C$10))</f>
        <v>6595622</v>
      </c>
      <c r="AO336" s="844">
        <f>+AD336+AE336+AF336+AG336+AH336+AI336+AJ336+AK336+AL336+AM336+AN336</f>
        <v>108213045.47940741</v>
      </c>
      <c r="AP336" s="606">
        <f t="shared" si="110"/>
        <v>1.558645920057836</v>
      </c>
      <c r="AQ336" s="1148"/>
      <c r="AR336" s="1149"/>
    </row>
    <row r="337" spans="1:87" ht="13.5" customHeight="1" outlineLevel="1" x14ac:dyDescent="0.2">
      <c r="A337" s="368" t="s">
        <v>621</v>
      </c>
      <c r="B337" s="527" t="s">
        <v>1222</v>
      </c>
      <c r="C337" s="427"/>
      <c r="D337" s="431">
        <f>IF(E337="","",VLOOKUP(E337,BASE!$F$20:$H$25,2,FALSE))</f>
        <v>2</v>
      </c>
      <c r="E337" s="399" t="s">
        <v>541</v>
      </c>
      <c r="F337" s="587" t="s">
        <v>258</v>
      </c>
      <c r="G337" s="437">
        <f>IF(F337="","",VLOOKUP(F337,BASE!$B$15:$C$18,2,FALSE))</f>
        <v>2</v>
      </c>
      <c r="H337" s="520">
        <v>40</v>
      </c>
      <c r="I337" s="424">
        <f t="shared" ref="I337:I344" si="161">+H337</f>
        <v>40</v>
      </c>
      <c r="J337" s="354"/>
      <c r="K337" s="354"/>
      <c r="L337" s="354"/>
      <c r="M337" s="354"/>
      <c r="N337" s="354"/>
      <c r="O337" s="355">
        <f t="shared" ref="O337:O344" si="162">+J337+K337+L337+M337+N337</f>
        <v>0</v>
      </c>
      <c r="P337" s="354"/>
      <c r="Q337" s="354"/>
      <c r="R337" s="355">
        <f t="shared" ref="R337:R344" si="163">+P337+Q337</f>
        <v>0</v>
      </c>
      <c r="S337" s="354"/>
      <c r="T337" s="354"/>
      <c r="U337" s="354"/>
      <c r="V337" s="355">
        <f t="shared" ref="V337:V344" si="164">+S337+T337+U337</f>
        <v>0</v>
      </c>
      <c r="W337" s="354"/>
      <c r="X337" s="355">
        <f t="shared" ref="X337:X344" si="165">+O337+R337+V337+W337</f>
        <v>0</v>
      </c>
      <c r="Y337" s="19" t="str">
        <f t="shared" ref="Y337:Y344" si="166">IF(I337-X337=0,"OK ",IF(I337-X337&gt;0,"AJUSTE",IF(I337-X337&lt;0,"AJUSTE")))</f>
        <v>AJUSTE</v>
      </c>
      <c r="Z337" s="404" t="str">
        <f t="shared" ref="Z337:Z344" si="167">IF(H337-I337=0," ",IF(H337-I337&gt;0,"JUSTIFICAR","AJUSTE"))</f>
        <v xml:space="preserve"> </v>
      </c>
      <c r="AA337" s="478">
        <v>8014000</v>
      </c>
      <c r="AB337" s="20">
        <v>8668000</v>
      </c>
      <c r="AC337" s="20">
        <f t="shared" ref="AC337:AC344" si="168">AA337+AB337</f>
        <v>16682000</v>
      </c>
      <c r="AD337" s="20">
        <f>IF(G337=3,AC337*BASE!$I$62,IF(G337=1,AC337*(BASE!$I$61),IF(G337=3,AC337*(BASE!$I$63*2),IF(G337=2,AC337*BASE!$I$63,IF(G337=4,AC337*BASE!$I$63,0)))))</f>
        <v>189618733.33333334</v>
      </c>
      <c r="AE337" s="411">
        <f>IF(I337&lt;10,0,IF(AC337&lt;=BASE!$C$3*2,BASE!$C$2,0)*(AD337/AC337))</f>
        <v>0</v>
      </c>
      <c r="AF337" s="13">
        <v>0</v>
      </c>
      <c r="AG337" s="14">
        <f t="shared" si="159"/>
        <v>10534374.074074075</v>
      </c>
      <c r="AH337" s="14">
        <f t="shared" ref="AH337:AH349" si="169">ROUND((AD337/12)+(AE337/12)+(AF337/12)+(AG337/12),0)</f>
        <v>16679426</v>
      </c>
      <c r="AI337" s="14">
        <f t="shared" ref="AI337:AI349" si="170">((AD337/12)+(AE337/12)+(AF337/12)+(AG337/12))</f>
        <v>16679425.617283951</v>
      </c>
      <c r="AJ337" s="14">
        <f t="shared" si="160"/>
        <v>2001531.0740740742</v>
      </c>
      <c r="AK337" s="14">
        <f>IF(I337=0,0,IF(G337=5,0,(AD337+AG337+AF337)*BASE!$C$5))</f>
        <v>17013014.129629631</v>
      </c>
      <c r="AL337" s="14">
        <f>IF(I337=0,0,IF(G337=5,0,(AD337+AG337+AF337)*BASE!$C$7))</f>
        <v>24018372.888888888</v>
      </c>
      <c r="AM337" s="14">
        <f>IF(I337=0,0,IF(G337=5,0,(AD337+AF337)*BASE!$C$9))</f>
        <v>989809.78800000006</v>
      </c>
      <c r="AN337" s="412">
        <f>IF(I337=0,0,IF(G337=5,0,(AD337+AF337+AG337)*BASE!$C$10))</f>
        <v>18013779.666666664</v>
      </c>
      <c r="AO337" s="837">
        <f t="shared" ref="AO337:AO349" si="171">+AD337+AE337+AF337+AG337+AH337+AI337+AJ337+AK337+AL337+AM337+AN337</f>
        <v>295548466.57195061</v>
      </c>
      <c r="AP337" s="677">
        <f t="shared" si="110"/>
        <v>1.558645927944271</v>
      </c>
      <c r="AQ337" s="1148"/>
      <c r="AR337" s="1149"/>
    </row>
    <row r="338" spans="1:87" ht="13.5" customHeight="1" outlineLevel="1" x14ac:dyDescent="0.2">
      <c r="A338" s="368" t="s">
        <v>622</v>
      </c>
      <c r="B338" s="418" t="s">
        <v>1223</v>
      </c>
      <c r="C338" s="427"/>
      <c r="D338" s="431">
        <f>IF(E338="","",VLOOKUP(E338,BASE!$F$20:$H$25,2,FALSE))</f>
        <v>4</v>
      </c>
      <c r="E338" s="399" t="s">
        <v>539</v>
      </c>
      <c r="F338" s="587" t="s">
        <v>863</v>
      </c>
      <c r="G338" s="437">
        <f>IF(F338="","",VLOOKUP(F338,BASE!$B$15:$C$18,2,FALSE))</f>
        <v>4</v>
      </c>
      <c r="H338" s="520">
        <v>8</v>
      </c>
      <c r="I338" s="424">
        <f t="shared" si="161"/>
        <v>8</v>
      </c>
      <c r="J338" s="354"/>
      <c r="K338" s="354"/>
      <c r="L338" s="354"/>
      <c r="M338" s="354"/>
      <c r="N338" s="354"/>
      <c r="O338" s="355">
        <f t="shared" si="162"/>
        <v>0</v>
      </c>
      <c r="P338" s="354"/>
      <c r="Q338" s="354"/>
      <c r="R338" s="355">
        <f t="shared" si="163"/>
        <v>0</v>
      </c>
      <c r="S338" s="354"/>
      <c r="T338" s="354"/>
      <c r="U338" s="354"/>
      <c r="V338" s="355">
        <f t="shared" si="164"/>
        <v>0</v>
      </c>
      <c r="W338" s="354"/>
      <c r="X338" s="355">
        <f t="shared" si="165"/>
        <v>0</v>
      </c>
      <c r="Y338" s="19" t="str">
        <f t="shared" si="166"/>
        <v>AJUSTE</v>
      </c>
      <c r="Z338" s="404" t="str">
        <f t="shared" si="167"/>
        <v xml:space="preserve"> </v>
      </c>
      <c r="AA338" s="478">
        <v>890000</v>
      </c>
      <c r="AB338" s="20">
        <v>6183000</v>
      </c>
      <c r="AC338" s="20">
        <f t="shared" si="168"/>
        <v>7073000</v>
      </c>
      <c r="AD338" s="20">
        <f>IF(G338=3,AC338*BASE!$I$62,IF(G338=1,AC338*(BASE!$I$61),IF(G338=3,AC338*(BASE!$I$63*2),IF(G338=2,AC338*BASE!$I$63,IF(G338=4,AC338*BASE!$I$63,0)))))</f>
        <v>80396433.333333343</v>
      </c>
      <c r="AE338" s="411">
        <f>IF(I338&lt;10,0,IF(AC338&lt;=BASE!$C$3*2,BASE!$C$2,0)*(AD338/AC338))</f>
        <v>0</v>
      </c>
      <c r="AF338" s="13">
        <v>0</v>
      </c>
      <c r="AG338" s="14">
        <f t="shared" si="159"/>
        <v>4466468.5185185196</v>
      </c>
      <c r="AH338" s="14">
        <f t="shared" si="169"/>
        <v>7071908</v>
      </c>
      <c r="AI338" s="14">
        <f t="shared" si="170"/>
        <v>7071908.4876543218</v>
      </c>
      <c r="AJ338" s="14">
        <f t="shared" si="160"/>
        <v>848629.01851851854</v>
      </c>
      <c r="AK338" s="14">
        <f>IF(I338=0,0,IF(G338=5,0,(AD338+AG338+AF338)*BASE!$C$5))</f>
        <v>7213346.6574074095</v>
      </c>
      <c r="AL338" s="14">
        <v>0</v>
      </c>
      <c r="AM338" s="14">
        <f>IF(I338=0,0,IF(G338=5,0,(AD338+AF338)*BASE!$C$9))</f>
        <v>419669.38200000004</v>
      </c>
      <c r="AN338" s="412">
        <f>IF(I338=0,0,IF(G338=5,0,(AD338+AF338+AG338)*BASE!$C$10))</f>
        <v>7637661.1666666679</v>
      </c>
      <c r="AO338" s="837">
        <f t="shared" si="171"/>
        <v>115126024.56409879</v>
      </c>
      <c r="AP338" s="677">
        <f t="shared" si="110"/>
        <v>1.4319792531936382</v>
      </c>
      <c r="AQ338" s="1148"/>
      <c r="AR338" s="1149"/>
    </row>
    <row r="339" spans="1:87" ht="13.5" customHeight="1" outlineLevel="1" x14ac:dyDescent="0.2">
      <c r="A339" s="368" t="s">
        <v>622</v>
      </c>
      <c r="B339" s="418" t="s">
        <v>1224</v>
      </c>
      <c r="C339" s="427"/>
      <c r="D339" s="431">
        <f>IF(E339="","",VLOOKUP(E339,BASE!$F$20:$H$25,2,FALSE))</f>
        <v>1</v>
      </c>
      <c r="E339" s="399" t="s">
        <v>168</v>
      </c>
      <c r="F339" s="587" t="s">
        <v>258</v>
      </c>
      <c r="G339" s="437">
        <f>IF(F339="","",VLOOKUP(F339,BASE!$B$15:$C$18,2,FALSE))</f>
        <v>2</v>
      </c>
      <c r="H339" s="520">
        <v>48</v>
      </c>
      <c r="I339" s="424">
        <f t="shared" si="161"/>
        <v>48</v>
      </c>
      <c r="J339" s="354"/>
      <c r="K339" s="354"/>
      <c r="L339" s="354"/>
      <c r="M339" s="354"/>
      <c r="N339" s="354"/>
      <c r="O339" s="355">
        <f t="shared" si="162"/>
        <v>0</v>
      </c>
      <c r="P339" s="354"/>
      <c r="Q339" s="354"/>
      <c r="R339" s="355">
        <f t="shared" si="163"/>
        <v>0</v>
      </c>
      <c r="S339" s="354"/>
      <c r="T339" s="354"/>
      <c r="U339" s="354"/>
      <c r="V339" s="355">
        <f t="shared" si="164"/>
        <v>0</v>
      </c>
      <c r="W339" s="354"/>
      <c r="X339" s="355">
        <f t="shared" si="165"/>
        <v>0</v>
      </c>
      <c r="Y339" s="19" t="str">
        <f t="shared" si="166"/>
        <v>AJUSTE</v>
      </c>
      <c r="Z339" s="404" t="str">
        <f t="shared" si="167"/>
        <v xml:space="preserve"> </v>
      </c>
      <c r="AA339" s="478">
        <v>1200000</v>
      </c>
      <c r="AB339" s="20">
        <v>0</v>
      </c>
      <c r="AC339" s="20">
        <f t="shared" si="168"/>
        <v>1200000</v>
      </c>
      <c r="AD339" s="20">
        <f>IF(G339=3,AC339*BASE!$I$62,IF(G339=1,AC339*(BASE!$I$61),IF(G339=3,AC339*(BASE!$I$63*2),IF(G339=2,AC339*BASE!$I$63,IF(G339=4,AC339*BASE!$I$63,0)))))</f>
        <v>13640000</v>
      </c>
      <c r="AE339" s="411">
        <f>IF(I339&lt;10,0,IF(AC339&lt;=BASE!$C$3*2,BASE!$C$2,0)*(AD339/AC339))</f>
        <v>1002665.0333333333</v>
      </c>
      <c r="AF339" s="13">
        <v>0</v>
      </c>
      <c r="AG339" s="14">
        <f t="shared" si="159"/>
        <v>757777.77777777787</v>
      </c>
      <c r="AH339" s="14">
        <f t="shared" si="169"/>
        <v>1283370</v>
      </c>
      <c r="AI339" s="14">
        <f t="shared" si="170"/>
        <v>1283370.2342592592</v>
      </c>
      <c r="AJ339" s="14">
        <f t="shared" si="160"/>
        <v>154004.4281111111</v>
      </c>
      <c r="AK339" s="14">
        <f>IF(I339=0,0,IF(G339=5,0,(AD339+AG339+AF339)*BASE!$C$5))</f>
        <v>1223811.1111111112</v>
      </c>
      <c r="AL339" s="14">
        <f>IF(I339=0,0,IF(G339=5,0,(AD339+AG339+AF339)*BASE!$C$7))</f>
        <v>1727733.3333333333</v>
      </c>
      <c r="AM339" s="14">
        <f>IF(I339=0,0,IF(G339=5,0,(AD339+AF339)*BASE!$C$9))</f>
        <v>71200.800000000003</v>
      </c>
      <c r="AN339" s="412">
        <f>IF(I339=0,0,IF(G339=5,0,(AD339+AF339+AG339)*BASE!$C$10))</f>
        <v>1295800</v>
      </c>
      <c r="AO339" s="837">
        <f>+AD339+AE339+AF339+AG339+AH339+AI339+AJ339+AK339+AL339+AM339+AN339</f>
        <v>22439732.717925925</v>
      </c>
      <c r="AP339" s="677">
        <f t="shared" si="110"/>
        <v>1.6451416948626045</v>
      </c>
      <c r="AQ339" s="1148"/>
      <c r="AR339" s="1149"/>
    </row>
    <row r="340" spans="1:87" ht="13.5" customHeight="1" outlineLevel="1" x14ac:dyDescent="0.2">
      <c r="A340" s="368" t="s">
        <v>622</v>
      </c>
      <c r="B340" s="418" t="s">
        <v>1225</v>
      </c>
      <c r="C340" s="427"/>
      <c r="D340" s="431">
        <f>IF(E340="","",VLOOKUP(E340,BASE!$F$20:$H$25,2,FALSE))</f>
        <v>1</v>
      </c>
      <c r="E340" s="399" t="s">
        <v>168</v>
      </c>
      <c r="F340" s="587" t="s">
        <v>258</v>
      </c>
      <c r="G340" s="437">
        <f>IF(F340="","",VLOOKUP(F340,BASE!$B$15:$C$18,2,FALSE))</f>
        <v>2</v>
      </c>
      <c r="H340" s="520">
        <v>48</v>
      </c>
      <c r="I340" s="424">
        <f t="shared" si="161"/>
        <v>48</v>
      </c>
      <c r="J340" s="354"/>
      <c r="K340" s="354"/>
      <c r="L340" s="354"/>
      <c r="M340" s="354"/>
      <c r="N340" s="354"/>
      <c r="O340" s="355">
        <f t="shared" si="162"/>
        <v>0</v>
      </c>
      <c r="P340" s="354"/>
      <c r="Q340" s="354"/>
      <c r="R340" s="355">
        <f t="shared" si="163"/>
        <v>0</v>
      </c>
      <c r="S340" s="354"/>
      <c r="T340" s="354"/>
      <c r="U340" s="354"/>
      <c r="V340" s="355">
        <f t="shared" si="164"/>
        <v>0</v>
      </c>
      <c r="W340" s="354"/>
      <c r="X340" s="355">
        <f t="shared" si="165"/>
        <v>0</v>
      </c>
      <c r="Y340" s="19" t="str">
        <f t="shared" si="166"/>
        <v>AJUSTE</v>
      </c>
      <c r="Z340" s="404" t="str">
        <f t="shared" si="167"/>
        <v xml:space="preserve"> </v>
      </c>
      <c r="AA340" s="478">
        <v>1731000</v>
      </c>
      <c r="AB340" s="20">
        <v>0</v>
      </c>
      <c r="AC340" s="20">
        <f t="shared" si="168"/>
        <v>1731000</v>
      </c>
      <c r="AD340" s="20">
        <f>IF(G340=3,AC340*BASE!$I$62,IF(G340=1,AC340*(BASE!$I$61),IF(G340=3,AC340*(BASE!$I$63*2),IF(G340=2,AC340*BASE!$I$63,IF(G340=4,AC340*BASE!$I$63,0)))))</f>
        <v>19675700</v>
      </c>
      <c r="AE340" s="411">
        <f>IF(I340&lt;10,0,IF(AC340&lt;=BASE!$C$3*2,BASE!$C$2,0)*(AD340/AC340))</f>
        <v>0</v>
      </c>
      <c r="AF340" s="13">
        <v>0</v>
      </c>
      <c r="AG340" s="14">
        <f t="shared" si="159"/>
        <v>1093094.4444444445</v>
      </c>
      <c r="AH340" s="14">
        <f t="shared" si="169"/>
        <v>1730733</v>
      </c>
      <c r="AI340" s="14">
        <f t="shared" si="170"/>
        <v>1730732.8703703703</v>
      </c>
      <c r="AJ340" s="14">
        <f t="shared" si="160"/>
        <v>207687.94444444444</v>
      </c>
      <c r="AK340" s="14">
        <f>IF(I340=0,0,IF(G340=5,0,(AD340+AG340+AF340)*BASE!$C$5))</f>
        <v>1765347.527777778</v>
      </c>
      <c r="AL340" s="14">
        <f>IF(I340=0,0,IF(G340=5,0,(AD340+AG340+AF340)*BASE!$C$7))</f>
        <v>2492255.333333333</v>
      </c>
      <c r="AM340" s="14">
        <f>IF(I340=0,0,IF(G340=5,0,(AD340+AF340)*BASE!$C$9))</f>
        <v>102707.15399999999</v>
      </c>
      <c r="AN340" s="412">
        <f>IF(I340=0,0,IF(G340=5,0,(AD340+AF340+AG340)*BASE!$C$10))</f>
        <v>1869191.5</v>
      </c>
      <c r="AO340" s="837">
        <f>+AD340+AE340+AF340+AG340+AH340+AI340+AJ340+AK340+AL340+AM340+AN340</f>
        <v>30667449.774370369</v>
      </c>
      <c r="AP340" s="677">
        <f t="shared" si="110"/>
        <v>1.5586459325142368</v>
      </c>
      <c r="AQ340" s="1148"/>
      <c r="AR340" s="1149"/>
    </row>
    <row r="341" spans="1:87" ht="13.5" customHeight="1" outlineLevel="1" x14ac:dyDescent="0.2">
      <c r="A341" s="368" t="s">
        <v>622</v>
      </c>
      <c r="B341" s="418" t="s">
        <v>1226</v>
      </c>
      <c r="C341" s="427"/>
      <c r="D341" s="431">
        <f>IF(E341="","",VLOOKUP(E341,BASE!$F$20:$H$25,2,FALSE))</f>
        <v>1</v>
      </c>
      <c r="E341" s="399" t="s">
        <v>168</v>
      </c>
      <c r="F341" s="587" t="s">
        <v>258</v>
      </c>
      <c r="G341" s="437">
        <f>IF(F341="","",VLOOKUP(F341,BASE!$B$15:$C$18,2,FALSE))</f>
        <v>2</v>
      </c>
      <c r="H341" s="520">
        <v>48</v>
      </c>
      <c r="I341" s="424">
        <f t="shared" si="161"/>
        <v>48</v>
      </c>
      <c r="J341" s="354"/>
      <c r="K341" s="354"/>
      <c r="L341" s="354"/>
      <c r="M341" s="354"/>
      <c r="N341" s="354"/>
      <c r="O341" s="355">
        <f t="shared" si="162"/>
        <v>0</v>
      </c>
      <c r="P341" s="354"/>
      <c r="Q341" s="354"/>
      <c r="R341" s="355">
        <f t="shared" si="163"/>
        <v>0</v>
      </c>
      <c r="S341" s="354"/>
      <c r="T341" s="354"/>
      <c r="U341" s="354"/>
      <c r="V341" s="355">
        <f t="shared" si="164"/>
        <v>0</v>
      </c>
      <c r="W341" s="354"/>
      <c r="X341" s="355">
        <f t="shared" si="165"/>
        <v>0</v>
      </c>
      <c r="Y341" s="19" t="str">
        <f t="shared" si="166"/>
        <v>AJUSTE</v>
      </c>
      <c r="Z341" s="404" t="str">
        <f t="shared" si="167"/>
        <v xml:space="preserve"> </v>
      </c>
      <c r="AA341" s="478">
        <v>1200000</v>
      </c>
      <c r="AB341" s="20">
        <v>0</v>
      </c>
      <c r="AC341" s="20">
        <f t="shared" si="168"/>
        <v>1200000</v>
      </c>
      <c r="AD341" s="20">
        <f>IF(G341=3,AC341*BASE!$I$62,IF(G341=1,AC341*(BASE!$I$61),IF(G341=3,AC341*(BASE!$I$63*2),IF(G341=2,AC341*BASE!$I$63,IF(G341=4,AC341*BASE!$I$63,0)))))</f>
        <v>13640000</v>
      </c>
      <c r="AE341" s="411">
        <f>IF(I341&lt;10,0,IF(AC341&lt;=BASE!$C$3*2,BASE!$C$2,0)*(AD341/AC341))</f>
        <v>1002665.0333333333</v>
      </c>
      <c r="AF341" s="13">
        <v>0</v>
      </c>
      <c r="AG341" s="14">
        <f t="shared" si="159"/>
        <v>757777.77777777787</v>
      </c>
      <c r="AH341" s="14">
        <f t="shared" si="169"/>
        <v>1283370</v>
      </c>
      <c r="AI341" s="14">
        <f t="shared" si="170"/>
        <v>1283370.2342592592</v>
      </c>
      <c r="AJ341" s="14">
        <f t="shared" si="160"/>
        <v>154004.4281111111</v>
      </c>
      <c r="AK341" s="14">
        <f>IF(I341=0,0,IF(G341=5,0,(AD341+AG341+AF341)*BASE!$C$5))</f>
        <v>1223811.1111111112</v>
      </c>
      <c r="AL341" s="14">
        <f>IF(I341=0,0,IF(G341=5,0,(AD341+AG341+AF341)*BASE!$C$7))</f>
        <v>1727733.3333333333</v>
      </c>
      <c r="AM341" s="14">
        <f>IF(I341=0,0,IF(G341=5,0,(AD341+AF341)*BASE!$C$9))</f>
        <v>71200.800000000003</v>
      </c>
      <c r="AN341" s="412">
        <f>IF(I341=0,0,IF(G341=5,0,(AD341+AF341+AG341)*BASE!$C$10))</f>
        <v>1295800</v>
      </c>
      <c r="AO341" s="837">
        <f>+AD341+AE341+AF341+AG341+AH341+AI341+AJ341+AK341+AL341+AM341+AN341</f>
        <v>22439732.717925925</v>
      </c>
      <c r="AP341" s="677">
        <f t="shared" si="110"/>
        <v>1.6451416948626045</v>
      </c>
      <c r="AQ341" s="1148"/>
      <c r="AR341" s="1149"/>
    </row>
    <row r="342" spans="1:87" ht="13.5" customHeight="1" outlineLevel="1" x14ac:dyDescent="0.2">
      <c r="A342" s="368" t="s">
        <v>622</v>
      </c>
      <c r="B342" s="418" t="s">
        <v>1227</v>
      </c>
      <c r="C342" s="427"/>
      <c r="D342" s="431">
        <f>IF(E342="","",VLOOKUP(E342,BASE!$F$20:$H$25,2,FALSE))</f>
        <v>1</v>
      </c>
      <c r="E342" s="399" t="s">
        <v>168</v>
      </c>
      <c r="F342" s="587" t="s">
        <v>258</v>
      </c>
      <c r="G342" s="437">
        <f>IF(F342="","",VLOOKUP(F342,BASE!$B$15:$C$18,2,FALSE))</f>
        <v>2</v>
      </c>
      <c r="H342" s="520">
        <v>48</v>
      </c>
      <c r="I342" s="424">
        <f t="shared" si="161"/>
        <v>48</v>
      </c>
      <c r="J342" s="354"/>
      <c r="K342" s="354"/>
      <c r="L342" s="354"/>
      <c r="M342" s="354"/>
      <c r="N342" s="354"/>
      <c r="O342" s="355">
        <f t="shared" si="162"/>
        <v>0</v>
      </c>
      <c r="P342" s="354"/>
      <c r="Q342" s="354"/>
      <c r="R342" s="355">
        <f t="shared" si="163"/>
        <v>0</v>
      </c>
      <c r="S342" s="354"/>
      <c r="T342" s="354"/>
      <c r="U342" s="354"/>
      <c r="V342" s="355">
        <f t="shared" si="164"/>
        <v>0</v>
      </c>
      <c r="W342" s="354"/>
      <c r="X342" s="355">
        <f t="shared" si="165"/>
        <v>0</v>
      </c>
      <c r="Y342" s="19" t="str">
        <f t="shared" si="166"/>
        <v>AJUSTE</v>
      </c>
      <c r="Z342" s="404" t="str">
        <f t="shared" si="167"/>
        <v xml:space="preserve"> </v>
      </c>
      <c r="AA342" s="478">
        <v>1247000</v>
      </c>
      <c r="AB342" s="20">
        <v>0</v>
      </c>
      <c r="AC342" s="20">
        <f t="shared" si="168"/>
        <v>1247000</v>
      </c>
      <c r="AD342" s="20">
        <f>IF(G342=3,AC342*BASE!$I$62,IF(G342=1,AC342*(BASE!$I$61),IF(G342=3,AC342*(BASE!$I$63*2),IF(G342=2,AC342*BASE!$I$63,IF(G342=4,AC342*BASE!$I$63,0)))))</f>
        <v>14174233.333333334</v>
      </c>
      <c r="AE342" s="411">
        <f>IF(I342&lt;10,0,IF(AC342&lt;=BASE!$C$3*2,BASE!$C$2,0)*(AD342/AC342))</f>
        <v>1002665.0333333333</v>
      </c>
      <c r="AF342" s="13">
        <v>0</v>
      </c>
      <c r="AG342" s="14">
        <f t="shared" si="159"/>
        <v>787457.40740740753</v>
      </c>
      <c r="AH342" s="14">
        <f t="shared" si="169"/>
        <v>1330363</v>
      </c>
      <c r="AI342" s="14">
        <f t="shared" si="170"/>
        <v>1330362.9811728396</v>
      </c>
      <c r="AJ342" s="14">
        <f t="shared" si="160"/>
        <v>159643.55774074074</v>
      </c>
      <c r="AK342" s="14">
        <f>IF(I342=0,0,IF(G342=5,0,(AD342+AG342+AF342)*BASE!$C$5))</f>
        <v>1271743.7129629632</v>
      </c>
      <c r="AL342" s="14">
        <f>IF(I342=0,0,IF(G342=5,0,(AD342+AG342+AF342)*BASE!$C$7))</f>
        <v>1795402.8888888888</v>
      </c>
      <c r="AM342" s="14">
        <f>IF(I342=0,0,IF(G342=5,0,(AD342+AF342)*BASE!$C$9))</f>
        <v>73989.498000000007</v>
      </c>
      <c r="AN342" s="412">
        <f>IF(I342=0,0,IF(G342=5,0,(AD342+AF342+AG342)*BASE!$C$10))</f>
        <v>1346552.1666666665</v>
      </c>
      <c r="AO342" s="837">
        <f>+AD342+AE342+AF342+AG342+AH342+AI342+AJ342+AK342+AL342+AM342+AN342</f>
        <v>23272413.579506174</v>
      </c>
      <c r="AP342" s="677">
        <f t="shared" si="110"/>
        <v>1.6418816476498086</v>
      </c>
      <c r="AQ342" s="1148"/>
      <c r="AR342" s="1149"/>
    </row>
    <row r="343" spans="1:87" ht="13.5" customHeight="1" outlineLevel="1" x14ac:dyDescent="0.2">
      <c r="A343" s="368" t="s">
        <v>622</v>
      </c>
      <c r="B343" s="418" t="s">
        <v>1228</v>
      </c>
      <c r="C343" s="427"/>
      <c r="D343" s="431">
        <f>IF(E343="","",VLOOKUP(E343,BASE!$F$20:$H$25,2,FALSE))</f>
        <v>1</v>
      </c>
      <c r="E343" s="399" t="s">
        <v>168</v>
      </c>
      <c r="F343" s="587" t="s">
        <v>258</v>
      </c>
      <c r="G343" s="437">
        <f>IF(F343="","",VLOOKUP(F343,BASE!$B$15:$C$18,2,FALSE))</f>
        <v>2</v>
      </c>
      <c r="H343" s="520">
        <v>48</v>
      </c>
      <c r="I343" s="424">
        <f t="shared" si="161"/>
        <v>48</v>
      </c>
      <c r="J343" s="354"/>
      <c r="K343" s="354"/>
      <c r="L343" s="354"/>
      <c r="M343" s="354"/>
      <c r="N343" s="354"/>
      <c r="O343" s="355">
        <f t="shared" si="162"/>
        <v>0</v>
      </c>
      <c r="P343" s="354"/>
      <c r="Q343" s="354"/>
      <c r="R343" s="355">
        <f t="shared" si="163"/>
        <v>0</v>
      </c>
      <c r="S343" s="354"/>
      <c r="T343" s="354"/>
      <c r="U343" s="354"/>
      <c r="V343" s="355">
        <f t="shared" si="164"/>
        <v>0</v>
      </c>
      <c r="W343" s="354"/>
      <c r="X343" s="355">
        <f t="shared" si="165"/>
        <v>0</v>
      </c>
      <c r="Y343" s="19" t="str">
        <f t="shared" si="166"/>
        <v>AJUSTE</v>
      </c>
      <c r="Z343" s="404" t="str">
        <f t="shared" si="167"/>
        <v xml:space="preserve"> </v>
      </c>
      <c r="AA343" s="478">
        <v>1200000</v>
      </c>
      <c r="AB343" s="20">
        <v>0</v>
      </c>
      <c r="AC343" s="20">
        <f t="shared" si="168"/>
        <v>1200000</v>
      </c>
      <c r="AD343" s="20">
        <f>IF(G343=3,AC343*BASE!$I$62,IF(G343=1,AC343*(BASE!$I$61),IF(G343=3,AC343*(BASE!$I$63*2),IF(G343=2,AC343*BASE!$I$63,IF(G343=4,AC343*BASE!$I$63,0)))))</f>
        <v>13640000</v>
      </c>
      <c r="AE343" s="411">
        <f>IF(I343&lt;10,0,IF(AC343&lt;=BASE!$C$3*2,BASE!$C$2,0)*(AD343/AC343))</f>
        <v>1002665.0333333333</v>
      </c>
      <c r="AF343" s="13">
        <v>0</v>
      </c>
      <c r="AG343" s="14">
        <f t="shared" si="159"/>
        <v>757777.77777777787</v>
      </c>
      <c r="AH343" s="14">
        <f t="shared" si="169"/>
        <v>1283370</v>
      </c>
      <c r="AI343" s="14">
        <f t="shared" si="170"/>
        <v>1283370.2342592592</v>
      </c>
      <c r="AJ343" s="14">
        <f t="shared" si="160"/>
        <v>154004.4281111111</v>
      </c>
      <c r="AK343" s="14">
        <f>IF(I343=0,0,IF(G343=5,0,(AD343+AG343+AF343)*BASE!$C$5))</f>
        <v>1223811.1111111112</v>
      </c>
      <c r="AL343" s="14">
        <f>IF(I343=0,0,IF(G343=5,0,(AD343+AG343+AF343)*BASE!$C$7))</f>
        <v>1727733.3333333333</v>
      </c>
      <c r="AM343" s="14">
        <f>IF(I343=0,0,IF(G343=5,0,(AD343+AF343)*BASE!$C$9))</f>
        <v>71200.800000000003</v>
      </c>
      <c r="AN343" s="412">
        <f>IF(I343=0,0,IF(G343=5,0,(AD343+AF343+AG343)*BASE!$C$10))</f>
        <v>1295800</v>
      </c>
      <c r="AO343" s="837">
        <f>+AD343+AE343+AF343+AG343+AH343+AI343+AJ343+AK343+AL343+AM343+AN343</f>
        <v>22439732.717925925</v>
      </c>
      <c r="AP343" s="677">
        <f t="shared" si="110"/>
        <v>1.6451416948626045</v>
      </c>
      <c r="AQ343" s="1148"/>
      <c r="AR343" s="1149"/>
    </row>
    <row r="344" spans="1:87" ht="13.5" customHeight="1" outlineLevel="1" x14ac:dyDescent="0.2">
      <c r="A344" s="368" t="s">
        <v>623</v>
      </c>
      <c r="B344" s="418" t="s">
        <v>1229</v>
      </c>
      <c r="C344" s="427"/>
      <c r="D344" s="431">
        <f>IF(E344="","",VLOOKUP(E344,BASE!$F$20:$H$25,2,FALSE))</f>
        <v>1</v>
      </c>
      <c r="E344" s="399" t="s">
        <v>168</v>
      </c>
      <c r="F344" s="587" t="s">
        <v>258</v>
      </c>
      <c r="G344" s="437">
        <f>IF(F344="","",VLOOKUP(F344,BASE!$B$15:$C$18,2,FALSE))</f>
        <v>2</v>
      </c>
      <c r="H344" s="520">
        <v>48</v>
      </c>
      <c r="I344" s="424">
        <f t="shared" si="161"/>
        <v>48</v>
      </c>
      <c r="J344" s="354"/>
      <c r="K344" s="354"/>
      <c r="L344" s="354"/>
      <c r="M344" s="354"/>
      <c r="N344" s="354"/>
      <c r="O344" s="355">
        <f t="shared" si="162"/>
        <v>0</v>
      </c>
      <c r="P344" s="354"/>
      <c r="Q344" s="354"/>
      <c r="R344" s="355">
        <f t="shared" si="163"/>
        <v>0</v>
      </c>
      <c r="S344" s="354"/>
      <c r="T344" s="354"/>
      <c r="U344" s="354"/>
      <c r="V344" s="355">
        <f t="shared" si="164"/>
        <v>0</v>
      </c>
      <c r="W344" s="354"/>
      <c r="X344" s="355">
        <f t="shared" si="165"/>
        <v>0</v>
      </c>
      <c r="Y344" s="19" t="str">
        <f t="shared" si="166"/>
        <v>AJUSTE</v>
      </c>
      <c r="Z344" s="404" t="str">
        <f t="shared" si="167"/>
        <v xml:space="preserve"> </v>
      </c>
      <c r="AA344" s="478">
        <v>1200000</v>
      </c>
      <c r="AB344" s="20">
        <v>0</v>
      </c>
      <c r="AC344" s="20">
        <f t="shared" si="168"/>
        <v>1200000</v>
      </c>
      <c r="AD344" s="20">
        <f>IF(G344=3,AC344*BASE!$I$62,IF(G344=1,AC344*(BASE!$I$61),IF(G344=3,AC344*(BASE!$I$63*2),IF(G344=2,AC344*BASE!$I$63,IF(G344=4,AC344*BASE!$I$63,0)))))</f>
        <v>13640000</v>
      </c>
      <c r="AE344" s="411">
        <f>IF(I344&lt;10,0,IF(AC344&lt;=BASE!$C$3*2,BASE!$C$2,0)*(AD344/AC344))</f>
        <v>1002665.0333333333</v>
      </c>
      <c r="AF344" s="13">
        <v>0</v>
      </c>
      <c r="AG344" s="14">
        <f t="shared" si="159"/>
        <v>757777.77777777787</v>
      </c>
      <c r="AH344" s="14">
        <f t="shared" si="169"/>
        <v>1283370</v>
      </c>
      <c r="AI344" s="14">
        <f t="shared" si="170"/>
        <v>1283370.2342592592</v>
      </c>
      <c r="AJ344" s="14">
        <f t="shared" si="160"/>
        <v>154004.4281111111</v>
      </c>
      <c r="AK344" s="14">
        <f>IF(I344=0,0,IF(G344=5,0,(AD344+AG344+AF344)*BASE!$C$5))</f>
        <v>1223811.1111111112</v>
      </c>
      <c r="AL344" s="14">
        <f>IF(I344=0,0,IF(G344=5,0,(AD344+AG344+AF344)*BASE!$C$7))</f>
        <v>1727733.3333333333</v>
      </c>
      <c r="AM344" s="14">
        <f>IF(I344=0,0,IF(G344=5,0,(AD344+AF344)*BASE!$C$9))</f>
        <v>71200.800000000003</v>
      </c>
      <c r="AN344" s="412">
        <f>IF(I344=0,0,IF(G344=5,0,(AD344+AF344+AG344)*BASE!$C$10))</f>
        <v>1295800</v>
      </c>
      <c r="AO344" s="837">
        <f t="shared" si="171"/>
        <v>22439732.717925925</v>
      </c>
      <c r="AP344" s="677">
        <f t="shared" si="110"/>
        <v>1.6451416948626045</v>
      </c>
      <c r="AQ344" s="1148"/>
      <c r="AR344" s="1149"/>
    </row>
    <row r="345" spans="1:87" ht="13.5" customHeight="1" outlineLevel="1" x14ac:dyDescent="0.2">
      <c r="A345" s="368" t="s">
        <v>624</v>
      </c>
      <c r="B345" s="418" t="s">
        <v>1230</v>
      </c>
      <c r="C345" s="427"/>
      <c r="D345" s="431">
        <f>IF(E345="","",VLOOKUP(E345,BASE!$F$20:$H$25,2,FALSE))</f>
        <v>1</v>
      </c>
      <c r="E345" s="399" t="s">
        <v>168</v>
      </c>
      <c r="F345" s="587" t="s">
        <v>258</v>
      </c>
      <c r="G345" s="437">
        <f>IF(F345="","",VLOOKUP(F345,BASE!$B$15:$C$18,2,FALSE))</f>
        <v>2</v>
      </c>
      <c r="H345" s="520">
        <v>48</v>
      </c>
      <c r="I345" s="424">
        <f t="shared" ref="I345" si="172">+H345</f>
        <v>48</v>
      </c>
      <c r="J345" s="354"/>
      <c r="K345" s="354"/>
      <c r="L345" s="354"/>
      <c r="M345" s="354"/>
      <c r="N345" s="354"/>
      <c r="O345" s="355">
        <f t="shared" si="152"/>
        <v>0</v>
      </c>
      <c r="P345" s="354"/>
      <c r="Q345" s="354"/>
      <c r="R345" s="355">
        <f t="shared" si="153"/>
        <v>0</v>
      </c>
      <c r="S345" s="354"/>
      <c r="T345" s="354"/>
      <c r="U345" s="354"/>
      <c r="V345" s="355">
        <f t="shared" si="154"/>
        <v>0</v>
      </c>
      <c r="W345" s="354"/>
      <c r="X345" s="355">
        <f t="shared" si="155"/>
        <v>0</v>
      </c>
      <c r="Y345" s="19" t="str">
        <f t="shared" si="156"/>
        <v>AJUSTE</v>
      </c>
      <c r="Z345" s="407"/>
      <c r="AA345" s="478">
        <v>1200000</v>
      </c>
      <c r="AB345" s="20">
        <v>0</v>
      </c>
      <c r="AC345" s="20">
        <f t="shared" si="158"/>
        <v>1200000</v>
      </c>
      <c r="AD345" s="20">
        <f>IF(G345=3,AC345*BASE!$I$62,IF(G345=1,AC345*(BASE!$I$61),IF(G345=3,AC345*(BASE!$I$63*2),IF(G345=2,AC345*BASE!$I$63,IF(G345=4,AC345*BASE!$I$63,0)))))</f>
        <v>13640000</v>
      </c>
      <c r="AE345" s="411">
        <f>IF(I345&lt;10,0,IF(AC345&lt;=BASE!$C$3*2,BASE!$C$2,0)*(AD345/AC345))</f>
        <v>1002665.0333333333</v>
      </c>
      <c r="AF345" s="13">
        <v>0</v>
      </c>
      <c r="AG345" s="14">
        <f t="shared" si="159"/>
        <v>757777.77777777787</v>
      </c>
      <c r="AH345" s="14">
        <f t="shared" si="169"/>
        <v>1283370</v>
      </c>
      <c r="AI345" s="14">
        <f t="shared" si="170"/>
        <v>1283370.2342592592</v>
      </c>
      <c r="AJ345" s="14">
        <f t="shared" si="160"/>
        <v>154004.4281111111</v>
      </c>
      <c r="AK345" s="14">
        <f>IF(I345=0,0,IF(G345=5,0,(AD345+AG345+AF345)*BASE!$C$5))</f>
        <v>1223811.1111111112</v>
      </c>
      <c r="AL345" s="14">
        <f>IF(I345=0,0,IF(G345=5,0,(AD345+AG345+AF345)*BASE!$C$7))</f>
        <v>1727733.3333333333</v>
      </c>
      <c r="AM345" s="14">
        <f>IF(I345=0,0,IF(G345=5,0,(AD345+AF345)*BASE!$C$9))</f>
        <v>71200.800000000003</v>
      </c>
      <c r="AN345" s="412">
        <f>IF(I345=0,0,IF(G345=5,0,(AD345+AF345+AG345)*BASE!$C$10))</f>
        <v>1295800</v>
      </c>
      <c r="AO345" s="837">
        <f t="shared" si="171"/>
        <v>22439732.717925925</v>
      </c>
      <c r="AP345" s="677">
        <f t="shared" si="110"/>
        <v>1.6451416948626045</v>
      </c>
      <c r="AQ345" s="1148"/>
      <c r="AR345" s="1149"/>
      <c r="CG345" s="179"/>
      <c r="CH345" s="179"/>
      <c r="CI345" s="179"/>
    </row>
    <row r="346" spans="1:87" ht="13.5" customHeight="1" outlineLevel="1" x14ac:dyDescent="0.2">
      <c r="A346" s="368" t="s">
        <v>625</v>
      </c>
      <c r="B346" s="418"/>
      <c r="C346" s="427"/>
      <c r="D346" s="431" t="str">
        <f>IF(E346="","",VLOOKUP(E346,BASE!$F$20:$H$25,2,FALSE))</f>
        <v/>
      </c>
      <c r="E346" s="399"/>
      <c r="F346" s="587"/>
      <c r="G346" s="437" t="str">
        <f>IF(F346="","",VLOOKUP(F346,BASE!$B$15:$C$18,2,FALSE))</f>
        <v/>
      </c>
      <c r="H346" s="520">
        <f>I346</f>
        <v>0</v>
      </c>
      <c r="I346" s="423">
        <v>0</v>
      </c>
      <c r="J346" s="354"/>
      <c r="K346" s="354"/>
      <c r="L346" s="354"/>
      <c r="M346" s="354"/>
      <c r="N346" s="354"/>
      <c r="O346" s="355">
        <f t="shared" si="152"/>
        <v>0</v>
      </c>
      <c r="P346" s="354"/>
      <c r="Q346" s="354"/>
      <c r="R346" s="355">
        <f t="shared" si="153"/>
        <v>0</v>
      </c>
      <c r="S346" s="354"/>
      <c r="T346" s="354"/>
      <c r="U346" s="354"/>
      <c r="V346" s="355">
        <f t="shared" si="154"/>
        <v>0</v>
      </c>
      <c r="W346" s="354"/>
      <c r="X346" s="355">
        <f t="shared" si="155"/>
        <v>0</v>
      </c>
      <c r="Y346" s="19" t="str">
        <f t="shared" si="156"/>
        <v xml:space="preserve">OK </v>
      </c>
      <c r="Z346" s="404" t="str">
        <f>IF(H346-I346=0," ",IF(H346-I346&gt;0,"JUSTIFICAR","AJUSTE"))</f>
        <v xml:space="preserve"> </v>
      </c>
      <c r="AA346" s="478">
        <f>ROUND((IF(D346=1,(BASE!$G$51*I346),IF(D346=2,(BASE!$G$52*I346),IF(D346=3,(BASE!$G$53*I346),IF(D346=4,(BASE!$G$54*I346),IF(D346=5,(BASE!$G$55*I346),IF(D346=6,(BASE!$G$56*I346),0)))))))/1000,0)*1000</f>
        <v>0</v>
      </c>
      <c r="AB346" s="20">
        <v>0</v>
      </c>
      <c r="AC346" s="20">
        <f t="shared" si="158"/>
        <v>0</v>
      </c>
      <c r="AD346" s="20">
        <f>IF(G346=3,AC346*BASE!$I$62,IF(G346=1,AC346*(BASE!$I$61),IF(G346=3,AC346*(BASE!$I$63*2),IF(G346=2,AC346*BASE!$I$63,IF(G346=4,AC346*BASE!$I$63,0)))))</f>
        <v>0</v>
      </c>
      <c r="AE346" s="411">
        <f>IF(I346&lt;10,0,IF(AC346&lt;=BASE!$C$3*2,BASE!$C$2,0)*(AD346/AC346))</f>
        <v>0</v>
      </c>
      <c r="AF346" s="13">
        <v>0</v>
      </c>
      <c r="AG346" s="14">
        <f t="shared" si="159"/>
        <v>0</v>
      </c>
      <c r="AH346" s="14">
        <f t="shared" si="169"/>
        <v>0</v>
      </c>
      <c r="AI346" s="14">
        <f t="shared" si="170"/>
        <v>0</v>
      </c>
      <c r="AJ346" s="14">
        <f t="shared" si="160"/>
        <v>0</v>
      </c>
      <c r="AK346" s="14">
        <f>IF(I346=0,0,IF(G346=5,0,(AD346+AG346+AF346)*BASE!$C$5))</f>
        <v>0</v>
      </c>
      <c r="AL346" s="14">
        <f>IF(I346=0,0,IF(G346=5,0,(AD346+AG346+AF346)*BASE!$C$7))</f>
        <v>0</v>
      </c>
      <c r="AM346" s="14">
        <f>IF(I346=0,0,IF(G346=5,0,(AD346+AF346)*BASE!$C$9))</f>
        <v>0</v>
      </c>
      <c r="AN346" s="412">
        <f>IF(I346=0,0,IF(G346=5,0,(AD346+AF346+AG346)*BASE!$C$10))</f>
        <v>0</v>
      </c>
      <c r="AO346" s="837">
        <f t="shared" si="171"/>
        <v>0</v>
      </c>
      <c r="AP346" s="677" t="str">
        <f t="shared" si="110"/>
        <v>Sin datos</v>
      </c>
      <c r="AQ346" s="1148"/>
      <c r="AR346" s="1149"/>
      <c r="CG346" s="179">
        <v>0</v>
      </c>
      <c r="CH346" s="181">
        <v>1</v>
      </c>
      <c r="CI346" s="182" t="s">
        <v>168</v>
      </c>
    </row>
    <row r="347" spans="1:87" ht="13.5" customHeight="1" outlineLevel="1" x14ac:dyDescent="0.2">
      <c r="A347" s="368" t="s">
        <v>626</v>
      </c>
      <c r="B347" s="418"/>
      <c r="C347" s="427"/>
      <c r="D347" s="431" t="str">
        <f>IF(E347="","",VLOOKUP(E347,BASE!$F$20:$H$25,2,FALSE))</f>
        <v/>
      </c>
      <c r="E347" s="399"/>
      <c r="F347" s="587"/>
      <c r="G347" s="437" t="str">
        <f>IF(F347="","",VLOOKUP(F347,BASE!$B$15:$C$18,2,FALSE))</f>
        <v/>
      </c>
      <c r="H347" s="520">
        <f>I347</f>
        <v>0</v>
      </c>
      <c r="I347" s="423">
        <v>0</v>
      </c>
      <c r="J347" s="354"/>
      <c r="K347" s="354"/>
      <c r="L347" s="354"/>
      <c r="M347" s="354"/>
      <c r="N347" s="354"/>
      <c r="O347" s="355">
        <f t="shared" si="152"/>
        <v>0</v>
      </c>
      <c r="P347" s="354"/>
      <c r="Q347" s="354"/>
      <c r="R347" s="355">
        <f t="shared" si="153"/>
        <v>0</v>
      </c>
      <c r="S347" s="354"/>
      <c r="T347" s="354"/>
      <c r="U347" s="354"/>
      <c r="V347" s="355">
        <f t="shared" si="154"/>
        <v>0</v>
      </c>
      <c r="W347" s="354"/>
      <c r="X347" s="355">
        <f t="shared" si="155"/>
        <v>0</v>
      </c>
      <c r="Y347" s="19" t="str">
        <f t="shared" si="156"/>
        <v xml:space="preserve">OK </v>
      </c>
      <c r="Z347" s="404" t="str">
        <f>IF(H347-I347=0," ",IF(H347-I347&gt;0,"JUSTIFICAR","AJUSTE"))</f>
        <v xml:space="preserve"> </v>
      </c>
      <c r="AA347" s="478">
        <f>ROUND((IF(D347=1,(BASE!$G$51*I347),IF(D347=2,(BASE!$G$52*I347),IF(D347=3,(BASE!$G$53*I347),IF(D347=4,(BASE!$G$54*I347),IF(D347=5,(BASE!$G$55*I347),IF(D347=6,(BASE!$G$56*I347),0)))))))/1000,0)*1000</f>
        <v>0</v>
      </c>
      <c r="AB347" s="20">
        <v>0</v>
      </c>
      <c r="AC347" s="20">
        <f t="shared" si="158"/>
        <v>0</v>
      </c>
      <c r="AD347" s="20">
        <f>IF(G347=3,AC347*BASE!$I$62,IF(G347=1,AC347*(BASE!$I$61),IF(G347=3,AC347*(BASE!$I$63*2),IF(G347=2,AC347*BASE!$I$63,IF(G347=4,AC347*BASE!$I$63,0)))))</f>
        <v>0</v>
      </c>
      <c r="AE347" s="411">
        <f>IF(I347&lt;10,0,IF(AC347&lt;=BASE!$C$3*2,BASE!$C$2,0)*(AD347/AC347))</f>
        <v>0</v>
      </c>
      <c r="AF347" s="13">
        <v>0</v>
      </c>
      <c r="AG347" s="14">
        <f t="shared" si="159"/>
        <v>0</v>
      </c>
      <c r="AH347" s="14">
        <f t="shared" si="169"/>
        <v>0</v>
      </c>
      <c r="AI347" s="14">
        <f t="shared" si="170"/>
        <v>0</v>
      </c>
      <c r="AJ347" s="14">
        <f t="shared" si="160"/>
        <v>0</v>
      </c>
      <c r="AK347" s="14">
        <f>IF(I347=0,0,IF(G347=5,0,(AD347+AG347+AF347)*BASE!$C$5))</f>
        <v>0</v>
      </c>
      <c r="AL347" s="14">
        <f>IF(I347=0,0,IF(G347=5,0,(AD347+AG347+AF347)*BASE!$C$7))</f>
        <v>0</v>
      </c>
      <c r="AM347" s="14">
        <f>IF(I347=0,0,IF(G347=5,0,(AD347+AF347)*BASE!$C$9))</f>
        <v>0</v>
      </c>
      <c r="AN347" s="412">
        <f>IF(I347=0,0,IF(G347=5,0,(AD347+AF347+AG347)*BASE!$C$10))</f>
        <v>0</v>
      </c>
      <c r="AO347" s="837">
        <f t="shared" si="171"/>
        <v>0</v>
      </c>
      <c r="AP347" s="677" t="str">
        <f t="shared" si="110"/>
        <v>Sin datos</v>
      </c>
      <c r="AQ347" s="1148"/>
      <c r="AR347" s="1149"/>
      <c r="CG347" s="179">
        <v>39</v>
      </c>
      <c r="CH347" s="181">
        <v>3</v>
      </c>
      <c r="CI347" s="183" t="s">
        <v>170</v>
      </c>
    </row>
    <row r="348" spans="1:87" ht="13.5" customHeight="1" outlineLevel="1" x14ac:dyDescent="0.2">
      <c r="A348" s="368" t="s">
        <v>627</v>
      </c>
      <c r="B348" s="418"/>
      <c r="C348" s="427"/>
      <c r="D348" s="431" t="str">
        <f>IF(E348="","",VLOOKUP(E348,BASE!$F$20:$H$25,2,FALSE))</f>
        <v/>
      </c>
      <c r="E348" s="399"/>
      <c r="F348" s="587"/>
      <c r="G348" s="437" t="str">
        <f>IF(F348="","",VLOOKUP(F348,BASE!$B$15:$C$18,2,FALSE))</f>
        <v/>
      </c>
      <c r="H348" s="520">
        <f>I348</f>
        <v>0</v>
      </c>
      <c r="I348" s="423">
        <v>0</v>
      </c>
      <c r="J348" s="354"/>
      <c r="K348" s="354"/>
      <c r="L348" s="354"/>
      <c r="M348" s="354"/>
      <c r="N348" s="354"/>
      <c r="O348" s="355">
        <f t="shared" si="152"/>
        <v>0</v>
      </c>
      <c r="P348" s="354"/>
      <c r="Q348" s="354"/>
      <c r="R348" s="355">
        <f t="shared" si="153"/>
        <v>0</v>
      </c>
      <c r="S348" s="354"/>
      <c r="T348" s="354"/>
      <c r="U348" s="354"/>
      <c r="V348" s="355">
        <f t="shared" si="154"/>
        <v>0</v>
      </c>
      <c r="W348" s="354"/>
      <c r="X348" s="355">
        <f t="shared" si="155"/>
        <v>0</v>
      </c>
      <c r="Y348" s="19" t="str">
        <f t="shared" si="156"/>
        <v xml:space="preserve">OK </v>
      </c>
      <c r="Z348" s="404" t="str">
        <f>IF(H348-I348=0," ",IF(H348-I348&gt;0,"JUSTIFICAR","AJUSTE"))</f>
        <v xml:space="preserve"> </v>
      </c>
      <c r="AA348" s="478">
        <f>ROUND((IF(D348=1,(BASE!$G$51*I348),IF(D348=2,(BASE!$G$52*I348),IF(D348=3,(BASE!$G$53*I348),IF(D348=4,(BASE!$G$54*I348),IF(D348=5,(BASE!$G$55*I348),IF(D348=6,(BASE!$G$56*I348),0)))))))/1000,0)*1000</f>
        <v>0</v>
      </c>
      <c r="AB348" s="20">
        <v>0</v>
      </c>
      <c r="AC348" s="20">
        <f t="shared" si="158"/>
        <v>0</v>
      </c>
      <c r="AD348" s="20">
        <f>IF(G348=3,AC348*BASE!$I$62,IF(G348=1,AC348*(BASE!$I$61),IF(G348=3,AC348*(BASE!$I$63*2),IF(G348=2,AC348*BASE!$I$63,IF(G348=4,AC348*BASE!$I$63,0)))))</f>
        <v>0</v>
      </c>
      <c r="AE348" s="411">
        <f>IF(I348&lt;10,0,IF(AC348&lt;=BASE!$C$3*2,BASE!$C$2,0)*(AD348/AC348))</f>
        <v>0</v>
      </c>
      <c r="AF348" s="13">
        <v>0</v>
      </c>
      <c r="AG348" s="14">
        <f t="shared" si="159"/>
        <v>0</v>
      </c>
      <c r="AH348" s="14">
        <f t="shared" si="169"/>
        <v>0</v>
      </c>
      <c r="AI348" s="14">
        <f t="shared" si="170"/>
        <v>0</v>
      </c>
      <c r="AJ348" s="14">
        <f t="shared" si="160"/>
        <v>0</v>
      </c>
      <c r="AK348" s="14">
        <f>IF(I348=0,0,IF(G348=5,0,(AD348+AG348+AF348)*BASE!$C$5))</f>
        <v>0</v>
      </c>
      <c r="AL348" s="14">
        <f>IF(I348=0,0,IF(G348=5,0,(AD348+AG348+AF348)*BASE!$C$7))</f>
        <v>0</v>
      </c>
      <c r="AM348" s="14">
        <f>IF(I348=0,0,IF(G348=5,0,(AD348+AF348)*BASE!$C$9))</f>
        <v>0</v>
      </c>
      <c r="AN348" s="412">
        <f>IF(I348=0,0,IF(G348=5,0,(AD348+AF348+AG348)*BASE!$C$10))</f>
        <v>0</v>
      </c>
      <c r="AO348" s="837">
        <f t="shared" si="171"/>
        <v>0</v>
      </c>
      <c r="AP348" s="677" t="str">
        <f t="shared" si="110"/>
        <v>Sin datos</v>
      </c>
      <c r="AQ348" s="1148"/>
      <c r="AR348" s="1149"/>
      <c r="CG348" s="179">
        <v>40</v>
      </c>
      <c r="CH348" s="181">
        <v>4</v>
      </c>
      <c r="CI348" s="183" t="s">
        <v>171</v>
      </c>
    </row>
    <row r="349" spans="1:87" ht="13.5" customHeight="1" outlineLevel="1" thickBot="1" x14ac:dyDescent="0.25">
      <c r="A349" s="368" t="s">
        <v>628</v>
      </c>
      <c r="B349" s="419"/>
      <c r="C349" s="427"/>
      <c r="D349" s="432" t="str">
        <f>IF(E349="","",VLOOKUP(E349,BASE!$F$20:$H$25,2,FALSE))</f>
        <v/>
      </c>
      <c r="E349" s="399"/>
      <c r="F349" s="588"/>
      <c r="G349" s="437" t="str">
        <f>IF(F349="","",VLOOKUP(F349,BASE!$B$15:$C$18,2,FALSE))</f>
        <v/>
      </c>
      <c r="H349" s="526">
        <f>I349</f>
        <v>0</v>
      </c>
      <c r="I349" s="420">
        <v>0</v>
      </c>
      <c r="J349" s="354"/>
      <c r="K349" s="354"/>
      <c r="L349" s="354"/>
      <c r="M349" s="354"/>
      <c r="N349" s="354"/>
      <c r="O349" s="355">
        <f t="shared" si="152"/>
        <v>0</v>
      </c>
      <c r="P349" s="354"/>
      <c r="Q349" s="354"/>
      <c r="R349" s="355">
        <f t="shared" si="153"/>
        <v>0</v>
      </c>
      <c r="S349" s="354"/>
      <c r="T349" s="354"/>
      <c r="U349" s="354"/>
      <c r="V349" s="355">
        <f t="shared" si="154"/>
        <v>0</v>
      </c>
      <c r="W349" s="354"/>
      <c r="X349" s="355">
        <f t="shared" si="155"/>
        <v>0</v>
      </c>
      <c r="Y349" s="21" t="str">
        <f t="shared" si="156"/>
        <v xml:space="preserve">OK </v>
      </c>
      <c r="Z349" s="405" t="str">
        <f>IF(H349-I349=0," ",IF(H349-I349&gt;0,"JUSTIFICAR","AJUSTE"))</f>
        <v xml:space="preserve"> </v>
      </c>
      <c r="AA349" s="479">
        <f>ROUND((IF(D349=1,(BASE!$G$51*I349),IF(D349=2,(BASE!$G$52*I349),IF(D349=3,(BASE!$G$53*I349),IF(D349=4,(BASE!$G$54*I349),IF(D349=5,(BASE!$G$55*I349),IF(D349=6,(BASE!$G$56*I349),0)))))))/1000,0)*1000</f>
        <v>0</v>
      </c>
      <c r="AB349" s="22">
        <v>0</v>
      </c>
      <c r="AC349" s="22">
        <f t="shared" si="158"/>
        <v>0</v>
      </c>
      <c r="AD349" s="22">
        <f>IF(G349=3,AC349*BASE!$I$62,IF(G349=1,AC349*(BASE!$I$61),IF(G349=3,AC349*(BASE!$I$63*2),IF(G349=2,AC349*BASE!$I$63,IF(G349=4,AC349*BASE!$I$63,0)))))</f>
        <v>0</v>
      </c>
      <c r="AE349" s="413">
        <f>IF(I349&lt;10,0,IF(AC349&lt;=BASE!$C$3*2,BASE!$C$2,0)*(AD349/AC349))</f>
        <v>0</v>
      </c>
      <c r="AF349" s="15">
        <v>0</v>
      </c>
      <c r="AG349" s="394">
        <f t="shared" si="159"/>
        <v>0</v>
      </c>
      <c r="AH349" s="394">
        <f t="shared" si="169"/>
        <v>0</v>
      </c>
      <c r="AI349" s="394">
        <f t="shared" si="170"/>
        <v>0</v>
      </c>
      <c r="AJ349" s="394">
        <f t="shared" si="160"/>
        <v>0</v>
      </c>
      <c r="AK349" s="394">
        <f>IF(I349=0,0,IF(G349=5,0,(AD349+AG349+AF349)*BASE!$C$5))</f>
        <v>0</v>
      </c>
      <c r="AL349" s="394">
        <f>IF(I349=0,0,IF(G349=5,0,(AD349+AG349+AF349)*BASE!$C$7))</f>
        <v>0</v>
      </c>
      <c r="AM349" s="394">
        <f>IF(I349=0,0,IF(G349=5,0,(AD349+AF349)*BASE!$C$9))</f>
        <v>0</v>
      </c>
      <c r="AN349" s="414">
        <f>IF(I349=0,0,IF(G349=5,0,(AD349+AF349+AG349)*BASE!$C$10))</f>
        <v>0</v>
      </c>
      <c r="AO349" s="839">
        <f t="shared" si="171"/>
        <v>0</v>
      </c>
      <c r="AP349" s="677" t="str">
        <f t="shared" si="110"/>
        <v>Sin datos</v>
      </c>
      <c r="AQ349" s="1148"/>
      <c r="AR349" s="1149"/>
      <c r="CG349" s="179">
        <v>41</v>
      </c>
      <c r="CH349" s="181">
        <v>5</v>
      </c>
      <c r="CI349" s="183" t="s">
        <v>172</v>
      </c>
    </row>
    <row r="350" spans="1:87" ht="13.5" customHeight="1" thickBot="1" x14ac:dyDescent="0.25">
      <c r="A350" s="191"/>
      <c r="B350" s="1165" t="s">
        <v>1233</v>
      </c>
      <c r="C350" s="1165"/>
      <c r="D350" s="1165"/>
      <c r="E350" s="1165"/>
      <c r="F350" s="1165"/>
      <c r="G350" s="1165"/>
      <c r="H350" s="516">
        <f>SUM(H336:H349)</f>
        <v>424</v>
      </c>
      <c r="I350" s="516">
        <f t="shared" ref="I350:W350" si="173">SUM(I336:I349)</f>
        <v>424</v>
      </c>
      <c r="J350" s="516">
        <f t="shared" si="173"/>
        <v>0</v>
      </c>
      <c r="K350" s="516">
        <f t="shared" si="173"/>
        <v>0</v>
      </c>
      <c r="L350" s="516">
        <f t="shared" si="173"/>
        <v>0</v>
      </c>
      <c r="M350" s="516">
        <f t="shared" si="173"/>
        <v>0</v>
      </c>
      <c r="N350" s="516">
        <f t="shared" si="173"/>
        <v>0</v>
      </c>
      <c r="O350" s="516">
        <f t="shared" si="173"/>
        <v>0</v>
      </c>
      <c r="P350" s="516">
        <f t="shared" si="173"/>
        <v>0</v>
      </c>
      <c r="Q350" s="516">
        <f t="shared" si="173"/>
        <v>0</v>
      </c>
      <c r="R350" s="516">
        <f t="shared" si="173"/>
        <v>0</v>
      </c>
      <c r="S350" s="516">
        <f t="shared" si="173"/>
        <v>0</v>
      </c>
      <c r="T350" s="516">
        <f t="shared" si="173"/>
        <v>0</v>
      </c>
      <c r="U350" s="516">
        <f t="shared" si="173"/>
        <v>0</v>
      </c>
      <c r="V350" s="516">
        <f t="shared" si="173"/>
        <v>0</v>
      </c>
      <c r="W350" s="516">
        <f t="shared" si="173"/>
        <v>0</v>
      </c>
      <c r="X350" s="184">
        <f t="shared" si="155"/>
        <v>0</v>
      </c>
      <c r="Y350" s="184"/>
      <c r="Z350" s="184"/>
      <c r="AA350" s="185"/>
      <c r="AB350" s="185"/>
      <c r="AC350" s="184"/>
      <c r="AD350" s="185">
        <f>SUM(AD336:AD349)</f>
        <v>441492700</v>
      </c>
      <c r="AE350" s="415">
        <f t="shared" ref="AE350:AO350" si="174">SUM(AE336:AE349)</f>
        <v>6015990.2000000002</v>
      </c>
      <c r="AF350" s="185">
        <f t="shared" si="174"/>
        <v>0</v>
      </c>
      <c r="AG350" s="185">
        <f t="shared" si="174"/>
        <v>24527372.222222213</v>
      </c>
      <c r="AH350" s="185">
        <f t="shared" si="174"/>
        <v>39336337</v>
      </c>
      <c r="AI350" s="185">
        <f t="shared" si="174"/>
        <v>39336338.535185196</v>
      </c>
      <c r="AJ350" s="185">
        <f t="shared" si="174"/>
        <v>4720360.6242222218</v>
      </c>
      <c r="AK350" s="185">
        <f t="shared" si="174"/>
        <v>39611706.138888896</v>
      </c>
      <c r="AL350" s="185">
        <f t="shared" si="174"/>
        <v>45738860.444444455</v>
      </c>
      <c r="AM350" s="185">
        <f t="shared" si="174"/>
        <v>2304591.8939999999</v>
      </c>
      <c r="AN350" s="416">
        <f t="shared" si="174"/>
        <v>41941806.499999993</v>
      </c>
      <c r="AO350" s="841">
        <f t="shared" si="174"/>
        <v>685026063.55896282</v>
      </c>
      <c r="AP350" s="679">
        <f t="shared" si="110"/>
        <v>1.5516135681495138</v>
      </c>
      <c r="AQ350" s="441"/>
      <c r="AR350" s="404"/>
      <c r="CG350" s="179">
        <v>42</v>
      </c>
      <c r="CH350" s="181">
        <v>6</v>
      </c>
      <c r="CI350" s="183" t="s">
        <v>173</v>
      </c>
    </row>
    <row r="351" spans="1:87" ht="22.5" x14ac:dyDescent="0.2">
      <c r="B351" s="548" t="s">
        <v>199</v>
      </c>
      <c r="E351" s="548" t="s">
        <v>154</v>
      </c>
      <c r="F351" s="548" t="s">
        <v>629</v>
      </c>
      <c r="CG351" s="179">
        <v>43</v>
      </c>
      <c r="CH351" s="181">
        <v>7</v>
      </c>
      <c r="CI351" s="183" t="s">
        <v>174</v>
      </c>
    </row>
    <row r="352" spans="1:87" x14ac:dyDescent="0.2">
      <c r="B352" s="549">
        <f>Hoja2!E3</f>
        <v>0</v>
      </c>
      <c r="C352" s="377"/>
      <c r="E352" s="551" t="s">
        <v>537</v>
      </c>
      <c r="F352" s="552">
        <f>Hoja2!E8</f>
        <v>3.9855072463768113E-2</v>
      </c>
      <c r="CG352" s="179"/>
      <c r="CH352" s="181"/>
      <c r="CI352" s="183"/>
    </row>
    <row r="353" spans="2:87" x14ac:dyDescent="0.2">
      <c r="B353" s="549">
        <f>Hoja2!E4</f>
        <v>0</v>
      </c>
      <c r="C353" s="373"/>
      <c r="E353" s="551" t="s">
        <v>538</v>
      </c>
      <c r="F353" s="552">
        <f>Hoja2!E9</f>
        <v>0.28985507246376813</v>
      </c>
      <c r="H353" s="373"/>
      <c r="CG353" s="179"/>
      <c r="CH353" s="181"/>
      <c r="CI353" s="183"/>
    </row>
    <row r="354" spans="2:87" ht="13.5" thickBot="1" x14ac:dyDescent="0.25">
      <c r="B354" s="371"/>
      <c r="C354" s="373"/>
      <c r="E354" s="551" t="s">
        <v>539</v>
      </c>
      <c r="F354" s="552">
        <f>Hoja2!E10</f>
        <v>0.28985507246376813</v>
      </c>
      <c r="H354" s="373"/>
      <c r="CG354" s="179"/>
      <c r="CH354" s="181"/>
      <c r="CI354" s="183"/>
    </row>
    <row r="355" spans="2:87" ht="12.75" customHeight="1" x14ac:dyDescent="0.2">
      <c r="B355" s="550" t="s">
        <v>199</v>
      </c>
      <c r="C355" s="373"/>
      <c r="E355" s="551" t="s">
        <v>540</v>
      </c>
      <c r="F355" s="552">
        <f>Hoja2!E11</f>
        <v>0.19927536231884058</v>
      </c>
      <c r="H355" s="373"/>
      <c r="J355" s="1153" t="s">
        <v>499</v>
      </c>
      <c r="K355" s="1154"/>
      <c r="L355" s="1154"/>
      <c r="M355" s="1154"/>
      <c r="N355" s="1154"/>
      <c r="O355" s="1154"/>
      <c r="P355" s="1154"/>
      <c r="Q355" s="1155"/>
      <c r="CG355" s="179"/>
      <c r="CH355" s="181"/>
      <c r="CI355" s="183"/>
    </row>
    <row r="356" spans="2:87" ht="13.5" thickBot="1" x14ac:dyDescent="0.25">
      <c r="B356" s="549">
        <f>Hoja2!E24</f>
        <v>3.2608695652173912E-2</v>
      </c>
      <c r="C356" s="373"/>
      <c r="E356" s="551" t="s">
        <v>541</v>
      </c>
      <c r="F356" s="552">
        <f>Hoja2!E12</f>
        <v>0.15942028985507245</v>
      </c>
      <c r="H356" s="373"/>
      <c r="J356" s="1156"/>
      <c r="K356" s="1157"/>
      <c r="L356" s="1157"/>
      <c r="M356" s="1157"/>
      <c r="N356" s="1157"/>
      <c r="O356" s="1157"/>
      <c r="P356" s="1157"/>
      <c r="Q356" s="1158"/>
      <c r="CG356" s="179"/>
      <c r="CH356" s="181"/>
      <c r="CI356" s="183"/>
    </row>
    <row r="357" spans="2:87" x14ac:dyDescent="0.2">
      <c r="B357" s="549">
        <f>Hoja2!E25</f>
        <v>0.14855072463768115</v>
      </c>
      <c r="C357" s="373"/>
      <c r="E357" s="553" t="s">
        <v>168</v>
      </c>
      <c r="F357" s="552">
        <f>Hoja2!E13</f>
        <v>2.1739130434782608E-2</v>
      </c>
      <c r="H357" s="373"/>
    </row>
    <row r="358" spans="2:87" x14ac:dyDescent="0.2">
      <c r="B358" s="549">
        <f>Hoja2!E26</f>
        <v>0.55434782608695654</v>
      </c>
      <c r="C358" s="373"/>
      <c r="E358" s="376"/>
      <c r="F358" s="374"/>
      <c r="H358" s="375"/>
    </row>
    <row r="359" spans="2:87" x14ac:dyDescent="0.2">
      <c r="B359" s="549">
        <f>Hoja2!E27</f>
        <v>0.26449275362318841</v>
      </c>
      <c r="C359" s="375"/>
    </row>
    <row r="360" spans="2:87" ht="15" customHeight="1" x14ac:dyDescent="0.2">
      <c r="B360" s="374"/>
      <c r="C360" s="375"/>
    </row>
    <row r="361" spans="2:87" ht="13.5" customHeight="1" x14ac:dyDescent="0.2">
      <c r="B361" s="550" t="s">
        <v>199</v>
      </c>
      <c r="C361" s="375"/>
      <c r="E361" s="371"/>
    </row>
    <row r="362" spans="2:87" ht="13.5" customHeight="1" x14ac:dyDescent="0.2">
      <c r="B362" s="549">
        <f>+Hoja2!E15</f>
        <v>0</v>
      </c>
      <c r="C362" s="375"/>
      <c r="E362" s="371"/>
    </row>
    <row r="363" spans="2:87" ht="15" customHeight="1" x14ac:dyDescent="0.2">
      <c r="B363" s="549">
        <f>Hoja2!E16</f>
        <v>0</v>
      </c>
      <c r="C363" s="373"/>
      <c r="E363" s="378"/>
    </row>
    <row r="364" spans="2:87" x14ac:dyDescent="0.2">
      <c r="B364" s="549">
        <f>Hoja2!E17</f>
        <v>0</v>
      </c>
      <c r="C364" s="373"/>
      <c r="E364" s="378"/>
    </row>
    <row r="365" spans="2:87" x14ac:dyDescent="0.2">
      <c r="B365" s="549">
        <f>Hoja2!E18</f>
        <v>0.10526315789473684</v>
      </c>
      <c r="C365" s="373"/>
      <c r="E365" s="378"/>
    </row>
    <row r="366" spans="2:87" x14ac:dyDescent="0.2">
      <c r="B366" s="549">
        <f>Hoja2!E19</f>
        <v>0.15789473684210525</v>
      </c>
      <c r="C366" s="373"/>
      <c r="E366" s="378"/>
    </row>
    <row r="367" spans="2:87" x14ac:dyDescent="0.2">
      <c r="B367" s="549">
        <f>Hoja2!E20</f>
        <v>0.52631578947368418</v>
      </c>
      <c r="C367" s="373"/>
      <c r="E367" s="378"/>
    </row>
    <row r="368" spans="2:87" x14ac:dyDescent="0.2">
      <c r="B368" s="549">
        <f>Hoja2!E21</f>
        <v>0.21052631578947367</v>
      </c>
      <c r="C368" s="375"/>
    </row>
    <row r="369" spans="1:87" ht="9" customHeight="1" x14ac:dyDescent="0.2">
      <c r="B369" s="374"/>
      <c r="C369" s="375"/>
    </row>
    <row r="370" spans="1:87" ht="13.5" thickBot="1" x14ac:dyDescent="0.25"/>
    <row r="371" spans="1:87" s="31" customFormat="1" ht="15.75" thickBot="1" x14ac:dyDescent="0.25">
      <c r="A371" s="370"/>
      <c r="B371" s="582" t="s">
        <v>691</v>
      </c>
      <c r="C371" s="4"/>
      <c r="D371" s="4"/>
      <c r="E371" s="4"/>
      <c r="F371" s="4"/>
      <c r="G371" s="4"/>
      <c r="H371" s="12">
        <f t="shared" ref="H371:W371" si="175">+H278+H312+H333+H350</f>
        <v>5942</v>
      </c>
      <c r="I371" s="12">
        <f t="shared" si="175"/>
        <v>5996.01</v>
      </c>
      <c r="J371" s="12">
        <f t="shared" si="175"/>
        <v>1711</v>
      </c>
      <c r="K371" s="12">
        <f t="shared" si="175"/>
        <v>632</v>
      </c>
      <c r="L371" s="12">
        <f t="shared" si="175"/>
        <v>468</v>
      </c>
      <c r="M371" s="12">
        <f t="shared" si="175"/>
        <v>369</v>
      </c>
      <c r="N371" s="12">
        <f t="shared" si="175"/>
        <v>251</v>
      </c>
      <c r="O371" s="12">
        <f t="shared" si="175"/>
        <v>3431</v>
      </c>
      <c r="P371" s="12">
        <f t="shared" si="175"/>
        <v>221</v>
      </c>
      <c r="Q371" s="12">
        <f t="shared" si="175"/>
        <v>554</v>
      </c>
      <c r="R371" s="12">
        <f t="shared" si="175"/>
        <v>740</v>
      </c>
      <c r="S371" s="12">
        <f t="shared" si="175"/>
        <v>562</v>
      </c>
      <c r="T371" s="12">
        <f t="shared" si="175"/>
        <v>49</v>
      </c>
      <c r="U371" s="12">
        <f t="shared" si="175"/>
        <v>12</v>
      </c>
      <c r="V371" s="12">
        <f t="shared" si="175"/>
        <v>618</v>
      </c>
      <c r="W371" s="12">
        <f t="shared" si="175"/>
        <v>705</v>
      </c>
      <c r="X371" s="4">
        <f>+O371+R371+V371+W371</f>
        <v>5494</v>
      </c>
      <c r="Y371" s="4"/>
      <c r="Z371" s="4"/>
      <c r="AA371" s="362"/>
      <c r="AB371" s="362"/>
      <c r="AC371" s="4"/>
      <c r="AD371" s="12">
        <f>+AD278+AD312+AD333+AD350</f>
        <v>9958297766.666666</v>
      </c>
      <c r="AE371" s="12">
        <f t="shared" ref="AE371:AO371" si="176">+AE278+AE312+AE333+AE350</f>
        <v>44699454.066666655</v>
      </c>
      <c r="AF371" s="12">
        <f t="shared" si="176"/>
        <v>0</v>
      </c>
      <c r="AG371" s="12">
        <f t="shared" si="176"/>
        <v>710117727.77777767</v>
      </c>
      <c r="AH371" s="12">
        <f t="shared" si="176"/>
        <v>879426246</v>
      </c>
      <c r="AI371" s="12">
        <f t="shared" si="176"/>
        <v>1779426245.7092593</v>
      </c>
      <c r="AJ371" s="12">
        <f t="shared" si="176"/>
        <v>342998725.06909561</v>
      </c>
      <c r="AK371" s="12">
        <f t="shared" si="176"/>
        <v>994226946.13888884</v>
      </c>
      <c r="AL371" s="12">
        <f t="shared" si="176"/>
        <v>973502860.44444442</v>
      </c>
      <c r="AM371" s="12">
        <f t="shared" si="176"/>
        <v>55402139.574000038</v>
      </c>
      <c r="AN371" s="12">
        <f t="shared" si="176"/>
        <v>940701314.50000024</v>
      </c>
      <c r="AO371" s="12">
        <f t="shared" si="176"/>
        <v>16678799425.946796</v>
      </c>
      <c r="AP371" s="10"/>
      <c r="AQ371" s="10"/>
      <c r="AR371" s="10"/>
      <c r="CG371" s="28"/>
      <c r="CH371" s="28"/>
      <c r="CI371" s="28"/>
    </row>
    <row r="374" spans="1:87" ht="12.75" customHeight="1" x14ac:dyDescent="0.2"/>
    <row r="537" spans="85:87" x14ac:dyDescent="0.2">
      <c r="CG537" s="31"/>
      <c r="CH537" s="31"/>
      <c r="CI537" s="31"/>
    </row>
  </sheetData>
  <protectedRanges>
    <protectedRange sqref="B346:I349 J336:X349 AA346:AB349" name="Rango9"/>
    <protectedRange sqref="B314:W332 AB314:AB332" name="Rango8"/>
    <protectedRange sqref="B280:F311 J280:W311 AB280:AB311" name="Rango7"/>
    <protectedRange sqref="B271:I276" name="Rango6"/>
    <protectedRange sqref="A277:XFD277" name="Rango5"/>
    <protectedRange sqref="AQ22:AR350" name="Rango4"/>
    <protectedRange sqref="AB22:AB276" name="Rango3"/>
    <protectedRange sqref="I22:X276" name="Rango2"/>
    <protectedRange sqref="C22:F276" name="Rango1"/>
  </protectedRanges>
  <mergeCells count="337">
    <mergeCell ref="G18:G20"/>
    <mergeCell ref="B350:G350"/>
    <mergeCell ref="J18:W18"/>
    <mergeCell ref="B19:C19"/>
    <mergeCell ref="H19:H20"/>
    <mergeCell ref="A18:A20"/>
    <mergeCell ref="D18:D20"/>
    <mergeCell ref="I19:I20"/>
    <mergeCell ref="Z19:Z20"/>
    <mergeCell ref="P19:Q19"/>
    <mergeCell ref="J19:M19"/>
    <mergeCell ref="S19:U19"/>
    <mergeCell ref="E18:E20"/>
    <mergeCell ref="F18:F20"/>
    <mergeCell ref="B333:F333"/>
    <mergeCell ref="B312:F312"/>
    <mergeCell ref="B278:F278"/>
    <mergeCell ref="B334:F334"/>
    <mergeCell ref="J355:Q356"/>
    <mergeCell ref="AQ18:AR20"/>
    <mergeCell ref="AQ92:AR92"/>
    <mergeCell ref="AQ93:AR93"/>
    <mergeCell ref="AQ94:AR94"/>
    <mergeCell ref="AQ95:AR95"/>
    <mergeCell ref="AQ96:AR96"/>
    <mergeCell ref="AQ97:AR97"/>
    <mergeCell ref="AQ98:AR98"/>
    <mergeCell ref="AQ99:AR99"/>
    <mergeCell ref="AQ100:AR100"/>
    <mergeCell ref="AQ101:AR101"/>
    <mergeCell ref="AQ102:AR102"/>
    <mergeCell ref="AQ103:AR103"/>
    <mergeCell ref="AQ104:AR104"/>
    <mergeCell ref="AQ105:AR105"/>
    <mergeCell ref="AQ106:AR106"/>
    <mergeCell ref="AQ107:AR107"/>
    <mergeCell ref="AQ108:AR108"/>
    <mergeCell ref="AQ109:AR109"/>
    <mergeCell ref="AQ110:AR110"/>
    <mergeCell ref="AQ111:AR111"/>
    <mergeCell ref="AP18:AP20"/>
    <mergeCell ref="AO18:AO20"/>
    <mergeCell ref="AQ112:AR112"/>
    <mergeCell ref="AQ113:AR113"/>
    <mergeCell ref="AQ114:AR114"/>
    <mergeCell ref="AQ115:AR115"/>
    <mergeCell ref="AQ116:AR116"/>
    <mergeCell ref="AQ117:AR117"/>
    <mergeCell ref="AQ118:AR118"/>
    <mergeCell ref="AQ119:AR119"/>
    <mergeCell ref="AQ120:AR120"/>
    <mergeCell ref="AQ121:AR121"/>
    <mergeCell ref="AQ122:AR122"/>
    <mergeCell ref="AQ123:AR123"/>
    <mergeCell ref="AQ124:AR124"/>
    <mergeCell ref="AQ125:AR125"/>
    <mergeCell ref="AQ126:AR126"/>
    <mergeCell ref="AQ127:AR127"/>
    <mergeCell ref="AQ128:AR128"/>
    <mergeCell ref="AQ129:AR129"/>
    <mergeCell ref="AQ130:AR130"/>
    <mergeCell ref="AQ131:AR131"/>
    <mergeCell ref="AQ132:AR132"/>
    <mergeCell ref="AQ133:AR133"/>
    <mergeCell ref="AQ134:AR134"/>
    <mergeCell ref="AQ135:AR135"/>
    <mergeCell ref="AQ136:AR136"/>
    <mergeCell ref="AQ137:AR137"/>
    <mergeCell ref="AQ138:AR138"/>
    <mergeCell ref="AQ139:AR139"/>
    <mergeCell ref="AQ140:AR140"/>
    <mergeCell ref="AQ141:AR141"/>
    <mergeCell ref="AQ142:AR142"/>
    <mergeCell ref="AQ143:AR143"/>
    <mergeCell ref="AQ144:AR144"/>
    <mergeCell ref="AQ145:AR145"/>
    <mergeCell ref="AQ146:AR146"/>
    <mergeCell ref="AQ147:AR147"/>
    <mergeCell ref="AQ148:AR148"/>
    <mergeCell ref="AQ149:AR149"/>
    <mergeCell ref="AQ150:AR150"/>
    <mergeCell ref="AQ151:AR151"/>
    <mergeCell ref="AQ152:AR152"/>
    <mergeCell ref="AQ153:AR153"/>
    <mergeCell ref="AQ154:AR154"/>
    <mergeCell ref="AQ155:AR155"/>
    <mergeCell ref="AQ156:AR156"/>
    <mergeCell ref="AQ157:AR157"/>
    <mergeCell ref="AQ158:AR158"/>
    <mergeCell ref="AQ159:AR159"/>
    <mergeCell ref="AQ160:AR160"/>
    <mergeCell ref="AQ161:AR161"/>
    <mergeCell ref="AQ162:AR162"/>
    <mergeCell ref="AQ163:AR163"/>
    <mergeCell ref="AQ164:AR164"/>
    <mergeCell ref="AQ165:AR165"/>
    <mergeCell ref="AQ166:AR166"/>
    <mergeCell ref="AQ167:AR167"/>
    <mergeCell ref="AQ168:AR168"/>
    <mergeCell ref="AQ169:AR169"/>
    <mergeCell ref="AQ170:AR170"/>
    <mergeCell ref="AQ171:AR171"/>
    <mergeCell ref="AQ172:AR172"/>
    <mergeCell ref="AQ173:AR173"/>
    <mergeCell ref="AQ174:AR174"/>
    <mergeCell ref="AQ175:AR175"/>
    <mergeCell ref="AQ176:AR176"/>
    <mergeCell ref="AQ177:AR177"/>
    <mergeCell ref="AQ178:AR178"/>
    <mergeCell ref="AQ179:AR179"/>
    <mergeCell ref="AQ180:AR180"/>
    <mergeCell ref="AQ181:AR181"/>
    <mergeCell ref="AQ182:AR182"/>
    <mergeCell ref="AQ183:AR183"/>
    <mergeCell ref="AQ184:AR184"/>
    <mergeCell ref="AQ185:AR185"/>
    <mergeCell ref="AQ186:AR186"/>
    <mergeCell ref="AQ187:AR187"/>
    <mergeCell ref="AQ188:AR188"/>
    <mergeCell ref="AQ189:AR189"/>
    <mergeCell ref="AQ190:AR190"/>
    <mergeCell ref="AQ191:AR191"/>
    <mergeCell ref="AQ192:AR192"/>
    <mergeCell ref="AQ193:AR193"/>
    <mergeCell ref="AQ194:AR194"/>
    <mergeCell ref="AQ195:AR195"/>
    <mergeCell ref="AQ196:AR196"/>
    <mergeCell ref="AQ197:AR197"/>
    <mergeCell ref="AQ198:AR198"/>
    <mergeCell ref="AQ199:AR199"/>
    <mergeCell ref="AQ200:AR200"/>
    <mergeCell ref="AQ201:AR201"/>
    <mergeCell ref="AQ202:AR202"/>
    <mergeCell ref="AQ203:AR203"/>
    <mergeCell ref="AQ204:AR204"/>
    <mergeCell ref="AQ205:AR205"/>
    <mergeCell ref="AQ206:AR206"/>
    <mergeCell ref="AQ207:AR207"/>
    <mergeCell ref="AQ208:AR208"/>
    <mergeCell ref="AQ209:AR209"/>
    <mergeCell ref="AQ210:AR210"/>
    <mergeCell ref="AQ211:AR211"/>
    <mergeCell ref="AQ212:AR212"/>
    <mergeCell ref="AQ213:AR213"/>
    <mergeCell ref="AQ214:AR214"/>
    <mergeCell ref="AQ215:AR215"/>
    <mergeCell ref="AQ216:AR216"/>
    <mergeCell ref="AQ217:AR217"/>
    <mergeCell ref="AQ218:AR218"/>
    <mergeCell ref="AQ219:AR219"/>
    <mergeCell ref="AQ220:AR220"/>
    <mergeCell ref="AQ221:AR221"/>
    <mergeCell ref="AQ222:AR222"/>
    <mergeCell ref="AQ223:AR223"/>
    <mergeCell ref="AQ224:AR224"/>
    <mergeCell ref="AQ225:AR225"/>
    <mergeCell ref="AQ226:AR226"/>
    <mergeCell ref="AQ227:AR227"/>
    <mergeCell ref="AQ228:AR228"/>
    <mergeCell ref="AQ229:AR229"/>
    <mergeCell ref="AQ230:AR230"/>
    <mergeCell ref="AQ231:AR231"/>
    <mergeCell ref="AQ232:AR232"/>
    <mergeCell ref="AQ233:AR233"/>
    <mergeCell ref="AQ234:AR234"/>
    <mergeCell ref="AQ235:AR235"/>
    <mergeCell ref="AQ236:AR236"/>
    <mergeCell ref="AQ237:AR237"/>
    <mergeCell ref="AQ277:AR277"/>
    <mergeCell ref="AQ280:AR280"/>
    <mergeCell ref="AQ281:AR281"/>
    <mergeCell ref="AQ282:AR282"/>
    <mergeCell ref="AQ283:AR283"/>
    <mergeCell ref="AQ284:AR284"/>
    <mergeCell ref="AQ255:AR255"/>
    <mergeCell ref="AQ254:AR254"/>
    <mergeCell ref="AQ238:AR238"/>
    <mergeCell ref="AQ239:AR239"/>
    <mergeCell ref="AQ240:AR240"/>
    <mergeCell ref="AQ241:AR241"/>
    <mergeCell ref="AQ242:AR242"/>
    <mergeCell ref="AQ243:AR243"/>
    <mergeCell ref="AQ244:AR244"/>
    <mergeCell ref="AQ245:AR245"/>
    <mergeCell ref="AQ246:AR246"/>
    <mergeCell ref="AQ247:AR247"/>
    <mergeCell ref="AQ248:AR248"/>
    <mergeCell ref="AQ249:AR249"/>
    <mergeCell ref="AQ250:AR250"/>
    <mergeCell ref="AQ251:AR251"/>
    <mergeCell ref="AQ252:AR252"/>
    <mergeCell ref="AQ253:AR253"/>
    <mergeCell ref="AQ285:AR285"/>
    <mergeCell ref="AQ286:AR286"/>
    <mergeCell ref="AQ287:AR287"/>
    <mergeCell ref="AQ288:AR288"/>
    <mergeCell ref="AQ289:AR289"/>
    <mergeCell ref="AQ290:AR290"/>
    <mergeCell ref="AQ291:AR291"/>
    <mergeCell ref="AQ292:AR292"/>
    <mergeCell ref="AQ293:AR293"/>
    <mergeCell ref="AQ294:AR294"/>
    <mergeCell ref="AQ295:AR295"/>
    <mergeCell ref="AQ296:AR296"/>
    <mergeCell ref="AQ297:AR297"/>
    <mergeCell ref="AQ298:AR298"/>
    <mergeCell ref="AQ299:AR299"/>
    <mergeCell ref="AQ300:AR300"/>
    <mergeCell ref="AQ301:AR301"/>
    <mergeCell ref="AQ302:AR302"/>
    <mergeCell ref="AQ303:AR303"/>
    <mergeCell ref="AQ304:AR304"/>
    <mergeCell ref="AQ305:AR305"/>
    <mergeCell ref="AQ306:AR306"/>
    <mergeCell ref="AQ307:AR307"/>
    <mergeCell ref="AQ308:AR308"/>
    <mergeCell ref="AQ309:AR309"/>
    <mergeCell ref="AQ310:AR310"/>
    <mergeCell ref="AQ311:AR311"/>
    <mergeCell ref="AQ314:AR314"/>
    <mergeCell ref="AQ315:AR315"/>
    <mergeCell ref="AQ317:AR317"/>
    <mergeCell ref="AQ318:AR318"/>
    <mergeCell ref="AQ319:AR319"/>
    <mergeCell ref="AQ320:AR320"/>
    <mergeCell ref="AQ321:AR321"/>
    <mergeCell ref="AQ322:AR322"/>
    <mergeCell ref="AQ323:AR323"/>
    <mergeCell ref="AQ316:AR316"/>
    <mergeCell ref="AQ324:AR324"/>
    <mergeCell ref="AQ325:AR325"/>
    <mergeCell ref="AQ326:AR326"/>
    <mergeCell ref="AQ327:AR327"/>
    <mergeCell ref="AQ328:AR328"/>
    <mergeCell ref="AQ329:AR329"/>
    <mergeCell ref="AQ330:AR330"/>
    <mergeCell ref="AQ331:AR331"/>
    <mergeCell ref="AQ332:AR332"/>
    <mergeCell ref="AQ336:AR336"/>
    <mergeCell ref="AQ338:AR338"/>
    <mergeCell ref="AQ337:AR337"/>
    <mergeCell ref="AQ339:AR339"/>
    <mergeCell ref="AQ340:AR340"/>
    <mergeCell ref="AQ341:AR341"/>
    <mergeCell ref="AQ342:AR342"/>
    <mergeCell ref="AQ343:AR343"/>
    <mergeCell ref="AQ344:AR344"/>
    <mergeCell ref="AQ345:AR345"/>
    <mergeCell ref="AQ346:AR346"/>
    <mergeCell ref="AQ347:AR347"/>
    <mergeCell ref="AQ348:AR348"/>
    <mergeCell ref="AQ349:AR349"/>
    <mergeCell ref="AQ22:AR22"/>
    <mergeCell ref="AQ23:AR23"/>
    <mergeCell ref="AQ24:AR24"/>
    <mergeCell ref="AQ25:AR25"/>
    <mergeCell ref="AQ26:AR26"/>
    <mergeCell ref="AQ27:AR27"/>
    <mergeCell ref="AQ28:AR28"/>
    <mergeCell ref="AQ29:AR29"/>
    <mergeCell ref="AQ30:AR30"/>
    <mergeCell ref="AQ31:AR31"/>
    <mergeCell ref="AQ32:AR32"/>
    <mergeCell ref="AQ33:AR33"/>
    <mergeCell ref="AQ34:AR34"/>
    <mergeCell ref="AQ35:AR35"/>
    <mergeCell ref="AQ36:AR36"/>
    <mergeCell ref="AQ37:AR37"/>
    <mergeCell ref="AQ38:AR38"/>
    <mergeCell ref="AQ39:AR39"/>
    <mergeCell ref="AQ40:AR40"/>
    <mergeCell ref="AQ41:AR41"/>
    <mergeCell ref="AQ42:AR42"/>
    <mergeCell ref="AQ43:AR43"/>
    <mergeCell ref="AQ44:AR44"/>
    <mergeCell ref="AQ45:AR45"/>
    <mergeCell ref="AQ46:AR46"/>
    <mergeCell ref="AQ47:AR47"/>
    <mergeCell ref="AQ48:AR48"/>
    <mergeCell ref="AQ49:AR49"/>
    <mergeCell ref="AQ50:AR50"/>
    <mergeCell ref="AQ51:AR51"/>
    <mergeCell ref="AQ52:AR52"/>
    <mergeCell ref="AQ53:AR53"/>
    <mergeCell ref="AQ54:AR54"/>
    <mergeCell ref="AQ55:AR55"/>
    <mergeCell ref="AQ56:AR56"/>
    <mergeCell ref="AQ57:AR57"/>
    <mergeCell ref="AQ58:AR58"/>
    <mergeCell ref="AQ59:AR59"/>
    <mergeCell ref="AQ60:AR60"/>
    <mergeCell ref="AQ61:AR61"/>
    <mergeCell ref="AQ62:AR62"/>
    <mergeCell ref="AQ63:AR63"/>
    <mergeCell ref="AQ64:AR64"/>
    <mergeCell ref="AQ65:AR65"/>
    <mergeCell ref="AQ66:AR66"/>
    <mergeCell ref="AQ67:AR67"/>
    <mergeCell ref="AQ68:AR68"/>
    <mergeCell ref="AQ69:AR69"/>
    <mergeCell ref="AQ70:AR70"/>
    <mergeCell ref="AQ71:AR71"/>
    <mergeCell ref="AQ72:AR72"/>
    <mergeCell ref="AQ73:AR73"/>
    <mergeCell ref="AQ74:AR74"/>
    <mergeCell ref="AQ75:AR75"/>
    <mergeCell ref="AQ76:AR76"/>
    <mergeCell ref="AQ86:AR86"/>
    <mergeCell ref="AQ87:AR87"/>
    <mergeCell ref="AQ88:AR88"/>
    <mergeCell ref="AQ89:AR89"/>
    <mergeCell ref="AQ90:AR90"/>
    <mergeCell ref="AQ91:AR91"/>
    <mergeCell ref="AQ77:AR77"/>
    <mergeCell ref="AQ78:AR78"/>
    <mergeCell ref="AQ79:AR79"/>
    <mergeCell ref="AQ80:AR80"/>
    <mergeCell ref="AQ81:AR81"/>
    <mergeCell ref="AQ82:AR82"/>
    <mergeCell ref="AQ83:AR83"/>
    <mergeCell ref="AQ84:AR84"/>
    <mergeCell ref="AQ85:AR85"/>
    <mergeCell ref="AQ270:AR270"/>
    <mergeCell ref="AQ265:AR265"/>
    <mergeCell ref="AQ266:AR266"/>
    <mergeCell ref="AQ267:AR267"/>
    <mergeCell ref="AQ268:AR268"/>
    <mergeCell ref="AQ269:AR269"/>
    <mergeCell ref="AQ256:AR256"/>
    <mergeCell ref="AQ257:AR257"/>
    <mergeCell ref="AQ258:AR258"/>
    <mergeCell ref="AQ259:AR259"/>
    <mergeCell ref="AQ260:AR260"/>
    <mergeCell ref="AQ261:AR261"/>
    <mergeCell ref="AQ262:AR262"/>
    <mergeCell ref="AQ263:AR263"/>
    <mergeCell ref="AQ264:AR264"/>
  </mergeCells>
  <phoneticPr fontId="27" type="noConversion"/>
  <conditionalFormatting sqref="AQ280:AQ281 AQ314:AQ316 AQ336 AQ22 AQ241:AQ269 AQ271:AQ277">
    <cfRule type="expression" dxfId="21" priority="58" stopIfTrue="1">
      <formula>Z22="JUSTIFICAR"</formula>
    </cfRule>
    <cfRule type="expression" dxfId="20" priority="59" stopIfTrue="1">
      <formula>Z22="AJUSTE"</formula>
    </cfRule>
  </conditionalFormatting>
  <conditionalFormatting sqref="AQ146:AQ240">
    <cfRule type="expression" dxfId="19" priority="19" stopIfTrue="1">
      <formula>Z146="JUSTIFICAR"</formula>
    </cfRule>
    <cfRule type="expression" dxfId="18" priority="20" stopIfTrue="1">
      <formula>Z146="AJUSTE"</formula>
    </cfRule>
  </conditionalFormatting>
  <conditionalFormatting sqref="AQ282:AQ290 AQ292:AQ311">
    <cfRule type="expression" dxfId="17" priority="17" stopIfTrue="1">
      <formula>Z282="JUSTIFICAR"</formula>
    </cfRule>
    <cfRule type="expression" dxfId="16" priority="18" stopIfTrue="1">
      <formula>Z282="AJUSTE"</formula>
    </cfRule>
  </conditionalFormatting>
  <conditionalFormatting sqref="AQ317:AQ332">
    <cfRule type="expression" dxfId="15" priority="15" stopIfTrue="1">
      <formula>Z317="JUSTIFICAR"</formula>
    </cfRule>
    <cfRule type="expression" dxfId="14" priority="16" stopIfTrue="1">
      <formula>Z317="AJUSTE"</formula>
    </cfRule>
  </conditionalFormatting>
  <conditionalFormatting sqref="AQ337">
    <cfRule type="expression" dxfId="13" priority="11" stopIfTrue="1">
      <formula>Z337="JUSTIFICAR"</formula>
    </cfRule>
    <cfRule type="expression" dxfId="12" priority="12" stopIfTrue="1">
      <formula>Z337="AJUSTE"</formula>
    </cfRule>
  </conditionalFormatting>
  <conditionalFormatting sqref="AQ338:AQ349">
    <cfRule type="expression" dxfId="11" priority="9" stopIfTrue="1">
      <formula>Z338="JUSTIFICAR"</formula>
    </cfRule>
    <cfRule type="expression" dxfId="10" priority="10" stopIfTrue="1">
      <formula>Z338="AJUSTE"</formula>
    </cfRule>
  </conditionalFormatting>
  <conditionalFormatting sqref="AQ23:AQ145">
    <cfRule type="expression" dxfId="9" priority="7" stopIfTrue="1">
      <formula>Z23="JUSTIFICAR"</formula>
    </cfRule>
    <cfRule type="expression" dxfId="8" priority="8" stopIfTrue="1">
      <formula>Z23="AJUSTE"</formula>
    </cfRule>
  </conditionalFormatting>
  <conditionalFormatting sqref="AQ270">
    <cfRule type="expression" dxfId="7" priority="3" stopIfTrue="1">
      <formula>Z270="JUSTIFICAR"</formula>
    </cfRule>
    <cfRule type="expression" dxfId="6" priority="4" stopIfTrue="1">
      <formula>Z270="AJUSTE"</formula>
    </cfRule>
  </conditionalFormatting>
  <conditionalFormatting sqref="AQ291">
    <cfRule type="expression" dxfId="5" priority="1" stopIfTrue="1">
      <formula>Z291="JUSTIFICAR"</formula>
    </cfRule>
    <cfRule type="expression" dxfId="4" priority="2" stopIfTrue="1">
      <formula>Z291="AJUSTE"</formula>
    </cfRule>
  </conditionalFormatting>
  <dataValidations count="1">
    <dataValidation type="list" allowBlank="1" showInputMessage="1" showErrorMessage="1" sqref="G372:G65794 G351:G370 G2:G17 G335">
      <formula1>$CG$2:$CG$20</formula1>
    </dataValidation>
  </dataValidations>
  <pageMargins left="0.15748031496062992" right="0.23622047244094491" top="0.35" bottom="0.16" header="0" footer="0"/>
  <pageSetup scale="60" orientation="landscape" horizontalDpi="300" r:id="rId1"/>
  <headerFooter alignWithMargins="0"/>
  <ignoredErrors>
    <ignoredError sqref="V312" formula="1"/>
    <ignoredError sqref="AE336:AE344" evalError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BASE!$F$20:$F$25</xm:f>
          </x14:formula1>
          <xm:sqref>E336:E349</xm:sqref>
        </x14:dataValidation>
        <x14:dataValidation type="list" allowBlank="1" showInputMessage="1" showErrorMessage="1">
          <x14:formula1>
            <xm:f>BASE!$B$15:$B$18</xm:f>
          </x14:formula1>
          <xm:sqref>F336:F349</xm:sqref>
        </x14:dataValidation>
        <x14:dataValidation type="list" allowBlank="1" showInputMessage="1" showErrorMessage="1">
          <x14:formula1>
            <xm:f>BASE!$F$8:$F$15</xm:f>
          </x14:formula1>
          <xm:sqref>C314:C332 C280:C311 C22:C277</xm:sqref>
        </x14:dataValidation>
        <x14:dataValidation type="list" allowBlank="1" showInputMessage="1" showErrorMessage="1">
          <x14:formula1>
            <xm:f>BASE!$F$20:$F$26</xm:f>
          </x14:formula1>
          <xm:sqref>E314:E332 E280:E311 E22:E277</xm:sqref>
        </x14:dataValidation>
        <x14:dataValidation type="list" allowBlank="1" showInputMessage="1" showErrorMessage="1">
          <x14:formula1>
            <xm:f>BASE!$B$15:$B$19</xm:f>
          </x14:formula1>
          <xm:sqref>F314:F332 F280:F311 F22:F277</xm:sqref>
        </x14:dataValidation>
        <x14:dataValidation type="list" allowBlank="1" showInputMessage="1" showErrorMessage="1">
          <x14:formula1>
            <xm:f>BASE!$F$8:$F$14</xm:f>
          </x14:formula1>
          <xm:sqref>C336:C349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showGridLines="0" workbookViewId="0">
      <selection activeCell="B61" sqref="B61"/>
    </sheetView>
  </sheetViews>
  <sheetFormatPr baseColWidth="10" defaultRowHeight="12.75" x14ac:dyDescent="0.2"/>
  <cols>
    <col min="1" max="1" width="23.140625" customWidth="1"/>
    <col min="2" max="2" width="15.140625" bestFit="1" customWidth="1"/>
    <col min="6" max="6" width="17" bestFit="1" customWidth="1"/>
    <col min="7" max="7" width="12.7109375" bestFit="1" customWidth="1"/>
  </cols>
  <sheetData>
    <row r="1" spans="1:9" x14ac:dyDescent="0.2">
      <c r="A1" s="645" t="s">
        <v>820</v>
      </c>
      <c r="B1" s="646">
        <v>2017</v>
      </c>
      <c r="C1" s="646">
        <v>2018</v>
      </c>
      <c r="D1" s="331" t="s">
        <v>175</v>
      </c>
      <c r="E1" s="326"/>
      <c r="F1" s="326"/>
      <c r="G1" s="326"/>
      <c r="H1" s="326"/>
      <c r="I1" s="326"/>
    </row>
    <row r="2" spans="1:9" x14ac:dyDescent="0.2">
      <c r="A2" s="332" t="s">
        <v>176</v>
      </c>
      <c r="B2" s="530">
        <v>83140</v>
      </c>
      <c r="C2" s="530">
        <v>88211</v>
      </c>
      <c r="D2" s="333">
        <v>0</v>
      </c>
      <c r="E2" s="326"/>
      <c r="F2" s="328"/>
      <c r="G2" s="326"/>
      <c r="H2" s="326"/>
      <c r="I2" s="326"/>
    </row>
    <row r="3" spans="1:9" x14ac:dyDescent="0.2">
      <c r="A3" s="332" t="s">
        <v>177</v>
      </c>
      <c r="B3" s="530">
        <v>737717</v>
      </c>
      <c r="C3" s="530">
        <v>781242</v>
      </c>
      <c r="D3" s="333"/>
      <c r="E3" s="326"/>
      <c r="F3" s="644"/>
      <c r="G3" s="326"/>
      <c r="H3" s="326"/>
      <c r="I3" s="326"/>
    </row>
    <row r="4" spans="1:9" x14ac:dyDescent="0.2">
      <c r="A4" s="332" t="s">
        <v>178</v>
      </c>
      <c r="B4" s="330">
        <f>+B3*25</f>
        <v>18442925</v>
      </c>
      <c r="C4" s="330">
        <f>C3*25</f>
        <v>19531050</v>
      </c>
      <c r="D4" s="333"/>
      <c r="E4" s="326"/>
      <c r="F4" s="644"/>
      <c r="G4" s="326"/>
      <c r="H4" s="326"/>
      <c r="I4" s="326"/>
    </row>
    <row r="5" spans="1:9" x14ac:dyDescent="0.2">
      <c r="A5" s="332" t="s">
        <v>179</v>
      </c>
      <c r="B5" s="328">
        <v>8.5000000000000006E-2</v>
      </c>
      <c r="C5" s="328">
        <v>8.5000000000000006E-2</v>
      </c>
      <c r="D5" s="333"/>
      <c r="E5" s="326"/>
      <c r="F5" s="644"/>
      <c r="G5" s="326"/>
      <c r="H5" s="326"/>
      <c r="I5" s="326"/>
    </row>
    <row r="6" spans="1:9" x14ac:dyDescent="0.2">
      <c r="A6" s="332" t="s">
        <v>180</v>
      </c>
      <c r="B6" s="644">
        <v>0.125</v>
      </c>
      <c r="C6" s="644">
        <v>0.125</v>
      </c>
      <c r="D6" s="333"/>
      <c r="E6" s="326"/>
      <c r="F6" s="227"/>
      <c r="G6" s="326"/>
      <c r="H6" s="326"/>
      <c r="I6" s="326"/>
    </row>
    <row r="7" spans="1:9" x14ac:dyDescent="0.2">
      <c r="A7" s="332" t="s">
        <v>181</v>
      </c>
      <c r="B7" s="328">
        <v>0.12</v>
      </c>
      <c r="C7" s="328">
        <v>0.12</v>
      </c>
      <c r="D7" s="333"/>
      <c r="E7" s="326"/>
      <c r="F7" s="227"/>
      <c r="G7" s="326"/>
      <c r="H7" s="326"/>
      <c r="I7" s="326"/>
    </row>
    <row r="8" spans="1:9" x14ac:dyDescent="0.2">
      <c r="A8" s="332" t="s">
        <v>182</v>
      </c>
      <c r="B8" s="328">
        <v>0.16</v>
      </c>
      <c r="C8" s="328">
        <v>0.16</v>
      </c>
      <c r="D8" s="333"/>
      <c r="E8" s="326"/>
      <c r="F8" s="594" t="s">
        <v>531</v>
      </c>
      <c r="G8" s="326"/>
      <c r="H8" s="326"/>
      <c r="I8" s="326"/>
    </row>
    <row r="9" spans="1:9" x14ac:dyDescent="0.2">
      <c r="A9" s="332" t="s">
        <v>183</v>
      </c>
      <c r="B9" s="328">
        <v>5.2199999999999998E-3</v>
      </c>
      <c r="C9" s="328">
        <v>5.2199999999999998E-3</v>
      </c>
      <c r="D9" s="333"/>
      <c r="E9" s="326"/>
      <c r="F9" s="595" t="s">
        <v>532</v>
      </c>
      <c r="G9" s="326"/>
      <c r="H9" s="326"/>
      <c r="I9" s="326"/>
    </row>
    <row r="10" spans="1:9" x14ac:dyDescent="0.2">
      <c r="A10" s="332" t="s">
        <v>166</v>
      </c>
      <c r="B10" s="328">
        <v>0.09</v>
      </c>
      <c r="C10" s="328">
        <v>0.09</v>
      </c>
      <c r="D10" s="333"/>
      <c r="E10" s="326"/>
      <c r="F10" s="595" t="s">
        <v>533</v>
      </c>
      <c r="G10" s="326"/>
      <c r="H10" s="326"/>
      <c r="I10" s="326"/>
    </row>
    <row r="11" spans="1:9" x14ac:dyDescent="0.2">
      <c r="A11" s="332" t="s">
        <v>184</v>
      </c>
      <c r="B11" s="328">
        <v>360</v>
      </c>
      <c r="C11" s="328">
        <v>360</v>
      </c>
      <c r="D11" s="333"/>
      <c r="E11" s="326"/>
      <c r="F11" s="595" t="s">
        <v>534</v>
      </c>
      <c r="G11" s="326"/>
      <c r="H11" s="326"/>
      <c r="I11" s="326"/>
    </row>
    <row r="12" spans="1:9" ht="13.5" thickBot="1" x14ac:dyDescent="0.25">
      <c r="A12" s="334" t="s">
        <v>185</v>
      </c>
      <c r="B12" s="647">
        <v>331</v>
      </c>
      <c r="C12" s="647">
        <v>331</v>
      </c>
      <c r="D12" s="648"/>
      <c r="E12" s="326"/>
      <c r="F12" s="595" t="s">
        <v>535</v>
      </c>
      <c r="G12" s="326"/>
      <c r="H12" s="326"/>
      <c r="I12" s="326"/>
    </row>
    <row r="13" spans="1:9" x14ac:dyDescent="0.2">
      <c r="A13" s="326"/>
      <c r="B13" s="326"/>
      <c r="C13" s="326"/>
      <c r="D13" s="326"/>
      <c r="E13" s="326"/>
      <c r="F13" s="595" t="s">
        <v>536</v>
      </c>
      <c r="G13" s="326"/>
      <c r="H13" s="326"/>
      <c r="I13" s="326"/>
    </row>
    <row r="14" spans="1:9" ht="13.5" thickBot="1" x14ac:dyDescent="0.25">
      <c r="A14" s="328"/>
      <c r="B14" s="328"/>
      <c r="C14" s="328"/>
      <c r="D14" s="328"/>
      <c r="E14" s="326"/>
      <c r="F14" s="596" t="s">
        <v>542</v>
      </c>
      <c r="G14" s="326"/>
      <c r="H14" s="326"/>
      <c r="I14" s="326"/>
    </row>
    <row r="15" spans="1:9" x14ac:dyDescent="0.2">
      <c r="A15" s="645" t="s">
        <v>186</v>
      </c>
      <c r="B15" s="327" t="s">
        <v>261</v>
      </c>
      <c r="C15" s="331">
        <v>1</v>
      </c>
      <c r="D15" s="326"/>
      <c r="E15" s="227"/>
      <c r="F15" s="326"/>
      <c r="G15" s="326"/>
      <c r="H15" s="326"/>
    </row>
    <row r="16" spans="1:9" x14ac:dyDescent="0.2">
      <c r="A16" s="332"/>
      <c r="B16" s="328" t="s">
        <v>258</v>
      </c>
      <c r="C16" s="333">
        <v>2</v>
      </c>
      <c r="D16" s="326"/>
      <c r="E16" s="227"/>
      <c r="F16" s="326"/>
      <c r="G16" s="326"/>
      <c r="H16" s="326"/>
    </row>
    <row r="17" spans="1:9" x14ac:dyDescent="0.2">
      <c r="A17" s="332"/>
      <c r="B17" s="328" t="s">
        <v>546</v>
      </c>
      <c r="C17" s="333">
        <v>3</v>
      </c>
      <c r="D17" s="326"/>
      <c r="E17" s="227"/>
      <c r="F17" s="326"/>
      <c r="G17" s="326"/>
      <c r="H17" s="326"/>
    </row>
    <row r="18" spans="1:9" ht="13.5" thickBot="1" x14ac:dyDescent="0.25">
      <c r="A18" s="334"/>
      <c r="B18" s="867" t="s">
        <v>863</v>
      </c>
      <c r="C18" s="648">
        <v>4</v>
      </c>
      <c r="D18" s="326"/>
      <c r="E18" s="227"/>
      <c r="F18" s="326"/>
      <c r="G18" s="326"/>
      <c r="H18" s="326"/>
    </row>
    <row r="19" spans="1:9" ht="13.5" thickBot="1" x14ac:dyDescent="0.25">
      <c r="A19" s="326"/>
      <c r="B19" s="326"/>
      <c r="C19" s="326"/>
      <c r="D19" s="326"/>
      <c r="E19" s="326"/>
      <c r="F19" s="227"/>
      <c r="G19" s="326"/>
      <c r="H19" s="326"/>
      <c r="I19" s="326"/>
    </row>
    <row r="20" spans="1:9" x14ac:dyDescent="0.2">
      <c r="A20" s="645" t="s">
        <v>187</v>
      </c>
      <c r="B20" s="327">
        <v>0</v>
      </c>
      <c r="C20" s="335">
        <v>1</v>
      </c>
      <c r="D20" s="336" t="s">
        <v>168</v>
      </c>
      <c r="E20" s="326"/>
      <c r="F20" s="350" t="s">
        <v>537</v>
      </c>
      <c r="G20" s="351">
        <v>6</v>
      </c>
      <c r="H20" s="326"/>
      <c r="I20" s="326"/>
    </row>
    <row r="21" spans="1:9" ht="22.5" x14ac:dyDescent="0.2">
      <c r="A21" s="332"/>
      <c r="B21" s="328">
        <v>38</v>
      </c>
      <c r="C21" s="330">
        <v>2</v>
      </c>
      <c r="D21" s="337" t="s">
        <v>188</v>
      </c>
      <c r="E21" s="326"/>
      <c r="F21" s="350" t="s">
        <v>538</v>
      </c>
      <c r="G21" s="351">
        <v>5</v>
      </c>
      <c r="H21" s="326"/>
      <c r="I21" s="326"/>
    </row>
    <row r="22" spans="1:9" ht="22.5" x14ac:dyDescent="0.2">
      <c r="A22" s="332"/>
      <c r="B22" s="328">
        <v>39</v>
      </c>
      <c r="C22" s="330">
        <v>3</v>
      </c>
      <c r="D22" s="337" t="s">
        <v>170</v>
      </c>
      <c r="E22" s="326"/>
      <c r="F22" s="350" t="s">
        <v>539</v>
      </c>
      <c r="G22" s="351">
        <v>4</v>
      </c>
      <c r="H22" s="326"/>
      <c r="I22" s="326"/>
    </row>
    <row r="23" spans="1:9" ht="22.5" x14ac:dyDescent="0.2">
      <c r="A23" s="332"/>
      <c r="B23" s="328">
        <v>40</v>
      </c>
      <c r="C23" s="330">
        <v>4</v>
      </c>
      <c r="D23" s="337" t="s">
        <v>171</v>
      </c>
      <c r="E23" s="326"/>
      <c r="F23" s="350" t="s">
        <v>540</v>
      </c>
      <c r="G23" s="351">
        <v>3</v>
      </c>
      <c r="H23" s="326"/>
      <c r="I23" s="326"/>
    </row>
    <row r="24" spans="1:9" ht="22.5" x14ac:dyDescent="0.2">
      <c r="A24" s="332"/>
      <c r="B24" s="328">
        <v>41</v>
      </c>
      <c r="C24" s="330">
        <v>5</v>
      </c>
      <c r="D24" s="337" t="s">
        <v>172</v>
      </c>
      <c r="E24" s="326"/>
      <c r="F24" s="350" t="s">
        <v>541</v>
      </c>
      <c r="G24" s="351">
        <v>2</v>
      </c>
      <c r="H24" s="326"/>
      <c r="I24" s="326"/>
    </row>
    <row r="25" spans="1:9" ht="22.5" x14ac:dyDescent="0.2">
      <c r="A25" s="332"/>
      <c r="B25" s="328">
        <v>42</v>
      </c>
      <c r="C25" s="330">
        <v>6</v>
      </c>
      <c r="D25" s="337" t="s">
        <v>173</v>
      </c>
      <c r="E25" s="326"/>
      <c r="F25" s="350" t="s">
        <v>168</v>
      </c>
      <c r="G25" s="351">
        <v>1</v>
      </c>
      <c r="H25" s="326"/>
      <c r="I25" s="326"/>
    </row>
    <row r="26" spans="1:9" ht="22.5" x14ac:dyDescent="0.2">
      <c r="A26" s="332"/>
      <c r="B26" s="328">
        <v>43</v>
      </c>
      <c r="C26" s="330">
        <v>7</v>
      </c>
      <c r="D26" s="337" t="s">
        <v>174</v>
      </c>
      <c r="E26" s="326"/>
      <c r="F26" s="326"/>
      <c r="G26" s="326"/>
      <c r="H26" s="326"/>
      <c r="I26" s="326"/>
    </row>
    <row r="27" spans="1:9" ht="33.75" x14ac:dyDescent="0.2">
      <c r="A27" s="332"/>
      <c r="B27" s="328">
        <v>36</v>
      </c>
      <c r="C27" s="330"/>
      <c r="D27" s="337" t="s">
        <v>189</v>
      </c>
      <c r="E27" s="326"/>
      <c r="F27" s="326" t="s">
        <v>532</v>
      </c>
      <c r="G27" s="326"/>
      <c r="H27" s="326"/>
      <c r="I27" s="326"/>
    </row>
    <row r="28" spans="1:9" ht="33.75" x14ac:dyDescent="0.2">
      <c r="A28" s="332"/>
      <c r="B28" s="328">
        <v>45</v>
      </c>
      <c r="C28" s="330"/>
      <c r="D28" s="337" t="s">
        <v>190</v>
      </c>
      <c r="E28" s="326"/>
      <c r="F28" s="347" t="s">
        <v>533</v>
      </c>
      <c r="G28" s="326"/>
      <c r="H28" s="326"/>
      <c r="I28" s="326"/>
    </row>
    <row r="29" spans="1:9" x14ac:dyDescent="0.2">
      <c r="A29" s="332"/>
      <c r="B29" s="328">
        <v>46</v>
      </c>
      <c r="C29" s="330"/>
      <c r="D29" s="337" t="s">
        <v>191</v>
      </c>
      <c r="E29" s="326"/>
      <c r="F29" s="326" t="s">
        <v>534</v>
      </c>
      <c r="G29" s="326"/>
      <c r="H29" s="326"/>
      <c r="I29" s="326"/>
    </row>
    <row r="30" spans="1:9" x14ac:dyDescent="0.2">
      <c r="A30" s="332"/>
      <c r="B30" s="328">
        <v>49</v>
      </c>
      <c r="C30" s="330"/>
      <c r="D30" s="337" t="s">
        <v>192</v>
      </c>
      <c r="E30" s="326"/>
      <c r="F30" s="326" t="s">
        <v>535</v>
      </c>
      <c r="G30" s="326"/>
      <c r="H30" s="326"/>
      <c r="I30" s="326"/>
    </row>
    <row r="31" spans="1:9" x14ac:dyDescent="0.2">
      <c r="A31" s="332"/>
      <c r="B31" s="328">
        <v>50</v>
      </c>
      <c r="C31" s="330"/>
      <c r="D31" s="337" t="s">
        <v>193</v>
      </c>
      <c r="E31" s="326"/>
      <c r="F31" s="326" t="s">
        <v>542</v>
      </c>
      <c r="G31" s="326"/>
      <c r="H31" s="326"/>
      <c r="I31" s="326"/>
    </row>
    <row r="32" spans="1:9" x14ac:dyDescent="0.2">
      <c r="A32" s="332"/>
      <c r="B32" s="328">
        <v>51</v>
      </c>
      <c r="C32" s="330"/>
      <c r="D32" s="337" t="s">
        <v>194</v>
      </c>
      <c r="E32" s="326"/>
      <c r="F32" s="326" t="s">
        <v>543</v>
      </c>
      <c r="G32" s="326"/>
      <c r="H32" s="326"/>
      <c r="I32" s="326"/>
    </row>
    <row r="33" spans="1:9" ht="33.75" x14ac:dyDescent="0.2">
      <c r="A33" s="332"/>
      <c r="B33" s="328">
        <v>72</v>
      </c>
      <c r="C33" s="330"/>
      <c r="D33" s="337" t="s">
        <v>195</v>
      </c>
      <c r="E33" s="326"/>
      <c r="F33" s="326"/>
      <c r="G33" s="326"/>
      <c r="H33" s="326"/>
      <c r="I33" s="326"/>
    </row>
    <row r="34" spans="1:9" ht="22.5" x14ac:dyDescent="0.2">
      <c r="A34" s="332"/>
      <c r="B34" s="328">
        <v>78</v>
      </c>
      <c r="C34" s="330"/>
      <c r="D34" s="337" t="s">
        <v>196</v>
      </c>
      <c r="E34" s="326"/>
      <c r="F34" s="326"/>
      <c r="G34" s="326"/>
      <c r="H34" s="326"/>
      <c r="I34" s="326"/>
    </row>
    <row r="35" spans="1:9" ht="23.25" thickBot="1" x14ac:dyDescent="0.25">
      <c r="A35" s="334"/>
      <c r="B35" s="329">
        <v>80</v>
      </c>
      <c r="C35" s="338"/>
      <c r="D35" s="339" t="s">
        <v>197</v>
      </c>
      <c r="E35" s="326"/>
      <c r="F35" s="326"/>
      <c r="G35" s="326"/>
      <c r="H35" s="326"/>
      <c r="I35" s="326"/>
    </row>
    <row r="36" spans="1:9" x14ac:dyDescent="0.2">
      <c r="A36" s="326"/>
      <c r="B36" s="326"/>
      <c r="C36" s="326"/>
      <c r="D36" s="326"/>
      <c r="E36" s="326"/>
      <c r="F36" s="326"/>
      <c r="G36" s="326"/>
      <c r="H36" s="326"/>
      <c r="I36" s="326"/>
    </row>
    <row r="37" spans="1:9" x14ac:dyDescent="0.2">
      <c r="A37" s="326"/>
      <c r="B37" s="326"/>
      <c r="C37" s="326"/>
      <c r="D37" s="326"/>
      <c r="E37" s="326"/>
      <c r="F37" s="326"/>
      <c r="G37" s="326"/>
      <c r="H37" s="326"/>
      <c r="I37" s="326"/>
    </row>
    <row r="38" spans="1:9" x14ac:dyDescent="0.2">
      <c r="A38" s="326"/>
      <c r="B38" s="326"/>
      <c r="C38" s="326"/>
      <c r="D38" s="326"/>
      <c r="E38" s="326"/>
      <c r="F38" s="326"/>
      <c r="G38" s="326"/>
      <c r="H38" s="326"/>
      <c r="I38" s="326"/>
    </row>
    <row r="39" spans="1:9" ht="22.5" hidden="1" x14ac:dyDescent="0.2">
      <c r="A39" s="340" t="s">
        <v>198</v>
      </c>
      <c r="B39" s="341" t="s">
        <v>188</v>
      </c>
      <c r="C39" s="341" t="s">
        <v>170</v>
      </c>
      <c r="D39" s="341" t="s">
        <v>171</v>
      </c>
      <c r="E39" s="341" t="s">
        <v>172</v>
      </c>
      <c r="F39" s="341" t="s">
        <v>173</v>
      </c>
      <c r="G39" s="341" t="s">
        <v>174</v>
      </c>
      <c r="H39" s="327"/>
      <c r="I39" s="327"/>
    </row>
    <row r="40" spans="1:9" hidden="1" x14ac:dyDescent="0.2">
      <c r="A40" s="332">
        <v>1</v>
      </c>
      <c r="B40" s="328">
        <v>2</v>
      </c>
      <c r="C40" s="328">
        <v>3</v>
      </c>
      <c r="D40" s="328">
        <v>4</v>
      </c>
      <c r="E40" s="328">
        <v>5</v>
      </c>
      <c r="F40" s="328">
        <v>6</v>
      </c>
      <c r="G40" s="328">
        <v>7</v>
      </c>
      <c r="H40" s="328">
        <v>8</v>
      </c>
      <c r="I40" s="342"/>
    </row>
    <row r="41" spans="1:9" hidden="1" x14ac:dyDescent="0.2">
      <c r="A41" s="343">
        <v>0</v>
      </c>
      <c r="B41" s="330">
        <v>0</v>
      </c>
      <c r="C41" s="330">
        <v>0</v>
      </c>
      <c r="D41" s="330">
        <v>0</v>
      </c>
      <c r="E41" s="330">
        <v>0</v>
      </c>
      <c r="F41" s="330">
        <v>0</v>
      </c>
      <c r="G41" s="330">
        <v>0</v>
      </c>
      <c r="H41" s="330">
        <v>0</v>
      </c>
      <c r="I41" s="328"/>
    </row>
    <row r="42" spans="1:9" hidden="1" x14ac:dyDescent="0.2">
      <c r="A42" s="343">
        <v>1</v>
      </c>
      <c r="B42" s="330">
        <v>1077000</v>
      </c>
      <c r="C42" s="330">
        <v>0</v>
      </c>
      <c r="D42" s="330">
        <v>772000</v>
      </c>
      <c r="E42" s="330">
        <v>627000</v>
      </c>
      <c r="F42" s="330">
        <v>539000</v>
      </c>
      <c r="G42" s="330">
        <v>431000</v>
      </c>
      <c r="H42" s="328">
        <v>10</v>
      </c>
      <c r="I42" s="328"/>
    </row>
    <row r="43" spans="1:9" hidden="1" x14ac:dyDescent="0.2">
      <c r="A43" s="343">
        <v>10</v>
      </c>
      <c r="B43" s="330">
        <v>1077000</v>
      </c>
      <c r="C43" s="330">
        <v>0</v>
      </c>
      <c r="D43" s="330">
        <v>772000</v>
      </c>
      <c r="E43" s="330">
        <v>627000</v>
      </c>
      <c r="F43" s="330">
        <v>539000</v>
      </c>
      <c r="G43" s="330">
        <v>431000</v>
      </c>
      <c r="H43" s="328">
        <v>10</v>
      </c>
      <c r="I43" s="328"/>
    </row>
    <row r="44" spans="1:9" hidden="1" x14ac:dyDescent="0.2">
      <c r="A44" s="343">
        <v>16</v>
      </c>
      <c r="B44" s="330">
        <v>2154000</v>
      </c>
      <c r="C44" s="330">
        <v>0</v>
      </c>
      <c r="D44" s="330">
        <v>1544000</v>
      </c>
      <c r="E44" s="330">
        <v>1254000</v>
      </c>
      <c r="F44" s="330">
        <v>1078000</v>
      </c>
      <c r="G44" s="330">
        <v>862000</v>
      </c>
      <c r="H44" s="328">
        <v>20</v>
      </c>
      <c r="I44" s="328"/>
    </row>
    <row r="45" spans="1:9" hidden="1" x14ac:dyDescent="0.2">
      <c r="A45" s="343">
        <v>21</v>
      </c>
      <c r="B45" s="330">
        <v>3231000</v>
      </c>
      <c r="C45" s="330">
        <v>0</v>
      </c>
      <c r="D45" s="330">
        <v>2316000</v>
      </c>
      <c r="E45" s="330">
        <v>1881000</v>
      </c>
      <c r="F45" s="330">
        <v>1617000</v>
      </c>
      <c r="G45" s="330">
        <v>1293000</v>
      </c>
      <c r="H45" s="328">
        <v>30</v>
      </c>
      <c r="I45" s="328"/>
    </row>
    <row r="46" spans="1:9" hidden="1" x14ac:dyDescent="0.2">
      <c r="A46" s="343">
        <v>31</v>
      </c>
      <c r="B46" s="330">
        <v>4308000</v>
      </c>
      <c r="C46" s="330">
        <v>6407000</v>
      </c>
      <c r="D46" s="330">
        <v>3088000</v>
      </c>
      <c r="E46" s="330">
        <v>2508000</v>
      </c>
      <c r="F46" s="330">
        <v>2156000</v>
      </c>
      <c r="G46" s="330">
        <v>1724000</v>
      </c>
      <c r="H46" s="328">
        <v>40</v>
      </c>
      <c r="I46" s="328"/>
    </row>
    <row r="47" spans="1:9" ht="13.5" hidden="1" thickBot="1" x14ac:dyDescent="0.25">
      <c r="A47" s="334"/>
      <c r="B47" s="329"/>
      <c r="C47" s="329"/>
      <c r="D47" s="329"/>
      <c r="E47" s="329"/>
      <c r="F47" s="329"/>
      <c r="G47" s="329"/>
      <c r="H47" s="329"/>
      <c r="I47" s="329"/>
    </row>
    <row r="48" spans="1:9" x14ac:dyDescent="0.2">
      <c r="A48" s="326"/>
      <c r="B48" s="326"/>
      <c r="C48" s="326"/>
      <c r="D48" s="326"/>
      <c r="E48" s="326"/>
      <c r="F48" s="326"/>
      <c r="G48" s="326"/>
      <c r="H48" s="326"/>
      <c r="I48" s="326"/>
    </row>
    <row r="49" spans="1:10" ht="13.5" thickBot="1" x14ac:dyDescent="0.25">
      <c r="A49" s="326"/>
      <c r="B49" s="326"/>
      <c r="C49" s="326"/>
      <c r="D49" s="326"/>
      <c r="E49" s="326"/>
      <c r="F49" s="326"/>
      <c r="G49" s="326"/>
      <c r="H49" s="326"/>
      <c r="I49" s="326"/>
    </row>
    <row r="50" spans="1:10" x14ac:dyDescent="0.2">
      <c r="A50" s="661" t="s">
        <v>199</v>
      </c>
      <c r="B50" s="662">
        <v>2017</v>
      </c>
      <c r="C50" s="646">
        <v>2018</v>
      </c>
      <c r="D50" s="646"/>
      <c r="E50" s="646"/>
      <c r="F50" s="646"/>
      <c r="G50" s="662">
        <f>+C50</f>
        <v>2018</v>
      </c>
      <c r="H50" s="326"/>
      <c r="I50" s="326"/>
    </row>
    <row r="51" spans="1:10" x14ac:dyDescent="0.2">
      <c r="B51" s="663">
        <v>1.06</v>
      </c>
      <c r="C51" s="868"/>
      <c r="D51" s="328"/>
      <c r="E51" s="328">
        <v>1</v>
      </c>
      <c r="F51" s="660" t="s">
        <v>168</v>
      </c>
      <c r="G51" s="333"/>
      <c r="H51" s="326"/>
      <c r="I51" s="326"/>
    </row>
    <row r="52" spans="1:10" x14ac:dyDescent="0.2">
      <c r="A52" s="332"/>
      <c r="B52" s="528">
        <v>189000</v>
      </c>
      <c r="C52" s="330">
        <f>CEILING(B52*$B$51,10)</f>
        <v>200340</v>
      </c>
      <c r="D52" s="530" t="s">
        <v>169</v>
      </c>
      <c r="E52" s="328">
        <v>2</v>
      </c>
      <c r="F52" s="344" t="s">
        <v>188</v>
      </c>
      <c r="G52" s="578">
        <v>200400</v>
      </c>
      <c r="H52" s="326"/>
      <c r="I52" s="326"/>
    </row>
    <row r="53" spans="1:10" ht="22.5" x14ac:dyDescent="0.2">
      <c r="A53" s="332"/>
      <c r="B53" s="528">
        <v>129000</v>
      </c>
      <c r="C53" s="330">
        <f t="shared" ref="C53:C56" si="0">CEILING(B53*$B$51,10)</f>
        <v>136740</v>
      </c>
      <c r="D53" s="328"/>
      <c r="E53" s="328">
        <v>3</v>
      </c>
      <c r="F53" s="344" t="s">
        <v>171</v>
      </c>
      <c r="G53" s="578">
        <v>136800</v>
      </c>
      <c r="H53" s="326"/>
      <c r="I53" s="326"/>
    </row>
    <row r="54" spans="1:10" ht="22.5" x14ac:dyDescent="0.2">
      <c r="A54" s="332"/>
      <c r="B54" s="528">
        <v>105040</v>
      </c>
      <c r="C54" s="330">
        <f t="shared" si="0"/>
        <v>111350</v>
      </c>
      <c r="D54" s="328"/>
      <c r="E54" s="328">
        <v>4</v>
      </c>
      <c r="F54" s="344" t="s">
        <v>172</v>
      </c>
      <c r="G54" s="578">
        <v>111400</v>
      </c>
      <c r="H54" s="326"/>
      <c r="I54" s="326"/>
    </row>
    <row r="55" spans="1:10" ht="22.5" x14ac:dyDescent="0.2">
      <c r="A55" s="332"/>
      <c r="B55" s="528">
        <v>84000</v>
      </c>
      <c r="C55" s="330">
        <f t="shared" si="0"/>
        <v>89040</v>
      </c>
      <c r="D55" s="328"/>
      <c r="E55" s="328">
        <v>5</v>
      </c>
      <c r="F55" s="344" t="s">
        <v>173</v>
      </c>
      <c r="G55" s="578">
        <v>89000</v>
      </c>
      <c r="H55" s="326"/>
      <c r="I55" s="326"/>
    </row>
    <row r="56" spans="1:10" ht="23.25" thickBot="1" x14ac:dyDescent="0.25">
      <c r="A56" s="334"/>
      <c r="B56" s="529">
        <v>66000</v>
      </c>
      <c r="C56" s="338">
        <f t="shared" si="0"/>
        <v>69960</v>
      </c>
      <c r="D56" s="329"/>
      <c r="E56" s="329">
        <v>6</v>
      </c>
      <c r="F56" s="345" t="s">
        <v>174</v>
      </c>
      <c r="G56" s="579">
        <v>70000</v>
      </c>
      <c r="H56" s="326"/>
      <c r="I56" s="326"/>
    </row>
    <row r="57" spans="1:10" x14ac:dyDescent="0.2">
      <c r="A57" s="326"/>
      <c r="H57" s="326"/>
      <c r="I57" s="326"/>
    </row>
    <row r="58" spans="1:10" x14ac:dyDescent="0.2">
      <c r="A58" s="326"/>
      <c r="B58" s="326"/>
      <c r="C58" s="326"/>
      <c r="D58" s="326"/>
      <c r="E58" s="326"/>
      <c r="F58" s="326"/>
      <c r="G58" s="326"/>
      <c r="H58" s="326"/>
      <c r="I58" s="326"/>
    </row>
    <row r="59" spans="1:10" ht="13.5" thickBot="1" x14ac:dyDescent="0.25">
      <c r="A59" s="326"/>
      <c r="B59" s="326"/>
      <c r="C59" s="326"/>
      <c r="D59" s="326"/>
      <c r="E59" s="326"/>
      <c r="F59" s="326"/>
      <c r="G59" s="326"/>
      <c r="H59" s="326"/>
      <c r="I59" s="326"/>
    </row>
    <row r="60" spans="1:10" x14ac:dyDescent="0.2">
      <c r="A60" s="326"/>
      <c r="B60" s="326"/>
      <c r="C60" s="326"/>
      <c r="D60" s="326"/>
      <c r="E60" s="1189" t="s">
        <v>822</v>
      </c>
      <c r="F60" s="1190"/>
      <c r="G60" s="668"/>
      <c r="H60" s="668"/>
      <c r="I60" s="669"/>
    </row>
    <row r="61" spans="1:10" x14ac:dyDescent="0.2">
      <c r="A61" s="326"/>
      <c r="B61" s="326"/>
      <c r="C61" s="326"/>
      <c r="D61" s="326"/>
      <c r="E61" s="348" t="s">
        <v>544</v>
      </c>
      <c r="F61" s="870">
        <v>43122</v>
      </c>
      <c r="G61" s="870">
        <v>43268</v>
      </c>
      <c r="H61" s="598">
        <v>148</v>
      </c>
      <c r="I61" s="333">
        <f>(H61/30)*2</f>
        <v>9.8666666666666671</v>
      </c>
    </row>
    <row r="62" spans="1:10" x14ac:dyDescent="0.2">
      <c r="A62" s="326"/>
      <c r="B62" s="326"/>
      <c r="C62" s="326"/>
      <c r="D62" s="326"/>
      <c r="E62" s="348" t="s">
        <v>545</v>
      </c>
      <c r="F62" s="346"/>
      <c r="G62" s="346"/>
      <c r="H62" s="598">
        <v>321</v>
      </c>
      <c r="I62" s="333">
        <f>H62/30</f>
        <v>10.7</v>
      </c>
    </row>
    <row r="63" spans="1:10" x14ac:dyDescent="0.2">
      <c r="A63" s="326"/>
      <c r="B63" s="326"/>
      <c r="C63" s="326"/>
      <c r="D63" s="326"/>
      <c r="E63" s="348" t="s">
        <v>415</v>
      </c>
      <c r="F63" s="328"/>
      <c r="G63" s="328"/>
      <c r="H63" s="328">
        <v>341</v>
      </c>
      <c r="I63" s="333">
        <f>H63/30</f>
        <v>11.366666666666667</v>
      </c>
      <c r="J63">
        <v>11.2666667</v>
      </c>
    </row>
    <row r="64" spans="1:10" x14ac:dyDescent="0.2">
      <c r="A64" s="326"/>
      <c r="B64" s="326"/>
      <c r="C64" s="326"/>
      <c r="D64" s="326"/>
      <c r="E64" s="869" t="s">
        <v>864</v>
      </c>
      <c r="F64" s="346"/>
      <c r="G64" s="346"/>
      <c r="H64" s="328">
        <v>341</v>
      </c>
      <c r="I64" s="333">
        <f>H64/30</f>
        <v>11.366666666666667</v>
      </c>
    </row>
    <row r="65" spans="1:9" ht="13.5" thickBot="1" x14ac:dyDescent="0.25">
      <c r="C65" s="600" t="s">
        <v>697</v>
      </c>
      <c r="E65" s="349"/>
      <c r="F65" s="670"/>
      <c r="G65" s="670"/>
      <c r="H65" s="647"/>
      <c r="I65" s="648"/>
    </row>
    <row r="66" spans="1:9" x14ac:dyDescent="0.2">
      <c r="A66" s="645" t="s">
        <v>821</v>
      </c>
      <c r="B66" s="658">
        <v>2017</v>
      </c>
      <c r="C66" s="658"/>
      <c r="D66" s="659">
        <v>2018</v>
      </c>
    </row>
    <row r="67" spans="1:9" x14ac:dyDescent="0.2">
      <c r="A67" s="649"/>
      <c r="B67" s="354"/>
      <c r="C67" s="667">
        <v>1.06</v>
      </c>
      <c r="D67" s="650"/>
    </row>
    <row r="68" spans="1:9" x14ac:dyDescent="0.2">
      <c r="A68" s="651" t="s">
        <v>694</v>
      </c>
      <c r="B68" s="652">
        <v>192000</v>
      </c>
      <c r="C68" s="664"/>
      <c r="D68" s="653">
        <f>CEILING(+B68*$C$67,1000)</f>
        <v>204000</v>
      </c>
    </row>
    <row r="69" spans="1:9" x14ac:dyDescent="0.2">
      <c r="A69" s="651" t="s">
        <v>695</v>
      </c>
      <c r="B69" s="652">
        <f>+B68*2</f>
        <v>384000</v>
      </c>
      <c r="C69" s="665"/>
      <c r="D69" s="654">
        <f>+D68*2</f>
        <v>408000</v>
      </c>
    </row>
    <row r="70" spans="1:9" ht="13.5" thickBot="1" x14ac:dyDescent="0.25">
      <c r="A70" s="655" t="s">
        <v>696</v>
      </c>
      <c r="B70" s="656">
        <f>+B68*3</f>
        <v>576000</v>
      </c>
      <c r="C70" s="666"/>
      <c r="D70" s="657">
        <f>+D68*3</f>
        <v>612000</v>
      </c>
    </row>
  </sheetData>
  <mergeCells count="1">
    <mergeCell ref="E60:F6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I30" sqref="I30:L52"/>
    </sheetView>
  </sheetViews>
  <sheetFormatPr baseColWidth="10" defaultRowHeight="12.75" x14ac:dyDescent="0.2"/>
  <cols>
    <col min="1" max="1" width="59.85546875" style="7" bestFit="1" customWidth="1"/>
    <col min="2" max="2" width="15.42578125" style="871" bestFit="1" customWidth="1"/>
    <col min="3" max="16384" width="11.42578125" style="7"/>
  </cols>
  <sheetData>
    <row r="1" spans="1:8" x14ac:dyDescent="0.2">
      <c r="A1" s="7" t="s">
        <v>439</v>
      </c>
    </row>
    <row r="3" spans="1:8" ht="13.5" thickBot="1" x14ac:dyDescent="0.25">
      <c r="A3" s="7" t="s">
        <v>275</v>
      </c>
    </row>
    <row r="4" spans="1:8" ht="13.5" thickBot="1" x14ac:dyDescent="0.25">
      <c r="A4" s="1191" t="s">
        <v>865</v>
      </c>
      <c r="B4" s="1192"/>
    </row>
    <row r="5" spans="1:8" ht="13.5" thickBot="1" x14ac:dyDescent="0.25">
      <c r="A5" s="7" t="s">
        <v>290</v>
      </c>
      <c r="B5" s="872">
        <f>+PRESUPUESTO!G29+PRESUPUESTO!G297</f>
        <v>38338828.059999995</v>
      </c>
    </row>
    <row r="6" spans="1:8" x14ac:dyDescent="0.2">
      <c r="A6" s="442" t="s">
        <v>264</v>
      </c>
      <c r="B6" s="873">
        <f>ABS(+PRESUPUESTO!G243+PRESUPUESTO!G321)</f>
        <v>32894064.852995485</v>
      </c>
    </row>
    <row r="7" spans="1:8" x14ac:dyDescent="0.2">
      <c r="A7" s="443" t="s">
        <v>265</v>
      </c>
      <c r="B7" s="874">
        <f>ABS(+PRESUPUESTO!G61+PRESUPUESTO!G73)</f>
        <v>17055319.329245485</v>
      </c>
    </row>
    <row r="8" spans="1:8" x14ac:dyDescent="0.2">
      <c r="A8" s="443" t="s">
        <v>266</v>
      </c>
      <c r="B8" s="875">
        <f>IFERROR(B7/B6,0)</f>
        <v>0.51849229961289955</v>
      </c>
    </row>
    <row r="9" spans="1:8" x14ac:dyDescent="0.2">
      <c r="A9" s="443" t="s">
        <v>267</v>
      </c>
      <c r="B9" s="876">
        <f>IF(PRESUPUESTO!G323&gt;0,PRESUPUESTO!G323," ")</f>
        <v>5444763.2070045117</v>
      </c>
    </row>
    <row r="10" spans="1:8" x14ac:dyDescent="0.2">
      <c r="A10" s="443" t="s">
        <v>268</v>
      </c>
      <c r="B10" s="876" t="str">
        <f>IF(PRESUPUESTO!G323&lt;0,PRESUPUESTO!G323," ")</f>
        <v xml:space="preserve"> </v>
      </c>
    </row>
    <row r="11" spans="1:8" x14ac:dyDescent="0.2">
      <c r="A11" s="443" t="s">
        <v>269</v>
      </c>
      <c r="B11" s="877">
        <f>ABS(PRESUPUESTO!G61-PRESUPUESTO!G34)</f>
        <v>6785195.4685788192</v>
      </c>
    </row>
    <row r="12" spans="1:8" x14ac:dyDescent="0.2">
      <c r="A12" s="443" t="s">
        <v>83</v>
      </c>
      <c r="B12" s="877">
        <f>ABS(PRESUPUESTO!G73)</f>
        <v>311826.09399999998</v>
      </c>
    </row>
    <row r="13" spans="1:8" x14ac:dyDescent="0.2">
      <c r="A13" s="443" t="s">
        <v>20</v>
      </c>
      <c r="B13" s="877">
        <f>ABS(PRESUPUESTO!G34)</f>
        <v>9958297.7666666657</v>
      </c>
      <c r="H13" s="569"/>
    </row>
    <row r="14" spans="1:8" x14ac:dyDescent="0.2">
      <c r="A14" s="443" t="s">
        <v>270</v>
      </c>
      <c r="B14" s="877">
        <f>SUM(B11:B13)</f>
        <v>17055319.329245485</v>
      </c>
    </row>
    <row r="15" spans="1:8" x14ac:dyDescent="0.2">
      <c r="A15" s="443"/>
      <c r="B15" s="878"/>
    </row>
    <row r="16" spans="1:8" x14ac:dyDescent="0.2">
      <c r="A16" s="443" t="s">
        <v>271</v>
      </c>
      <c r="B16" s="875">
        <f>IFERROR(B15/B14,0)</f>
        <v>0</v>
      </c>
    </row>
    <row r="17" spans="1:2" ht="13.5" thickBot="1" x14ac:dyDescent="0.25">
      <c r="A17" s="444"/>
      <c r="B17" s="879"/>
    </row>
    <row r="18" spans="1:2" x14ac:dyDescent="0.2">
      <c r="A18" s="442" t="s">
        <v>39</v>
      </c>
      <c r="B18" s="880">
        <f>HONORARIOS!$G$140</f>
        <v>303826094</v>
      </c>
    </row>
    <row r="19" spans="1:2" x14ac:dyDescent="0.2">
      <c r="A19" s="443" t="s">
        <v>280</v>
      </c>
      <c r="B19" s="876">
        <f>CONVENIOS!D103</f>
        <v>2429651402.9383998</v>
      </c>
    </row>
    <row r="20" spans="1:2" ht="13.5" thickBot="1" x14ac:dyDescent="0.25">
      <c r="A20" s="444" t="s">
        <v>42</v>
      </c>
      <c r="B20" s="881">
        <f>HONORARIOS!$G$167</f>
        <v>0</v>
      </c>
    </row>
  </sheetData>
  <mergeCells count="1">
    <mergeCell ref="A4:B4"/>
  </mergeCells>
  <phoneticPr fontId="27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29</vt:i4>
      </vt:variant>
    </vt:vector>
  </HeadingPairs>
  <TitlesOfParts>
    <vt:vector size="59" baseType="lpstr">
      <vt:lpstr>MENU</vt:lpstr>
      <vt:lpstr>PRESUPUESTO</vt:lpstr>
      <vt:lpstr>PTO - PDI</vt:lpstr>
      <vt:lpstr>PTO + EC</vt:lpstr>
      <vt:lpstr>ALUMNOS</vt:lpstr>
      <vt:lpstr>MAT.</vt:lpstr>
      <vt:lpstr>NOMINA</vt:lpstr>
      <vt:lpstr>BASE</vt:lpstr>
      <vt:lpstr>Base 3</vt:lpstr>
      <vt:lpstr>HONORARIOS</vt:lpstr>
      <vt:lpstr>CONVENIOS</vt:lpstr>
      <vt:lpstr>ASESOR.Y.CONSULT.</vt:lpstr>
      <vt:lpstr>PROY INVEST.</vt:lpstr>
      <vt:lpstr>P.PROY.SOCIAL</vt:lpstr>
      <vt:lpstr>GEST.REC.HUM.</vt:lpstr>
      <vt:lpstr>OTRAS ACTIV.</vt:lpstr>
      <vt:lpstr>ADICIONALES PD</vt:lpstr>
      <vt:lpstr>SALIDAS</vt:lpstr>
      <vt:lpstr>BIBLIOTECA</vt:lpstr>
      <vt:lpstr>AFILIACIONES</vt:lpstr>
      <vt:lpstr>IMPRESOS.PUBLIC</vt:lpstr>
      <vt:lpstr>MANTEN.EQUIP.</vt:lpstr>
      <vt:lpstr>INVER.EQUIPO.COMP</vt:lpstr>
      <vt:lpstr>INVER.OTROS.EQUIPOS</vt:lpstr>
      <vt:lpstr>INVER.MUEBLES</vt:lpstr>
      <vt:lpstr>ADECUAC.LOCATIVAS</vt:lpstr>
      <vt:lpstr>Hoja2</vt:lpstr>
      <vt:lpstr>EDUC.CONT.</vt:lpstr>
      <vt:lpstr>PPTO 2017</vt:lpstr>
      <vt:lpstr>EJEC</vt:lpstr>
      <vt:lpstr>ADECUAC.LOCATIVAS!Área_de_impresión</vt:lpstr>
      <vt:lpstr>'ADICIONALES PD'!Área_de_impresión</vt:lpstr>
      <vt:lpstr>AFILIACIONES!Área_de_impresión</vt:lpstr>
      <vt:lpstr>ALUMNOS!Área_de_impresión</vt:lpstr>
      <vt:lpstr>ASESOR.Y.CONSULT.!Área_de_impresión</vt:lpstr>
      <vt:lpstr>BIBLIOTECA!Área_de_impresión</vt:lpstr>
      <vt:lpstr>CONVENIOS!Área_de_impresión</vt:lpstr>
      <vt:lpstr>EDUC.CONT.!Área_de_impresión</vt:lpstr>
      <vt:lpstr>GEST.REC.HUM.!Área_de_impresión</vt:lpstr>
      <vt:lpstr>HONORARIOS!Área_de_impresión</vt:lpstr>
      <vt:lpstr>IMPRESOS.PUBLIC!Área_de_impresión</vt:lpstr>
      <vt:lpstr>INVER.EQUIPO.COMP!Área_de_impresión</vt:lpstr>
      <vt:lpstr>INVER.MUEBLES!Área_de_impresión</vt:lpstr>
      <vt:lpstr>INVER.OTROS.EQUIPOS!Área_de_impresión</vt:lpstr>
      <vt:lpstr>MANTEN.EQUIP.!Área_de_impresión</vt:lpstr>
      <vt:lpstr>MAT.!Área_de_impresión</vt:lpstr>
      <vt:lpstr>MENU!Área_de_impresión</vt:lpstr>
      <vt:lpstr>NOMINA!Área_de_impresión</vt:lpstr>
      <vt:lpstr>'OTRAS ACTIV.'!Área_de_impresión</vt:lpstr>
      <vt:lpstr>P.PROY.SOCIAL!Área_de_impresión</vt:lpstr>
      <vt:lpstr>PRESUPUESTO!Área_de_impresión</vt:lpstr>
      <vt:lpstr>'PROY INVEST.'!Área_de_impresión</vt:lpstr>
      <vt:lpstr>'PTO - PDI'!Área_de_impresión</vt:lpstr>
      <vt:lpstr>CodCategoria</vt:lpstr>
      <vt:lpstr>CodContrato</vt:lpstr>
      <vt:lpstr>NivelEstudio</vt:lpstr>
      <vt:lpstr>NOMINATABLA</vt:lpstr>
      <vt:lpstr>HONORARIOS!Títulos_a_imprimir</vt:lpstr>
      <vt:lpstr>PRESUPUESTO!Títulos_a_imprimir</vt:lpstr>
    </vt:vector>
  </TitlesOfParts>
  <Company>Universidad El Bosque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A00119</dc:creator>
  <cp:lastModifiedBy>Jorge Orlando Castaño Garzon</cp:lastModifiedBy>
  <cp:lastPrinted>2017-11-14T15:34:18Z</cp:lastPrinted>
  <dcterms:created xsi:type="dcterms:W3CDTF">2007-10-19T23:12:33Z</dcterms:created>
  <dcterms:modified xsi:type="dcterms:W3CDTF">2018-02-21T14:08:03Z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